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不动产比较法-住宅" sheetId="21" r:id="rId24"/>
    <sheet name="不动产收益法" sheetId="15" r:id="rId25"/>
    <sheet name="不动产收益法办公" sheetId="70" r:id="rId26"/>
    <sheet name="不动产收益法车库" sheetId="71" r:id="rId27"/>
    <sheet name="土地住宅案例" sheetId="68"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5">估价对象房地状况!$A$1:$G$24</definedName>
    <definedName name="八级" localSheetId="12">[1]区片价!$P$1:$P$40</definedName>
    <definedName name="八级" localSheetId="27">[1]区片价!$P$1:$P$40</definedName>
    <definedName name="八级">区片价!$P$1:$P$40</definedName>
    <definedName name="办公层高" localSheetId="12">'[1]不动产比较法-办公'!$B$119:$M$119</definedName>
    <definedName name="办公层高" localSheetId="27">'[1]不动产比较法-办公'!$B$119:$M$119</definedName>
    <definedName name="办公层高">'不动产比较法-办公'!$B$119:$M$119</definedName>
    <definedName name="办公朝向" localSheetId="12">'[1]不动产比较法-办公'!$B$91:$M$91</definedName>
    <definedName name="办公朝向" localSheetId="27">'[1]不动产比较法-办公'!$B$91:$M$91</definedName>
    <definedName name="办公朝向">'不动产比较法-办公'!$B$91:$M$91</definedName>
    <definedName name="办公道路级别" localSheetId="12">'[1]不动产比较法-办公'!$B$87:$M$87</definedName>
    <definedName name="办公道路级别" localSheetId="27">'[1]不动产比较法-办公'!$B$87:$M$87</definedName>
    <definedName name="办公道路级别">'不动产比较法-办公'!$B$87:$M$87</definedName>
    <definedName name="办公公共部分装修" localSheetId="12">'[1]不动产比较法-办公'!$B$108:$M$108</definedName>
    <definedName name="办公公共部分装修" localSheetId="27">'[1]不动产比较法-办公'!$B$108:$M$108</definedName>
    <definedName name="办公公共部分装修">'不动产比较法-办公'!$B$108:$M$108</definedName>
    <definedName name="办公基础设施水平" localSheetId="12">'[1]不动产比较法-办公'!$B$117:$M$117</definedName>
    <definedName name="办公基础设施水平" localSheetId="27">'[1]不动产比较法-办公'!$B$117:$M$117</definedName>
    <definedName name="办公基础设施水平">'不动产比较法-办公'!$B$117:$M$117</definedName>
    <definedName name="办公集聚程度" localSheetId="12">[1]定义!$M$1:$M$6</definedName>
    <definedName name="办公集聚程度" localSheetId="27">[1]定义!$M$1:$M$6</definedName>
    <definedName name="办公集聚程度">定义!$M$1:$M$6</definedName>
    <definedName name="办公建筑结构" localSheetId="12">'[1]不动产比较法-办公'!$B$106:$M$106</definedName>
    <definedName name="办公建筑结构" localSheetId="27">'[1]不动产比较法-办公'!$B$106:$M$106</definedName>
    <definedName name="办公建筑结构">'不动产比较法-办公'!$B$106:$M$106</definedName>
    <definedName name="办公建筑类型" localSheetId="12">'[1]不动产比较法-办公'!$B$101:$M$101</definedName>
    <definedName name="办公建筑类型" localSheetId="27">'[1]不动产比较法-办公'!$B$101:$M$101</definedName>
    <definedName name="办公建筑类型">'不动产比较法-办公'!$B$101:$M$101</definedName>
    <definedName name="办公交易情况" localSheetId="12">'[1]不动产比较法-办公'!$A$62:$M$62</definedName>
    <definedName name="办公交易情况" localSheetId="27">'[1]不动产比较法-办公'!$A$62:$M$62</definedName>
    <definedName name="办公交易情况">'不动产比较法-办公'!$A$62:$M$62</definedName>
    <definedName name="办公楼层" localSheetId="12">'[1]不动产比较法-办公'!$B$89:$M$89</definedName>
    <definedName name="办公楼层" localSheetId="27">'[1]不动产比较法-办公'!$B$89:$M$89</definedName>
    <definedName name="办公楼层">'不动产比较法-办公'!$B$89:$M$89</definedName>
    <definedName name="办公内部装修" localSheetId="12">'[1]不动产比较法-办公'!$B$123:$M$123</definedName>
    <definedName name="办公内部装修" localSheetId="27">'[1]不动产比较法-办公'!$B$123:$M$123</definedName>
    <definedName name="办公内部装修">'不动产比较法-办公'!$B$123:$M$123</definedName>
    <definedName name="办公物业管理" localSheetId="12">'[1]不动产比较法-办公'!$B$115:$M$115</definedName>
    <definedName name="办公物业管理" localSheetId="27">'[1]不动产比较法-办公'!$B$115:$M$115</definedName>
    <definedName name="办公物业管理">'不动产比较法-办公'!$B$115:$M$115</definedName>
    <definedName name="办公用途" localSheetId="12">'[1]不动产比较法-办公'!$B$64:$M$64</definedName>
    <definedName name="办公用途" localSheetId="27">'[1]不动产比较法-办公'!$B$64:$M$64</definedName>
    <definedName name="办公用途">'不动产比较法-办公'!$B$64:$M$64</definedName>
    <definedName name="仓储公共部分装修" localSheetId="12">'[1]不动产比较法-仓储'!$B$77:$M$77</definedName>
    <definedName name="仓储公共部分装修" localSheetId="27">'[1]不动产比较法-仓储'!$B$77:$M$77</definedName>
    <definedName name="仓储公共部分装修">'不动产比较法-仓储'!$B$77:$M$77</definedName>
    <definedName name="仓储交易情况" localSheetId="12">'[1]不动产比较法-仓储'!$A$49:$M$49</definedName>
    <definedName name="仓储交易情况" localSheetId="27">'[1]不动产比较法-仓储'!$A$49:$M$49</definedName>
    <definedName name="仓储交易情况">'不动产比较法-仓储'!$A$49:$M$49</definedName>
    <definedName name="仓储楼层" localSheetId="12">'[1]不动产比较法-仓储'!$B$69:$M$69</definedName>
    <definedName name="仓储楼层" localSheetId="27">'[1]不动产比较法-仓储'!$B$69:$M$69</definedName>
    <definedName name="仓储楼层">'不动产比较法-仓储'!$B$69:$M$69</definedName>
    <definedName name="仓储物业等级" localSheetId="12">'[1]不动产比较法-仓储'!$B$82:$M$82</definedName>
    <definedName name="仓储物业等级" localSheetId="27">'[1]不动产比较法-仓储'!$B$82:$M$82</definedName>
    <definedName name="仓储物业等级">'不动产比较法-仓储'!$B$82:$M$82</definedName>
    <definedName name="仓储用途" localSheetId="12">'[1]不动产比较法-仓储'!$B$51:$M$51</definedName>
    <definedName name="仓储用途" localSheetId="27">'[1]不动产比较法-仓储'!$B$51:$M$51</definedName>
    <definedName name="仓储用途">'不动产比较法-仓储'!$B$51:$M$51</definedName>
    <definedName name="产业集聚程度" localSheetId="12">[1]定义!$N$1:$N$6</definedName>
    <definedName name="产业集聚程度" localSheetId="27">[1]定义!$N$1:$N$6</definedName>
    <definedName name="产业集聚程度">定义!$N$1:$N$6</definedName>
    <definedName name="车位公共部分装修" localSheetId="12">'[1]不动产比较法-车位'!$B$83:$M$83</definedName>
    <definedName name="车位公共部分装修" localSheetId="27">'[1]不动产比较法-车位'!$B$83:$M$83</definedName>
    <definedName name="车位公共部分装修">'不动产比较法-车位'!$B$83:$M$83</definedName>
    <definedName name="车位交易情况" localSheetId="12">'[1]不动产比较法-车位'!$A$51:$M$51</definedName>
    <definedName name="车位交易情况" localSheetId="27">'[1]不动产比较法-车位'!$A$51:$M$51</definedName>
    <definedName name="车位交易情况">'不动产比较法-车位'!$A$51:$M$51</definedName>
    <definedName name="车位类型" localSheetId="12">'[1]不动产比较法-车位'!$B$93:$M$93</definedName>
    <definedName name="车位类型" localSheetId="27">'[1]不动产比较法-车位'!$B$93:$M$93</definedName>
    <definedName name="车位类型">'不动产比较法-车位'!$B$93:$M$93</definedName>
    <definedName name="车位楼层" localSheetId="12">'[1]不动产比较法-车位'!$B$71:$M$71</definedName>
    <definedName name="车位楼层" localSheetId="27">'[1]不动产比较法-车位'!$B$71:$M$71</definedName>
    <definedName name="车位楼层">'不动产比较法-车位'!$B$71:$M$71</definedName>
    <definedName name="车位配套类型" localSheetId="12">'[1]不动产比较法-车位'!$B$79:$M$79</definedName>
    <definedName name="车位配套类型" localSheetId="27">'[1]不动产比较法-车位'!$B$79:$M$79</definedName>
    <definedName name="车位配套类型">'不动产比较法-车位'!$B$79:$M$79</definedName>
    <definedName name="车位物业等级" localSheetId="12">'[1]不动产比较法-车位'!$B$88:$M$88</definedName>
    <definedName name="车位物业等级" localSheetId="27">'[1]不动产比较法-车位'!$B$88:$M$88</definedName>
    <definedName name="车位物业等级">'不动产比较法-车位'!$B$88:$M$88</definedName>
    <definedName name="车位用途" localSheetId="12">'[1]不动产比较法-车位'!$B$53:$M$53</definedName>
    <definedName name="车位用途" localSheetId="27">'[1]不动产比较法-车位'!$B$53:$M$53</definedName>
    <definedName name="车位用途">'不动产比较法-车位'!$B$53:$M$53</definedName>
    <definedName name="城镇土地纳税等级分级范围" localSheetId="12">'[1]数据-取费表'!$A$53:$A$63</definedName>
    <definedName name="城镇土地纳税等级分级范围" localSheetId="27">'[1]数据-取费表'!$A$53:$A$63</definedName>
    <definedName name="城镇土地纳税等级分级范围">'数据-取费表'!$A$53:$A$63</definedName>
    <definedName name="单价内涵" localSheetId="12">[1]定义!$V$1:$V$3</definedName>
    <definedName name="单价内涵" localSheetId="27">[1]定义!$V$1:$V$3</definedName>
    <definedName name="单价内涵">定义!$V$1:$V$3</definedName>
    <definedName name="地类判定" localSheetId="12">[1]定义!$H$1:$H$9</definedName>
    <definedName name="地类判定" localSheetId="27">[1]定义!$H$1:$H$9</definedName>
    <definedName name="地类判定">定义!$H$1:$H$9</definedName>
    <definedName name="二级" localSheetId="12">[1]区片价!$J$1:$J$20</definedName>
    <definedName name="二级" localSheetId="27">[1]区片价!$J$1:$J$20</definedName>
    <definedName name="二级">区片价!$J$1:$J$20</definedName>
    <definedName name="二级分类" localSheetId="12">[1]修正!$C$17:$C$39</definedName>
    <definedName name="二级分类" localSheetId="27">[1]修正!$C$17:$C$39</definedName>
    <definedName name="二级分类">修正!$C$17:$C$39</definedName>
    <definedName name="法定最高年限" localSheetId="12">[1]定义!$G$2:$G$4</definedName>
    <definedName name="法定最高年限" localSheetId="27">[1]定义!$G$2:$G$4</definedName>
    <definedName name="法定最高年限">定义!$G$2:$G$4</definedName>
    <definedName name="工业公共部分装修" localSheetId="12">'[1]不动产比较法-工业'!$B$95:$M$95</definedName>
    <definedName name="工业公共部分装修" localSheetId="27">'[1]不动产比较法-工业'!$B$95:$M$95</definedName>
    <definedName name="工业公共部分装修">'不动产比较法-工业'!$B$95:$M$95</definedName>
    <definedName name="工业基础设施水平" localSheetId="12">'[1]不动产比较法-工业'!$B$102:$M$102</definedName>
    <definedName name="工业基础设施水平" localSheetId="27">'[1]不动产比较法-工业'!$B$102:$M$102</definedName>
    <definedName name="工业基础设施水平">'不动产比较法-工业'!$B$102:$M$102</definedName>
    <definedName name="工业建筑结构" localSheetId="12">'[1]不动产比较法-工业'!$B$93:$M$93</definedName>
    <definedName name="工业建筑结构" localSheetId="27">'[1]不动产比较法-工业'!$B$93:$M$93</definedName>
    <definedName name="工业建筑结构">'不动产比较法-工业'!$B$93:$M$93</definedName>
    <definedName name="工业建筑类型" localSheetId="12">'[1]不动产比较法-工业'!$B$88:$M$88</definedName>
    <definedName name="工业建筑类型" localSheetId="27">'[1]不动产比较法-工业'!$B$88:$M$88</definedName>
    <definedName name="工业建筑类型">'不动产比较法-工业'!$B$88:$M$88</definedName>
    <definedName name="工业交易情况" localSheetId="12">'[1]不动产比较法-工业'!$A$55:$M$55</definedName>
    <definedName name="工业交易情况" localSheetId="27">'[1]不动产比较法-工业'!$A$55:$M$55</definedName>
    <definedName name="工业交易情况">'不动产比较法-工业'!$A$55:$M$55</definedName>
    <definedName name="工业内部装修" localSheetId="12">'[1]不动产比较法-工业'!$B$104:$M$104</definedName>
    <definedName name="工业内部装修" localSheetId="27">'[1]不动产比较法-工业'!$B$104:$M$104</definedName>
    <definedName name="工业内部装修">'不动产比较法-工业'!$B$104:$M$104</definedName>
    <definedName name="工业物业管理" localSheetId="12">'[1]不动产比较法-工业'!$B$100:$M$100</definedName>
    <definedName name="工业物业管理" localSheetId="27">'[1]不动产比较法-工业'!$B$100:$M$100</definedName>
    <definedName name="工业物业管理">'不动产比较法-工业'!$B$100:$M$100</definedName>
    <definedName name="工业用途" localSheetId="12">'[1]不动产比较法-工业'!$B$57:$M$57</definedName>
    <definedName name="工业用途" localSheetId="27">'[1]不动产比较法-工业'!$B$57:$M$57</definedName>
    <definedName name="工业用途">'不动产比较法-工业'!$B$57:$M$57</definedName>
    <definedName name="公共配套设施" localSheetId="12">[1]定义!$Q$1:$Q$6</definedName>
    <definedName name="公共配套设施" localSheetId="27">[1]定义!$Q$1:$Q$6</definedName>
    <definedName name="公共配套设施">定义!$Q$1:$Q$6</definedName>
    <definedName name="估价方法" localSheetId="12">[1]定义!$B$1:$B$50</definedName>
    <definedName name="估价方法" localSheetId="27">[1]定义!$B$1:$B$50</definedName>
    <definedName name="估价方法">定义!$B$1:$B$50</definedName>
    <definedName name="环境" localSheetId="12">[1]定义!$S$1:$S$6</definedName>
    <definedName name="环境" localSheetId="27">[1]定义!$S$1:$S$6</definedName>
    <definedName name="环境">定义!$S$1:$S$6</definedName>
    <definedName name="基础设施水平" localSheetId="12">[1]定义!$R$1:$R$6</definedName>
    <definedName name="基础设施水平" localSheetId="27">[1]定义!$R$1:$R$6</definedName>
    <definedName name="基础设施水平">定义!$R$1:$R$6</definedName>
    <definedName name="季度" localSheetId="12">[1]基准地价!$N$19:$AB$19</definedName>
    <definedName name="季度" localSheetId="27">[1]基准地价!$N$19:$AB$19</definedName>
    <definedName name="季度">基准地价!$N$19:$AG$19</definedName>
    <definedName name="季度2014" localSheetId="12">[1]地价!$A$2:$A$27</definedName>
    <definedName name="季度2014" localSheetId="27">[1]地价!$A$2:$A$27</definedName>
    <definedName name="季度2014">地价!$A$2:$A$25</definedName>
    <definedName name="价值类型2" localSheetId="12">[1]定义!$B$54:$B$56</definedName>
    <definedName name="价值类型2" localSheetId="27">[1]定义!$B$54:$B$56</definedName>
    <definedName name="价值类型2">定义!$B$54:$B$56</definedName>
    <definedName name="交通便捷度" localSheetId="12">[1]定义!$O$1:$O$6</definedName>
    <definedName name="交通便捷度" localSheetId="27">[1]定义!$O$1:$O$6</definedName>
    <definedName name="交通便捷度">定义!$O$1:$O$6</definedName>
    <definedName name="九级" localSheetId="12">[1]区片价!$Q$1:$Q$46</definedName>
    <definedName name="九级" localSheetId="27">[1]区片价!$Q$1:$Q$46</definedName>
    <definedName name="九级">区片价!$Q$1:$Q$46</definedName>
    <definedName name="居住社区成熟度" localSheetId="12">[1]定义!$K$1:$K$6</definedName>
    <definedName name="居住社区成熟度" localSheetId="27">[1]定义!$K$1:$K$6</definedName>
    <definedName name="居住社区成熟度">定义!$K$1:$K$6</definedName>
    <definedName name="类别" localSheetId="12">[1]定义!$J$1:$J$3</definedName>
    <definedName name="类别" localSheetId="27">[1]定义!$J$1:$J$3</definedName>
    <definedName name="类别">定义!$J$1:$J$3</definedName>
    <definedName name="临街状况" localSheetId="12">[1]定义!$T$1:$T$5</definedName>
    <definedName name="临街状况" localSheetId="27">[1]定义!$T$1:$T$5</definedName>
    <definedName name="临街状况">定义!$T$1:$T$5</definedName>
    <definedName name="六级" localSheetId="12">[1]区片价!$N$1:$N$49</definedName>
    <definedName name="六级" localSheetId="27">[1]区片价!$N$1:$N$49</definedName>
    <definedName name="六级">区片价!$N$1:$N$49</definedName>
    <definedName name="内部装修维护情况" localSheetId="12">[1]定义!$U$1:$U$6</definedName>
    <definedName name="内部装修维护情况" localSheetId="27">[1]定义!$U$1:$U$6</definedName>
    <definedName name="内部装修维护情况">定义!$U$1:$U$6</definedName>
    <definedName name="判定" localSheetId="12">[1]定义!$D$1:$D$4</definedName>
    <definedName name="判定" localSheetId="27">[1]定义!$D$1:$D$4</definedName>
    <definedName name="判定">定义!$D$1:$D$4</definedName>
    <definedName name="七级" localSheetId="12">[1]区片价!$O$1:$O$49</definedName>
    <definedName name="七级" localSheetId="27">[1]区片价!$O$1:$O$49</definedName>
    <definedName name="七级">区片价!$O$1:$O$49</definedName>
    <definedName name="七通一平" localSheetId="12">[1]修正!$A$6:$A$14</definedName>
    <definedName name="七通一平" localSheetId="27">[1]修正!$A$6:$A$14</definedName>
    <definedName name="七通一平">修正!$A$6:$A$14</definedName>
    <definedName name="区域土地利用方向" localSheetId="12">[1]定义!$P$1:$P$6</definedName>
    <definedName name="区域土地利用方向" localSheetId="27">[1]定义!$P$1:$P$6</definedName>
    <definedName name="区域土地利用方向">定义!$P$1:$P$6</definedName>
    <definedName name="三级" localSheetId="12">[1]区片价!$K$1:$K$21</definedName>
    <definedName name="三级" localSheetId="27">[1]区片价!$K$1:$K$21</definedName>
    <definedName name="三级">区片价!$K$1:$K$21</definedName>
    <definedName name="商业层高" localSheetId="12">'[1]不动产比较法-商业'!$B$116:$M$116</definedName>
    <definedName name="商业层高" localSheetId="27">'[1]不动产比较法-商业'!$B$116:$M$116</definedName>
    <definedName name="商业层高">'不动产比较法-商业'!$B$116:$M$116</definedName>
    <definedName name="商业成新度" localSheetId="12">'[1]不动产比较法-商业'!$B$109:$M$109</definedName>
    <definedName name="商业成新度" localSheetId="27">'[1]不动产比较法-商业'!$B$109:$M$109</definedName>
    <definedName name="商业成新度">'不动产比较法-商业'!$B$109:$M$109</definedName>
    <definedName name="商业繁华度" localSheetId="12">[1]定义!$L$1:$L$6</definedName>
    <definedName name="商业繁华度" localSheetId="27">[1]定义!$L$1:$L$6</definedName>
    <definedName name="商业繁华度">定义!$L$1:$L$6</definedName>
    <definedName name="商业公共部分装修" localSheetId="12">'[1]不动产比较法-商业'!$B$107:$M$107</definedName>
    <definedName name="商业公共部分装修" localSheetId="27">'[1]不动产比较法-商业'!$B$107:$M$107</definedName>
    <definedName name="商业公共部分装修">'不动产比较法-商业'!$B$107:$M$107</definedName>
    <definedName name="商业基础设施水平" localSheetId="12">'[1]不动产比较法-商业'!$B$112:$M$112</definedName>
    <definedName name="商业基础设施水平" localSheetId="27">'[1]不动产比较法-商业'!$B$112:$M$112</definedName>
    <definedName name="商业基础设施水平">'不动产比较法-商业'!$B$112:$M$112</definedName>
    <definedName name="商业建筑结构" localSheetId="12">'[1]不动产比较法-商业'!$B$105:$M$105</definedName>
    <definedName name="商业建筑结构" localSheetId="27">'[1]不动产比较法-商业'!$B$105:$M$105</definedName>
    <definedName name="商业建筑结构">'不动产比较法-商业'!$B$105:$M$105</definedName>
    <definedName name="商业交易情况" localSheetId="12">'[1]不动产比较法-商业'!$A$61:$M$61</definedName>
    <definedName name="商业交易情况" localSheetId="27">'[1]不动产比较法-商业'!$A$61:$M$61</definedName>
    <definedName name="商业交易情况">'不动产比较法-商业'!$A$61:$M$61</definedName>
    <definedName name="商业街名称" localSheetId="12">[1]修正!$C$59:$C$119</definedName>
    <definedName name="商业街名称" localSheetId="27">[1]修正!$C$59:$C$119</definedName>
    <definedName name="商业街名称">修正!$C$59:$C$119</definedName>
    <definedName name="商业进深比" localSheetId="12">'[1]不动产比较法-商业'!$B$120:$M$120</definedName>
    <definedName name="商业进深比" localSheetId="27">'[1]不动产比较法-商业'!$B$120:$M$120</definedName>
    <definedName name="商业进深比">'不动产比较法-商业'!$B$120:$M$120</definedName>
    <definedName name="商业类型" localSheetId="12">'[1]不动产比较法-商业'!$B$100:$M$100</definedName>
    <definedName name="商业类型" localSheetId="27">'[1]不动产比较法-商业'!$B$100:$M$100</definedName>
    <definedName name="商业类型">'不动产比较法-商业'!$B$100:$M$100</definedName>
    <definedName name="商业临街状况" localSheetId="12">'[1]不动产比较法-商业'!$B$86:$M$86</definedName>
    <definedName name="商业临街状况" localSheetId="27">'[1]不动产比较法-商业'!$B$86:$M$86</definedName>
    <definedName name="商业临街状况">'不动产比较法-商业'!$B$86:$M$86</definedName>
    <definedName name="商业楼层" localSheetId="12">'[1]不动产比较法-商业'!$B$92:$M$92</definedName>
    <definedName name="商业楼层" localSheetId="27">'[1]不动产比较法-商业'!$B$92:$M$92</definedName>
    <definedName name="商业楼层">'不动产比较法-商业'!$B$92:$M$92</definedName>
    <definedName name="商业内部装修" localSheetId="12">'[1]不动产比较法-商业'!$B$122:$M$122</definedName>
    <definedName name="商业内部装修" localSheetId="27">'[1]不动产比较法-商业'!$B$122:$M$122</definedName>
    <definedName name="商业内部装修">'不动产比较法-商业'!$B$122:$M$122</definedName>
    <definedName name="商业人流量" localSheetId="12">'[1]不动产比较法-商业'!$B$90:$M$90</definedName>
    <definedName name="商业人流量" localSheetId="27">'[1]不动产比较法-商业'!$B$90:$M$90</definedName>
    <definedName name="商业人流量">'不动产比较法-商业'!$B$90:$M$90</definedName>
    <definedName name="商业业态" localSheetId="12">'[1]不动产比较法-商业'!$B$114:$M$114</definedName>
    <definedName name="商业业态" localSheetId="27">'[1]不动产比较法-商业'!$B$114:$M$114</definedName>
    <definedName name="商业业态">'不动产比较法-商业'!$B$114:$M$114</definedName>
    <definedName name="商业用途" localSheetId="12">'[1]不动产比较法-商业'!$B$63:$M$63</definedName>
    <definedName name="商业用途" localSheetId="27">'[1]不动产比较法-商业'!$B$63:$M$63</definedName>
    <definedName name="商业用途">'不动产比较法-商业'!$B$63:$M$63</definedName>
    <definedName name="十二级" localSheetId="12">[1]区片价!$T$1:$T$8</definedName>
    <definedName name="十二级" localSheetId="27">[1]区片价!$T$1:$T$8</definedName>
    <definedName name="十二级">区片价!$T$1:$T$8</definedName>
    <definedName name="十级" localSheetId="12">[1]区片价!$R$1:$R$27</definedName>
    <definedName name="十级" localSheetId="27">[1]区片价!$R$1:$R$27</definedName>
    <definedName name="十级">区片价!$R$1:$R$27</definedName>
    <definedName name="十一级" localSheetId="12">[1]区片价!$S$1:$S$22</definedName>
    <definedName name="十一级" localSheetId="27">[1]区片价!$S$1:$S$22</definedName>
    <definedName name="十一级">区片价!$S$1:$S$22</definedName>
    <definedName name="是否封闭" localSheetId="12">'[1]不动产比较法-仓储'!$B$89:$M$89</definedName>
    <definedName name="是否封闭" localSheetId="27">'[1]不动产比较法-仓储'!$B$89:$M$89</definedName>
    <definedName name="是否封闭">'不动产比较法-仓储'!$B$89:$M$89</definedName>
    <definedName name="是否直接入户" localSheetId="12">'[1]不动产比较法-车位'!$B$95:$M$95</definedName>
    <definedName name="是否直接入户" localSheetId="27">'[1]不动产比较法-车位'!$B$95:$M$95</definedName>
    <definedName name="是否直接入户">'不动产比较法-车位'!$B$95:$M$95</definedName>
    <definedName name="四级" localSheetId="12">[1]区片价!$L$1:$L$28</definedName>
    <definedName name="四级" localSheetId="27">[1]区片价!$L$1:$L$28</definedName>
    <definedName name="四级">区片价!$L$1:$L$28</definedName>
    <definedName name="套工工程地质条件" localSheetId="12">'[1]比较法-工业'!$B$116:$M$116</definedName>
    <definedName name="套工工程地质条件" localSheetId="27">'[1]比较法-工业'!$B$116:$M$116</definedName>
    <definedName name="套工工程地质条件">'比较法-工业'!$B$116:$M$116</definedName>
    <definedName name="套工交易情况" localSheetId="12">'[1]比较法-住宅、综合'!$A$75:$M$75</definedName>
    <definedName name="套工交易情况" localSheetId="27">'[1]比较法-住宅、综合'!$A$75:$M$75</definedName>
    <definedName name="套工交易情况">'比较法-住宅、综合'!$A$75:$M$75</definedName>
    <definedName name="套工开发程度" localSheetId="12">'[1]比较法-工业'!$B$114:$M$114</definedName>
    <definedName name="套工开发程度" localSheetId="27">'[1]比较法-工业'!$B$114:$M$114</definedName>
    <definedName name="套工开发程度">'比较法-工业'!$B$114:$M$114</definedName>
    <definedName name="套工临街等级" localSheetId="12">'[1]比较法-工业'!$B$99:$M$99</definedName>
    <definedName name="套工临街等级" localSheetId="27">'[1]比较法-工业'!$B$99:$M$99</definedName>
    <definedName name="套工临街等级">'比较法-工业'!$B$99:$M$99</definedName>
    <definedName name="套工土地级别" localSheetId="12">'[1]比较法-工业'!$B$101:$M$101</definedName>
    <definedName name="套工土地级别" localSheetId="27">'[1]比较法-工业'!$B$101:$M$101</definedName>
    <definedName name="套工土地级别">'比较法-工业'!$B$101:$M$101</definedName>
    <definedName name="套工用途" localSheetId="12">'[1]比较法-工业'!$B$72:$M$72</definedName>
    <definedName name="套工用途" localSheetId="27">'[1]比较法-工业'!$B$72:$M$72</definedName>
    <definedName name="套工用途">'比较法-工业'!$B$72:$M$72</definedName>
    <definedName name="套工宗地形状" localSheetId="12">'[1]比较法-工业'!$B$112:$M$112</definedName>
    <definedName name="套工宗地形状" localSheetId="27">'[1]比较法-工业'!$B$112:$M$112</definedName>
    <definedName name="套工宗地形状">'比较法-工业'!$B$112:$M$112</definedName>
    <definedName name="套综道路等级" localSheetId="12">'[1]比较法-住宅、综合'!$B$108:$M$108</definedName>
    <definedName name="套综道路等级" localSheetId="27">'[1]比较法-住宅、综合'!$B$108:$M$108</definedName>
    <definedName name="套综道路等级">'比较法-住宅、综合'!$B$108:$M$108</definedName>
    <definedName name="套综工程地质条件" localSheetId="12">'[1]比较法-住宅、综合'!$B$127:$M$127</definedName>
    <definedName name="套综工程地质条件" localSheetId="27">'[1]比较法-住宅、综合'!$B$127:$M$127</definedName>
    <definedName name="套综工程地质条件">'比较法-住宅、综合'!$B$127:$M$127</definedName>
    <definedName name="套综交易情况" localSheetId="12">'[1]比较法-住宅、综合'!$A$75:$M$75</definedName>
    <definedName name="套综交易情况" localSheetId="27">'[1]比较法-住宅、综合'!$A$75:$M$75</definedName>
    <definedName name="套综交易情况">'比较法-住宅、综合'!$A$75:$M$75</definedName>
    <definedName name="套综临街宽度及深度" localSheetId="12">'[1]比较法-住宅、综合'!$B$123:$M$123</definedName>
    <definedName name="套综临街宽度及深度" localSheetId="27">'[1]比较法-住宅、综合'!$B$123:$M$123</definedName>
    <definedName name="套综临街宽度及深度">'比较法-住宅、综合'!$B$123:$M$123</definedName>
    <definedName name="套综土地级别" localSheetId="12">'[1]比较法-住宅、综合'!$B$110:$M$110</definedName>
    <definedName name="套综土地级别" localSheetId="27">'[1]比较法-住宅、综合'!$B$110:$M$110</definedName>
    <definedName name="套综土地级别">'比较法-住宅、综合'!$B$110:$M$110</definedName>
    <definedName name="套综用途" localSheetId="12">'[1]比较法-住宅、综合'!$B$77:$M$77</definedName>
    <definedName name="套综用途" localSheetId="27">'[1]比较法-住宅、综合'!$B$77:$M$77</definedName>
    <definedName name="套综用途">'比较法-住宅、综合'!$B$77:$M$77</definedName>
    <definedName name="套综宗地内开发程度" localSheetId="12">'[1]比较法-住宅、综合'!$B$125:$M$125</definedName>
    <definedName name="套综宗地内开发程度" localSheetId="27">'[1]比较法-住宅、综合'!$B$125:$M$125</definedName>
    <definedName name="套综宗地内开发程度">'比较法-住宅、综合'!$B$125:$M$125</definedName>
    <definedName name="套综宗地形状" localSheetId="12">'[1]比较法-住宅、综合'!$B$121:$M$121</definedName>
    <definedName name="套综宗地形状" localSheetId="27">'[1]比较法-住宅、综合'!$B$121:$M$121</definedName>
    <definedName name="套综宗地形状">'比较法-住宅、综合'!$B$121:$M$121</definedName>
    <definedName name="土地估价师" localSheetId="12">[1]估价师及机构信息!$D$3:$D$24</definedName>
    <definedName name="土地估价师" localSheetId="27">[1]估价师及机构信息!$D$3:$D$24</definedName>
    <definedName name="土地估价师">估价师及机构信息!$D$3:$D$24</definedName>
    <definedName name="土地级别" localSheetId="12">[1]定义!$C$1:$C$14</definedName>
    <definedName name="土地级别" localSheetId="27">[1]定义!$C$1:$C$14</definedName>
    <definedName name="土地级别">定义!$C$1:$C$14</definedName>
    <definedName name="土地利用方向" localSheetId="12">[1]定义!$P$1:$P$6</definedName>
    <definedName name="土地利用方向" localSheetId="27">[1]定义!$P$1:$P$6</definedName>
    <definedName name="土地利用方向">定义!$P$1:$P$6</definedName>
    <definedName name="土地年限区间" localSheetId="12">[1]定义!$I$1:$I$8</definedName>
    <definedName name="土地年限区间" localSheetId="27">[1]定义!$I$1:$I$8</definedName>
    <definedName name="土地年限区间">定义!$I$1:$I$8</definedName>
    <definedName name="位置" localSheetId="12">[1]定义!$E$2:$E$4</definedName>
    <definedName name="位置" localSheetId="27">[1]定义!$E$2:$E$4</definedName>
    <definedName name="位置">定义!$E$2:$E$4</definedName>
    <definedName name="五等判定" localSheetId="12">[1]定义!$W$1:$W$6</definedName>
    <definedName name="五等判定" localSheetId="27">[1]定义!$W$1:$W$6</definedName>
    <definedName name="五等判定">定义!$W$1:$W$6</definedName>
    <definedName name="五级" localSheetId="12">[1]区片价!$M$1:$M$35</definedName>
    <definedName name="五级" localSheetId="27">[1]区片价!$M$1:$M$35</definedName>
    <definedName name="五级">区片价!$M$1:$M$35</definedName>
    <definedName name="项目类型" localSheetId="12">'[1]数据-汇总表'!$C$17:$C$26</definedName>
    <definedName name="项目类型" localSheetId="27">'[1]数据-汇总表'!$C$17:$C$26</definedName>
    <definedName name="项目类型">'数据-汇总表'!$C$17:$C$26</definedName>
    <definedName name="写字楼等级" localSheetId="12">'[1]不动产比较法-办公'!$B$113:$M$113</definedName>
    <definedName name="写字楼等级" localSheetId="27">'[1]不动产比较法-办公'!$B$113:$M$113</definedName>
    <definedName name="写字楼等级">'不动产比较法-办公'!$B$113:$M$113</definedName>
    <definedName name="一级" localSheetId="12">[1]区片价!$I$1:$I$6</definedName>
    <definedName name="一级" localSheetId="27">[1]区片价!$I$1:$I$6</definedName>
    <definedName name="一级">区片价!$I$1:$I$6</definedName>
    <definedName name="一修多修正项2" localSheetId="12">[1]典型户型修正!$5:$5</definedName>
    <definedName name="一修多修正项2" localSheetId="27">[1]典型户型修正!$5:$5</definedName>
    <definedName name="一修多修正项2">典型户型修正!$5:$5</definedName>
    <definedName name="一修多修正项3" localSheetId="12">[1]典型户型修正!$7:$7</definedName>
    <definedName name="一修多修正项3" localSheetId="27">[1]典型户型修正!$7:$7</definedName>
    <definedName name="一修多修正项3">典型户型修正!$7:$7</definedName>
    <definedName name="一修多修正项4" localSheetId="12">[1]典型户型修正!$9:$9</definedName>
    <definedName name="一修多修正项4" localSheetId="27">[1]典型户型修正!$9:$9</definedName>
    <definedName name="一修多修正项4">典型户型修正!$9:$9</definedName>
    <definedName name="一修多修正项5" localSheetId="12">[1]典型户型修正!$11:$11</definedName>
    <definedName name="一修多修正项5" localSheetId="27">[1]典型户型修正!$11:$11</definedName>
    <definedName name="一修多修正项5">典型户型修正!$11:$11</definedName>
    <definedName name="一修多修正项6" localSheetId="12">[1]典型户型修正!$13:$13</definedName>
    <definedName name="一修多修正项6" localSheetId="27">[1]典型户型修正!$13:$13</definedName>
    <definedName name="一修多修正项6">典型户型修正!$13:$13</definedName>
    <definedName name="一修多修正项7" localSheetId="12">[1]典型户型修正!$15:$15</definedName>
    <definedName name="一修多修正项7" localSheetId="27">[1]典型户型修正!$15:$15</definedName>
    <definedName name="一修多修正项7">典型户型修正!$15:$15</definedName>
    <definedName name="一修多修正项8" localSheetId="12">[1]典型户型修正!$17:$17</definedName>
    <definedName name="一修多修正项8" localSheetId="27">[1]典型户型修正!$17:$17</definedName>
    <definedName name="一修多修正项8">典型户型修正!$17:$17</definedName>
    <definedName name="用途类型" localSheetId="12">[1]定义!$A$1:$A$50</definedName>
    <definedName name="用途类型" localSheetId="27">[1]定义!$A$1:$A$50</definedName>
    <definedName name="用途类型">定义!$A$1:$A$50</definedName>
    <definedName name="有无电梯" localSheetId="12">'[1]不动产比较法-仓储'!$B$84:$M$84</definedName>
    <definedName name="有无电梯" localSheetId="27">'[1]不动产比较法-仓储'!$B$84:$M$84</definedName>
    <definedName name="有无电梯">'不动产比较法-仓储'!$B$84:$M$84</definedName>
    <definedName name="主用途" localSheetId="12">[1]定义!$F$1:$F$10</definedName>
    <definedName name="主用途" localSheetId="27">[1]定义!$F$1:$F$10</definedName>
    <definedName name="主用途">定义!$F$1:$F$10</definedName>
    <definedName name="住宅朝向" localSheetId="12">'[1]不动产比较法-住宅'!$B$88:$M$88</definedName>
    <definedName name="住宅朝向" localSheetId="27">'[1]不动产比较法-住宅'!$B$88:$M$88</definedName>
    <definedName name="住宅朝向">'不动产比较法-住宅'!$B$88:$M$88</definedName>
    <definedName name="住宅房型" localSheetId="12">'[1]不动产比较法-住宅'!$B$118:$M$118</definedName>
    <definedName name="住宅房型" localSheetId="27">'[1]不动产比较法-住宅'!$B$118:$M$118</definedName>
    <definedName name="住宅房型">'不动产比较法-住宅'!$B$118:$M$118</definedName>
    <definedName name="住宅公共部分装修" localSheetId="12">'[1]不动产比较法-住宅'!$B$109:$M$109</definedName>
    <definedName name="住宅公共部分装修" localSheetId="27">'[1]不动产比较法-住宅'!$B$109:$M$109</definedName>
    <definedName name="住宅公共部分装修">'不动产比较法-住宅'!$B$109:$M$109</definedName>
    <definedName name="住宅基础设施水平" localSheetId="12">'[1]不动产比较法-住宅'!$B$116:$M$116</definedName>
    <definedName name="住宅基础设施水平" localSheetId="27">'[1]不动产比较法-住宅'!$B$116:$M$116</definedName>
    <definedName name="住宅基础设施水平">'不动产比较法-住宅'!$B$116:$M$116</definedName>
    <definedName name="住宅建筑结构" localSheetId="12">'[1]不动产比较法-住宅'!$B$105:$M$105</definedName>
    <definedName name="住宅建筑结构" localSheetId="27">'[1]不动产比较法-住宅'!$B$105:$M$105</definedName>
    <definedName name="住宅建筑结构">'不动产比较法-住宅'!$B$105:$M$105</definedName>
    <definedName name="住宅建筑类型" localSheetId="12">'[1]不动产比较法-住宅'!$B$100:$M$100</definedName>
    <definedName name="住宅建筑类型" localSheetId="27">'[1]不动产比较法-住宅'!$B$100:$M$100</definedName>
    <definedName name="住宅建筑类型">'不动产比较法-住宅'!$B$100:$M$100</definedName>
    <definedName name="住宅建筑品质" localSheetId="12">'[1]不动产比较法-住宅'!$B$107:$M$107</definedName>
    <definedName name="住宅建筑品质" localSheetId="27">'[1]不动产比较法-住宅'!$B$107:$M$107</definedName>
    <definedName name="住宅建筑品质">'不动产比较法-住宅'!$B$107:$M$107</definedName>
    <definedName name="住宅交易情况" localSheetId="12">'[1]不动产比较法-住宅'!$A$61:$M$61</definedName>
    <definedName name="住宅交易情况" localSheetId="27">'[1]不动产比较法-住宅'!$A$61:$M$61</definedName>
    <definedName name="住宅交易情况">'不动产比较法-住宅'!$A$61:$M$61</definedName>
    <definedName name="住宅楼层" localSheetId="12">'[1]不动产比较法-住宅'!$B$86:$M$86</definedName>
    <definedName name="住宅楼层" localSheetId="27">'[1]不动产比较法-住宅'!$B$86:$M$86</definedName>
    <definedName name="住宅楼层">'不动产比较法-住宅'!$B$86:$M$86</definedName>
    <definedName name="住宅内部装修" localSheetId="12">'[1]不动产比较法-住宅'!$B$122:$M$122</definedName>
    <definedName name="住宅内部装修" localSheetId="27">'[1]不动产比较法-住宅'!$B$122:$M$122</definedName>
    <definedName name="住宅内部装修">'不动产比较法-住宅'!$B$122:$M$122</definedName>
    <definedName name="住宅物业管理" localSheetId="12">'[1]不动产比较法-住宅'!$B$114:$M$114</definedName>
    <definedName name="住宅物业管理" localSheetId="27">'[1]不动产比较法-住宅'!$B$114:$M$114</definedName>
    <definedName name="住宅物业管理">'不动产比较法-住宅'!$B$114:$M$114</definedName>
    <definedName name="住宅用途" localSheetId="12">'[1]不动产比较法-住宅'!$B$63:$M$63</definedName>
    <definedName name="住宅用途" localSheetId="27">'[1]不动产比较法-住宅'!$B$63:$M$63</definedName>
    <definedName name="住宅用途">'不动产比较法-住宅'!$B$63:$M$63</definedName>
    <definedName name="住宅主力户型面积" localSheetId="12">'[1]不动产比较法-住宅'!$B$120:$M$120</definedName>
    <definedName name="住宅主力户型面积" localSheetId="27">'[1]不动产比较法-住宅'!$B$120:$M$120</definedName>
    <definedName name="住宅主力户型面积">'不动产比较法-住宅'!$B$120:$M$120</definedName>
    <definedName name="注册房地产估价师" localSheetId="12">[1]估价师及机构信息!$A$3:$A$24</definedName>
    <definedName name="注册房地产估价师" localSheetId="27">[1]估价师及机构信息!$A$3:$A$24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G11" i="69" l="1"/>
  <c r="L8" i="1"/>
  <c r="K11" i="69"/>
  <c r="K13" i="69"/>
  <c r="K14" i="69"/>
  <c r="N76" i="69"/>
  <c r="G18" i="69"/>
  <c r="G17" i="69"/>
  <c r="G16" i="69"/>
  <c r="G15" i="69"/>
  <c r="G14" i="69"/>
  <c r="G13" i="69"/>
  <c r="G12" i="69"/>
  <c r="R17" i="68" l="1"/>
  <c r="R7" i="68"/>
  <c r="R2" i="68"/>
  <c r="J17" i="68" l="1"/>
  <c r="J7" i="68"/>
  <c r="J2" i="68"/>
  <c r="C3"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E85" i="36"/>
  <c r="F85" i="36" s="1"/>
  <c r="G85" i="36" s="1"/>
  <c r="H85" i="36" s="1"/>
  <c r="I85" i="36" s="1"/>
  <c r="J85" i="36" s="1"/>
  <c r="K85" i="36" s="1"/>
  <c r="L85" i="36" s="1"/>
  <c r="D85" i="36"/>
  <c r="E83" i="36"/>
  <c r="F83" i="36" s="1"/>
  <c r="G83" i="36" s="1"/>
  <c r="H83" i="36" s="1"/>
  <c r="I83" i="36" s="1"/>
  <c r="J83" i="36" s="1"/>
  <c r="K83" i="36" s="1"/>
  <c r="L83" i="36" s="1"/>
  <c r="M83" i="36" s="1"/>
  <c r="D83" i="36"/>
  <c r="M81" i="36"/>
  <c r="E81" i="36"/>
  <c r="F81" i="36" s="1"/>
  <c r="G81" i="36" s="1"/>
  <c r="H81" i="36" s="1"/>
  <c r="I81" i="36" s="1"/>
  <c r="J81" i="36" s="1"/>
  <c r="K81" i="36" s="1"/>
  <c r="L81" i="36" s="1"/>
  <c r="D81" i="36"/>
  <c r="G79" i="36"/>
  <c r="F79" i="36"/>
  <c r="E79" i="36"/>
  <c r="D79" i="36"/>
  <c r="C79" i="36"/>
  <c r="F78" i="36"/>
  <c r="G78" i="36" s="1"/>
  <c r="H78" i="36" s="1"/>
  <c r="I78" i="36" s="1"/>
  <c r="J78" i="36" s="1"/>
  <c r="K78" i="36" s="1"/>
  <c r="L78" i="36" s="1"/>
  <c r="M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J42" i="36"/>
  <c r="I42" i="36"/>
  <c r="H42" i="36"/>
  <c r="G42" i="36"/>
  <c r="F42" i="36"/>
  <c r="E42" i="36"/>
  <c r="P37" i="36"/>
  <c r="P36" i="36"/>
  <c r="V35" i="36"/>
  <c r="T35" i="36"/>
  <c r="R35" i="36"/>
  <c r="P35" i="36"/>
  <c r="Q34" i="36"/>
  <c r="Z34" i="36" s="1"/>
  <c r="AB33" i="36"/>
  <c r="U33" i="36"/>
  <c r="Q33" i="36"/>
  <c r="Z33" i="36" s="1"/>
  <c r="J33" i="36"/>
  <c r="AC33" i="36" s="1"/>
  <c r="H33" i="36"/>
  <c r="F33" i="36"/>
  <c r="AA33" i="36" s="1"/>
  <c r="Q32" i="36"/>
  <c r="Z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J25" i="36"/>
  <c r="AC25" i="36" s="1"/>
  <c r="H25" i="36"/>
  <c r="F25" i="36"/>
  <c r="AA25" i="36" s="1"/>
  <c r="AC24" i="36"/>
  <c r="W24" i="36"/>
  <c r="Q24" i="36"/>
  <c r="Z24" i="36" s="1"/>
  <c r="J24" i="36"/>
  <c r="H24" i="36"/>
  <c r="AB24" i="36" s="1"/>
  <c r="F24" i="36"/>
  <c r="AA24" i="36" s="1"/>
  <c r="AB23" i="36"/>
  <c r="U23" i="36"/>
  <c r="Q23" i="36"/>
  <c r="Z23" i="36" s="1"/>
  <c r="J23" i="36"/>
  <c r="AC23" i="36" s="1"/>
  <c r="H23" i="36"/>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AC12" i="36"/>
  <c r="W12" i="36"/>
  <c r="Q12" i="36"/>
  <c r="Z12" i="36" s="1"/>
  <c r="J12" i="36"/>
  <c r="H12" i="36"/>
  <c r="AB12" i="36" s="1"/>
  <c r="F12" i="36"/>
  <c r="AA12" i="36" s="1"/>
  <c r="AB11" i="36"/>
  <c r="U11" i="36"/>
  <c r="Q11" i="36"/>
  <c r="Z11" i="36" s="1"/>
  <c r="J11" i="36"/>
  <c r="AC11" i="36" s="1"/>
  <c r="H11" i="36"/>
  <c r="F11" i="36"/>
  <c r="AA11" i="36" s="1"/>
  <c r="AA10" i="36"/>
  <c r="Q10" i="36"/>
  <c r="Z10" i="36" s="1"/>
  <c r="J10" i="36"/>
  <c r="H10" i="36"/>
  <c r="AB10" i="36" s="1"/>
  <c r="F10" i="36"/>
  <c r="S10" i="36" s="1"/>
  <c r="Z9" i="36"/>
  <c r="Q9" i="36"/>
  <c r="H9" i="36"/>
  <c r="AB9" i="36" s="1"/>
  <c r="AC8" i="36"/>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J44" i="35"/>
  <c r="I44" i="35"/>
  <c r="H44" i="35"/>
  <c r="G44" i="35"/>
  <c r="F44" i="35"/>
  <c r="E44" i="35"/>
  <c r="P39" i="35"/>
  <c r="P38" i="35"/>
  <c r="V37" i="35"/>
  <c r="T37" i="35"/>
  <c r="R37" i="35"/>
  <c r="P37" i="35"/>
  <c r="AB36" i="35"/>
  <c r="U36" i="35"/>
  <c r="Q36" i="35"/>
  <c r="Z36" i="35" s="1"/>
  <c r="J36" i="35"/>
  <c r="AC36" i="35" s="1"/>
  <c r="H36" i="35"/>
  <c r="F36" i="35"/>
  <c r="AA36" i="35" s="1"/>
  <c r="AA35" i="35"/>
  <c r="Q35" i="35"/>
  <c r="Z35" i="35" s="1"/>
  <c r="J35" i="35"/>
  <c r="H35" i="35"/>
  <c r="AB35" i="35" s="1"/>
  <c r="F35" i="35"/>
  <c r="S35" i="35" s="1"/>
  <c r="Z34" i="35"/>
  <c r="Q34" i="35"/>
  <c r="J34" i="35"/>
  <c r="AC34" i="35" s="1"/>
  <c r="H34" i="35"/>
  <c r="F34" i="35"/>
  <c r="AA34" i="35" s="1"/>
  <c r="AC33" i="35"/>
  <c r="W33" i="35"/>
  <c r="Q33" i="35"/>
  <c r="Z33" i="35" s="1"/>
  <c r="J33" i="35"/>
  <c r="H33" i="35"/>
  <c r="AB33" i="35" s="1"/>
  <c r="F33" i="35"/>
  <c r="AA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J25" i="35"/>
  <c r="AC25" i="35" s="1"/>
  <c r="H25" i="35"/>
  <c r="F25" i="35"/>
  <c r="AA25" i="35" s="1"/>
  <c r="AC24" i="35"/>
  <c r="W24" i="35"/>
  <c r="Q24" i="35"/>
  <c r="Z24" i="35" s="1"/>
  <c r="J24" i="35"/>
  <c r="H24" i="35"/>
  <c r="AB24" i="35" s="1"/>
  <c r="F24" i="35"/>
  <c r="AA24" i="35" s="1"/>
  <c r="AB23" i="35"/>
  <c r="U23" i="35"/>
  <c r="Q23" i="35"/>
  <c r="Z23" i="35" s="1"/>
  <c r="J23" i="35"/>
  <c r="AC23" i="35" s="1"/>
  <c r="H23" i="35"/>
  <c r="F23" i="35"/>
  <c r="AA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AC12" i="35"/>
  <c r="W12" i="35"/>
  <c r="Q12" i="35"/>
  <c r="Z12" i="35" s="1"/>
  <c r="J12" i="35"/>
  <c r="H12" i="35"/>
  <c r="AB12" i="35" s="1"/>
  <c r="F12" i="35"/>
  <c r="AA12" i="35" s="1"/>
  <c r="AB11" i="35"/>
  <c r="U11" i="35"/>
  <c r="Q11" i="35"/>
  <c r="Z11" i="35" s="1"/>
  <c r="J11" i="35"/>
  <c r="AC11" i="35" s="1"/>
  <c r="H11" i="35"/>
  <c r="F11" i="35"/>
  <c r="AA11" i="35" s="1"/>
  <c r="Q10" i="35"/>
  <c r="Z10" i="35" s="1"/>
  <c r="J10" i="35"/>
  <c r="H10" i="35"/>
  <c r="AB10" i="35" s="1"/>
  <c r="F10" i="35"/>
  <c r="AA10" i="35" s="1"/>
  <c r="Q9" i="35"/>
  <c r="Z9" i="35" s="1"/>
  <c r="H9" i="35"/>
  <c r="AB9" i="35" s="1"/>
  <c r="AC8" i="35"/>
  <c r="U8" i="35"/>
  <c r="J8" i="35"/>
  <c r="W8" i="35" s="1"/>
  <c r="H8" i="35"/>
  <c r="AB8" i="35" s="1"/>
  <c r="F8" i="35"/>
  <c r="S8" i="35" s="1"/>
  <c r="D3" i="35"/>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D52" i="37"/>
  <c r="E52" i="37" s="1"/>
  <c r="F52" i="37" s="1"/>
  <c r="G52" i="37" s="1"/>
  <c r="H52" i="37" s="1"/>
  <c r="I52" i="37" s="1"/>
  <c r="J52" i="37" s="1"/>
  <c r="K52" i="37" s="1"/>
  <c r="L52" i="37" s="1"/>
  <c r="M52" i="37" s="1"/>
  <c r="N52" i="37" s="1"/>
  <c r="O52" i="37" s="1"/>
  <c r="J48" i="37"/>
  <c r="I48" i="37"/>
  <c r="H48" i="37"/>
  <c r="G48" i="37"/>
  <c r="F48" i="37"/>
  <c r="E48" i="37"/>
  <c r="P43" i="37"/>
  <c r="P42" i="37"/>
  <c r="V41" i="37"/>
  <c r="T41" i="37"/>
  <c r="R41" i="37"/>
  <c r="P41" i="37"/>
  <c r="AB40" i="37"/>
  <c r="U40" i="37"/>
  <c r="Q40" i="37"/>
  <c r="Z40" i="37" s="1"/>
  <c r="J40" i="37"/>
  <c r="AC40" i="37" s="1"/>
  <c r="H40" i="37"/>
  <c r="F40" i="37"/>
  <c r="AA40" i="37" s="1"/>
  <c r="Q39" i="37"/>
  <c r="Z39" i="37" s="1"/>
  <c r="J39" i="37"/>
  <c r="AB38" i="37"/>
  <c r="U38" i="37"/>
  <c r="Q38" i="37"/>
  <c r="Z38" i="37" s="1"/>
  <c r="J38" i="37"/>
  <c r="AC38" i="37" s="1"/>
  <c r="H38" i="37"/>
  <c r="F38" i="37"/>
  <c r="AA38" i="37" s="1"/>
  <c r="AA37" i="37"/>
  <c r="Q37" i="37"/>
  <c r="Z37" i="37" s="1"/>
  <c r="J37" i="37"/>
  <c r="H37" i="37"/>
  <c r="AB37" i="37" s="1"/>
  <c r="F37" i="37"/>
  <c r="S37" i="37" s="1"/>
  <c r="Z36" i="37"/>
  <c r="Q36" i="37"/>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H33" i="37"/>
  <c r="AB33" i="37" s="1"/>
  <c r="F33" i="37"/>
  <c r="AA33" i="37" s="1"/>
  <c r="Q32" i="37"/>
  <c r="Z32" i="37" s="1"/>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AA29" i="37"/>
  <c r="Q29" i="37"/>
  <c r="Z29" i="37" s="1"/>
  <c r="J29" i="37"/>
  <c r="H29" i="37"/>
  <c r="AB29" i="37" s="1"/>
  <c r="F29" i="37"/>
  <c r="S29" i="37" s="1"/>
  <c r="Z28" i="37"/>
  <c r="Q28" i="37"/>
  <c r="H28" i="37"/>
  <c r="AB28" i="37" s="1"/>
  <c r="AC27" i="37"/>
  <c r="W27" i="37"/>
  <c r="Q27" i="37"/>
  <c r="Z27" i="37" s="1"/>
  <c r="J27" i="37"/>
  <c r="H27" i="37"/>
  <c r="AB27" i="37" s="1"/>
  <c r="F27" i="37"/>
  <c r="AA27" i="37" s="1"/>
  <c r="Q26" i="37"/>
  <c r="Z26" i="37" s="1"/>
  <c r="H26" i="37"/>
  <c r="AB26" i="37" s="1"/>
  <c r="Q25" i="37"/>
  <c r="Z25" i="37" s="1"/>
  <c r="J25" i="37"/>
  <c r="H25" i="37"/>
  <c r="AB25" i="37" s="1"/>
  <c r="F25" i="37"/>
  <c r="AA25" i="37" s="1"/>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Q17" i="37"/>
  <c r="Z17" i="37" s="1"/>
  <c r="J17" i="37"/>
  <c r="AC17" i="37" s="1"/>
  <c r="H17" i="37"/>
  <c r="F17" i="37"/>
  <c r="AA17" i="37" s="1"/>
  <c r="C17" i="37"/>
  <c r="Q15" i="37"/>
  <c r="Z15" i="37" s="1"/>
  <c r="J15" i="37"/>
  <c r="AC15" i="37" s="1"/>
  <c r="H15" i="37"/>
  <c r="F15" i="37"/>
  <c r="AA15" i="37" s="1"/>
  <c r="C15" i="37"/>
  <c r="Q14" i="37"/>
  <c r="Z14" i="37" s="1"/>
  <c r="AC13" i="37"/>
  <c r="W13" i="37"/>
  <c r="Q13" i="37"/>
  <c r="Z13" i="37" s="1"/>
  <c r="J13" i="37"/>
  <c r="H13" i="37"/>
  <c r="AB13" i="37" s="1"/>
  <c r="F13" i="37"/>
  <c r="AA13" i="37" s="1"/>
  <c r="Q12" i="37"/>
  <c r="Z12" i="37" s="1"/>
  <c r="H12" i="37"/>
  <c r="AB12" i="37" s="1"/>
  <c r="AA11" i="37"/>
  <c r="U11" i="37"/>
  <c r="Q11" i="37"/>
  <c r="Z11" i="37" s="1"/>
  <c r="J11" i="37"/>
  <c r="AC11" i="37" s="1"/>
  <c r="H11" i="37"/>
  <c r="AB11" i="37" s="1"/>
  <c r="F11" i="37"/>
  <c r="S11" i="37" s="1"/>
  <c r="Q10" i="37"/>
  <c r="Z10" i="37" s="1"/>
  <c r="J10" i="37"/>
  <c r="H10" i="37"/>
  <c r="AB10" i="37" s="1"/>
  <c r="F10" i="37"/>
  <c r="AA10" i="37" s="1"/>
  <c r="Q9" i="37"/>
  <c r="Z9" i="37" s="1"/>
  <c r="H9" i="37"/>
  <c r="AB9" i="37" s="1"/>
  <c r="AC8" i="37"/>
  <c r="U8" i="37"/>
  <c r="J8" i="37"/>
  <c r="W8" i="37" s="1"/>
  <c r="H8" i="37"/>
  <c r="AB8" i="37" s="1"/>
  <c r="F8" i="37"/>
  <c r="S8" i="37" s="1"/>
  <c r="C7" i="37"/>
  <c r="C52" i="37" s="1"/>
  <c r="D3" i="37"/>
  <c r="B131" i="34"/>
  <c r="H47" i="34" s="1"/>
  <c r="B129" i="34"/>
  <c r="B127" i="34"/>
  <c r="H45" i="34" s="1"/>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H31" i="34" s="1"/>
  <c r="B95" i="34"/>
  <c r="B93" i="34"/>
  <c r="H29" i="34" s="1"/>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AA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AA35" i="34" s="1"/>
  <c r="Q34" i="34"/>
  <c r="Z34" i="34" s="1"/>
  <c r="J34" i="34"/>
  <c r="AC34" i="34" s="1"/>
  <c r="H34" i="34"/>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F31" i="34"/>
  <c r="AB30" i="34"/>
  <c r="U30" i="34"/>
  <c r="Q30" i="34"/>
  <c r="Z30" i="34" s="1"/>
  <c r="J30" i="34"/>
  <c r="AC30" i="34" s="1"/>
  <c r="H30" i="34"/>
  <c r="F30" i="34"/>
  <c r="AA30" i="34" s="1"/>
  <c r="AA29" i="34"/>
  <c r="S29" i="34"/>
  <c r="Q29" i="34"/>
  <c r="Z29" i="34" s="1"/>
  <c r="J29" i="34"/>
  <c r="F29" i="34"/>
  <c r="AB28" i="34"/>
  <c r="U28" i="34"/>
  <c r="Q28" i="34"/>
  <c r="Z28" i="34" s="1"/>
  <c r="J28" i="34"/>
  <c r="AC28" i="34" s="1"/>
  <c r="H28" i="34"/>
  <c r="F28" i="34"/>
  <c r="AA28" i="34" s="1"/>
  <c r="Q27" i="34"/>
  <c r="Z27" i="34" s="1"/>
  <c r="J27" i="34"/>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AA15" i="34"/>
  <c r="Q15" i="34"/>
  <c r="Z15" i="34" s="1"/>
  <c r="J15" i="34"/>
  <c r="H15" i="34"/>
  <c r="AB15" i="34" s="1"/>
  <c r="F15" i="34"/>
  <c r="S15" i="34" s="1"/>
  <c r="C15" i="34"/>
  <c r="AC14" i="34"/>
  <c r="W14" i="34"/>
  <c r="Q14" i="34"/>
  <c r="Z14" i="34" s="1"/>
  <c r="J14" i="34"/>
  <c r="H14" i="34"/>
  <c r="AB14" i="34" s="1"/>
  <c r="F14" i="34"/>
  <c r="AA14" i="34" s="1"/>
  <c r="Q13" i="34"/>
  <c r="Z13" i="34" s="1"/>
  <c r="H13" i="34"/>
  <c r="AB13" i="34" s="1"/>
  <c r="Q12" i="34"/>
  <c r="Z12" i="34" s="1"/>
  <c r="J12" i="34"/>
  <c r="H12" i="34"/>
  <c r="AB12" i="34" s="1"/>
  <c r="F12" i="34"/>
  <c r="AA12" i="34" s="1"/>
  <c r="Q11" i="34"/>
  <c r="Z11" i="34" s="1"/>
  <c r="J11" i="34"/>
  <c r="AC11" i="34" s="1"/>
  <c r="H11" i="34"/>
  <c r="F11" i="34"/>
  <c r="AA11" i="34" s="1"/>
  <c r="AC10" i="34"/>
  <c r="W10" i="34"/>
  <c r="Q10" i="34"/>
  <c r="Z10" i="34" s="1"/>
  <c r="J10" i="34"/>
  <c r="H10" i="34"/>
  <c r="AB10" i="34" s="1"/>
  <c r="F10" i="34"/>
  <c r="AA10" i="34" s="1"/>
  <c r="AB9" i="34"/>
  <c r="U9" i="34"/>
  <c r="Q9" i="34"/>
  <c r="Z9" i="34" s="1"/>
  <c r="J9" i="34"/>
  <c r="AC9" i="34" s="1"/>
  <c r="H9" i="34"/>
  <c r="F9" i="34"/>
  <c r="AA9" i="34" s="1"/>
  <c r="U8" i="34"/>
  <c r="J8" i="34"/>
  <c r="H8" i="34"/>
  <c r="AB8" i="34" s="1"/>
  <c r="F8" i="34"/>
  <c r="S8" i="34" s="1"/>
  <c r="D3" i="34"/>
  <c r="B130" i="33"/>
  <c r="B128" i="33"/>
  <c r="B126" i="33"/>
  <c r="D125" i="33"/>
  <c r="E125" i="33" s="1"/>
  <c r="F125" i="33" s="1"/>
  <c r="G125" i="33" s="1"/>
  <c r="J123" i="33"/>
  <c r="K123" i="33" s="1"/>
  <c r="L123" i="33" s="1"/>
  <c r="M123" i="33" s="1"/>
  <c r="F123" i="33"/>
  <c r="G123" i="33" s="1"/>
  <c r="H123" i="33" s="1"/>
  <c r="I123" i="33" s="1"/>
  <c r="D123" i="33"/>
  <c r="E123" i="33" s="1"/>
  <c r="H121" i="33"/>
  <c r="I121" i="33" s="1"/>
  <c r="J121" i="33" s="1"/>
  <c r="K121" i="33" s="1"/>
  <c r="L121" i="33" s="1"/>
  <c r="M121" i="33" s="1"/>
  <c r="D121" i="33"/>
  <c r="E121" i="33" s="1"/>
  <c r="F121" i="33" s="1"/>
  <c r="G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V47" i="33"/>
  <c r="T47" i="33"/>
  <c r="R47" i="33"/>
  <c r="P47" i="33"/>
  <c r="Z46" i="33"/>
  <c r="Q46" i="33"/>
  <c r="AC45" i="33"/>
  <c r="W45" i="33"/>
  <c r="Q45" i="33"/>
  <c r="Z45" i="33" s="1"/>
  <c r="J45" i="33"/>
  <c r="H45" i="33"/>
  <c r="AB45" i="33" s="1"/>
  <c r="F45" i="33"/>
  <c r="AA45" i="33" s="1"/>
  <c r="Q44" i="33"/>
  <c r="Z44" i="33" s="1"/>
  <c r="AA43" i="33"/>
  <c r="Q43" i="33"/>
  <c r="Z43" i="33" s="1"/>
  <c r="J43" i="33"/>
  <c r="H43" i="33"/>
  <c r="AB43" i="33" s="1"/>
  <c r="F43" i="33"/>
  <c r="S43" i="33" s="1"/>
  <c r="Z42" i="33"/>
  <c r="Q42" i="33"/>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H39" i="33"/>
  <c r="AB39" i="33" s="1"/>
  <c r="F39" i="33"/>
  <c r="AA39" i="33" s="1"/>
  <c r="Q38" i="33"/>
  <c r="Z38" i="33" s="1"/>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AA35" i="33"/>
  <c r="Q35" i="33"/>
  <c r="Z35" i="33" s="1"/>
  <c r="J35" i="33"/>
  <c r="H35" i="33"/>
  <c r="AB35" i="33" s="1"/>
  <c r="F35" i="33"/>
  <c r="S35" i="33" s="1"/>
  <c r="Z34" i="33"/>
  <c r="Q34" i="33"/>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H31" i="33"/>
  <c r="AB31" i="33" s="1"/>
  <c r="F31" i="33"/>
  <c r="AA31" i="33" s="1"/>
  <c r="Q30" i="33"/>
  <c r="Z30" i="33" s="1"/>
  <c r="AC29" i="33"/>
  <c r="W29" i="33"/>
  <c r="Q29" i="33"/>
  <c r="Z29" i="33" s="1"/>
  <c r="J29" i="33"/>
  <c r="H29" i="33"/>
  <c r="AB29" i="33" s="1"/>
  <c r="F29" i="33"/>
  <c r="AA29" i="33" s="1"/>
  <c r="Q28" i="33"/>
  <c r="Z28" i="33" s="1"/>
  <c r="H28" i="33"/>
  <c r="AB28" i="33" s="1"/>
  <c r="Q27" i="33"/>
  <c r="Z27" i="33" s="1"/>
  <c r="J27" i="33"/>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B12" i="33"/>
  <c r="U12" i="33"/>
  <c r="Q12" i="33"/>
  <c r="Z12" i="33" s="1"/>
  <c r="J12" i="33"/>
  <c r="AC12" i="33" s="1"/>
  <c r="H12" i="33"/>
  <c r="F12" i="33"/>
  <c r="AA12" i="33" s="1"/>
  <c r="Q11" i="33"/>
  <c r="Z11" i="33" s="1"/>
  <c r="J11" i="33"/>
  <c r="H11" i="33"/>
  <c r="AB11" i="33" s="1"/>
  <c r="F11" i="33"/>
  <c r="AA11" i="33" s="1"/>
  <c r="Q10" i="33"/>
  <c r="Z10" i="33" s="1"/>
  <c r="J10" i="33"/>
  <c r="AC10" i="33" s="1"/>
  <c r="H10" i="33"/>
  <c r="F10" i="33"/>
  <c r="AA10" i="33" s="1"/>
  <c r="AC9" i="33"/>
  <c r="W9" i="33"/>
  <c r="Q9" i="33"/>
  <c r="Z9" i="33" s="1"/>
  <c r="J9" i="33"/>
  <c r="F9" i="33"/>
  <c r="W8" i="33"/>
  <c r="S8" i="33"/>
  <c r="J8" i="33"/>
  <c r="AC8" i="33" s="1"/>
  <c r="H8" i="33"/>
  <c r="U8" i="33" s="1"/>
  <c r="F8" i="33"/>
  <c r="AA8" i="33" s="1"/>
  <c r="D3" i="33"/>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D74" i="59"/>
  <c r="F73" i="59"/>
  <c r="E73" i="59"/>
  <c r="E72" i="59" s="1"/>
  <c r="C73" i="59"/>
  <c r="B73" i="59"/>
  <c r="F72" i="59"/>
  <c r="F71" i="59" s="1"/>
  <c r="B72" i="59"/>
  <c r="B71" i="59" s="1"/>
  <c r="E71" i="59"/>
  <c r="D70" i="59"/>
  <c r="F69" i="59"/>
  <c r="E69" i="59"/>
  <c r="E68" i="59" s="1"/>
  <c r="C69" i="59"/>
  <c r="B69" i="59"/>
  <c r="F68" i="59"/>
  <c r="F67" i="59" s="1"/>
  <c r="B68" i="59"/>
  <c r="B67" i="59" s="1"/>
  <c r="E67" i="59"/>
  <c r="D66" i="59"/>
  <c r="U65" i="59"/>
  <c r="S65" i="59"/>
  <c r="Q65" i="59"/>
  <c r="P65" i="59"/>
  <c r="O65" i="59"/>
  <c r="N65" i="59"/>
  <c r="F65" i="59"/>
  <c r="V65" i="59" s="1"/>
  <c r="E65" i="59"/>
  <c r="E64" i="59" s="1"/>
  <c r="C65" i="59"/>
  <c r="B65" i="59"/>
  <c r="Q64" i="59"/>
  <c r="P64" i="59"/>
  <c r="O64" i="59"/>
  <c r="N64" i="59"/>
  <c r="F64" i="59"/>
  <c r="F63" i="59" s="1"/>
  <c r="B64" i="59"/>
  <c r="B63" i="59" s="1"/>
  <c r="Q63" i="59"/>
  <c r="P63" i="59"/>
  <c r="O63" i="59"/>
  <c r="N63" i="59"/>
  <c r="E63" i="59"/>
  <c r="Q62" i="59"/>
  <c r="P62" i="59"/>
  <c r="O62" i="59"/>
  <c r="N62" i="59"/>
  <c r="D62" i="59"/>
  <c r="U61" i="59"/>
  <c r="S61" i="59"/>
  <c r="Q61" i="59"/>
  <c r="P61" i="59"/>
  <c r="O61" i="59"/>
  <c r="N61" i="59"/>
  <c r="F61" i="59"/>
  <c r="V61" i="59" s="1"/>
  <c r="E61" i="59"/>
  <c r="E60" i="59" s="1"/>
  <c r="C61" i="59"/>
  <c r="B61" i="59"/>
  <c r="Q60" i="59"/>
  <c r="P60" i="59"/>
  <c r="O60" i="59"/>
  <c r="N60" i="59"/>
  <c r="F60" i="59"/>
  <c r="F59" i="59" s="1"/>
  <c r="B60" i="59"/>
  <c r="B59" i="59" s="1"/>
  <c r="Q59" i="59"/>
  <c r="P59" i="59"/>
  <c r="O59" i="59"/>
  <c r="N59" i="59"/>
  <c r="E59" i="59"/>
  <c r="Q58" i="59"/>
  <c r="P58" i="59"/>
  <c r="O58" i="59"/>
  <c r="N58" i="59"/>
  <c r="D58" i="59"/>
  <c r="U57" i="59"/>
  <c r="S57" i="59"/>
  <c r="Q57" i="59"/>
  <c r="P57" i="59"/>
  <c r="O57" i="59"/>
  <c r="N57" i="59"/>
  <c r="F57" i="59"/>
  <c r="V57" i="59" s="1"/>
  <c r="E57" i="59"/>
  <c r="E56" i="59" s="1"/>
  <c r="C57" i="59"/>
  <c r="B57" i="59"/>
  <c r="Q56" i="59"/>
  <c r="P56" i="59"/>
  <c r="O56" i="59"/>
  <c r="N56" i="59"/>
  <c r="F56" i="59"/>
  <c r="F55" i="59" s="1"/>
  <c r="B56" i="59"/>
  <c r="B55" i="59" s="1"/>
  <c r="Q55" i="59"/>
  <c r="P55" i="59"/>
  <c r="O55" i="59"/>
  <c r="N55" i="59"/>
  <c r="E55" i="59"/>
  <c r="Q54" i="59"/>
  <c r="P54" i="59"/>
  <c r="O54" i="59"/>
  <c r="N54" i="59"/>
  <c r="D54" i="59"/>
  <c r="U53" i="59"/>
  <c r="S53" i="59"/>
  <c r="P53" i="59"/>
  <c r="N53" i="59"/>
  <c r="F53" i="59"/>
  <c r="V53" i="59" s="1"/>
  <c r="E53" i="59"/>
  <c r="E52" i="59" s="1"/>
  <c r="P52" i="59" s="1"/>
  <c r="C53" i="59"/>
  <c r="B53" i="59"/>
  <c r="Q52" i="59"/>
  <c r="F52" i="59"/>
  <c r="F51" i="59" s="1"/>
  <c r="B52" i="59"/>
  <c r="E51" i="59"/>
  <c r="P50" i="59" s="1"/>
  <c r="D50" i="59"/>
  <c r="Q49" i="59"/>
  <c r="P49" i="59"/>
  <c r="O49" i="59"/>
  <c r="N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T33" i="59"/>
  <c r="Q33" i="59"/>
  <c r="P33" i="59"/>
  <c r="O33" i="59"/>
  <c r="N33" i="59"/>
  <c r="D33" i="59"/>
  <c r="Q32" i="59"/>
  <c r="P32" i="59"/>
  <c r="O32" i="59"/>
  <c r="N32" i="59"/>
  <c r="Q31" i="59"/>
  <c r="P31" i="59"/>
  <c r="O31" i="59"/>
  <c r="N31" i="59"/>
  <c r="F31" i="59"/>
  <c r="F32" i="59" s="1"/>
  <c r="F33" i="59" s="1"/>
  <c r="V33" i="59" s="1"/>
  <c r="Q30" i="59"/>
  <c r="P30" i="59"/>
  <c r="E31" i="59" s="1"/>
  <c r="E32" i="59" s="1"/>
  <c r="E33" i="59" s="1"/>
  <c r="U33" i="59" s="1"/>
  <c r="O30" i="59"/>
  <c r="C31" i="59" s="1"/>
  <c r="C32" i="59" s="1"/>
  <c r="D32" i="59" s="1"/>
  <c r="N30" i="59"/>
  <c r="B31" i="59" s="1"/>
  <c r="B32" i="59" s="1"/>
  <c r="B33" i="59" s="1"/>
  <c r="S33" i="59" s="1"/>
  <c r="D30" i="59"/>
  <c r="Q29" i="59"/>
  <c r="P29" i="59"/>
  <c r="O29" i="59"/>
  <c r="N29" i="59"/>
  <c r="F29" i="59"/>
  <c r="V29" i="59" s="1"/>
  <c r="Q28" i="59"/>
  <c r="P28" i="59"/>
  <c r="O28" i="59"/>
  <c r="N28" i="59"/>
  <c r="Q27" i="59"/>
  <c r="P27" i="59"/>
  <c r="O27" i="59"/>
  <c r="N27" i="59"/>
  <c r="F27" i="59"/>
  <c r="F28" i="59" s="1"/>
  <c r="Q26" i="59"/>
  <c r="P26" i="59"/>
  <c r="E27" i="59" s="1"/>
  <c r="E28" i="59" s="1"/>
  <c r="E29" i="59" s="1"/>
  <c r="U29" i="59" s="1"/>
  <c r="O26" i="59"/>
  <c r="C27" i="59" s="1"/>
  <c r="C28" i="59" s="1"/>
  <c r="N26" i="59"/>
  <c r="B27" i="59" s="1"/>
  <c r="B28" i="59" s="1"/>
  <c r="B29" i="59" s="1"/>
  <c r="S29" i="59" s="1"/>
  <c r="D26" i="59"/>
  <c r="AH25" i="59"/>
  <c r="AG25" i="59"/>
  <c r="AF25" i="59"/>
  <c r="AE25" i="59"/>
  <c r="AD25" i="59"/>
  <c r="Q25" i="59"/>
  <c r="P25" i="59"/>
  <c r="O25" i="59"/>
  <c r="N25" i="59"/>
  <c r="AH24" i="59"/>
  <c r="AG24" i="59"/>
  <c r="AF24" i="59"/>
  <c r="AE24" i="59"/>
  <c r="AD24" i="59"/>
  <c r="AA24" i="59"/>
  <c r="Y24" i="59"/>
  <c r="Z24" i="59" s="1"/>
  <c r="Q24" i="59"/>
  <c r="AB24" i="59" s="1"/>
  <c r="P24" i="59"/>
  <c r="O24" i="59"/>
  <c r="N24" i="59"/>
  <c r="X24" i="59" s="1"/>
  <c r="AH23" i="59"/>
  <c r="AG23" i="59"/>
  <c r="AE23" i="59"/>
  <c r="AF23" i="59" s="1"/>
  <c r="AD23" i="59"/>
  <c r="AB23" i="59"/>
  <c r="Q23" i="59"/>
  <c r="P23" i="59"/>
  <c r="AA23" i="59" s="1"/>
  <c r="O23" i="59"/>
  <c r="Y23" i="59" s="1"/>
  <c r="Z23" i="59" s="1"/>
  <c r="N23" i="59"/>
  <c r="X23" i="59" s="1"/>
  <c r="E23" i="59"/>
  <c r="AH22" i="59"/>
  <c r="AG22" i="59"/>
  <c r="AF22" i="59"/>
  <c r="AE22" i="59"/>
  <c r="AD22" i="59"/>
  <c r="AA22" i="59"/>
  <c r="Q22" i="59"/>
  <c r="P22" i="59"/>
  <c r="O22" i="59"/>
  <c r="Y22" i="59" s="1"/>
  <c r="Z22" i="59" s="1"/>
  <c r="N22" i="59"/>
  <c r="B23" i="59" s="1"/>
  <c r="B24" i="59" s="1"/>
  <c r="B25" i="59" s="1"/>
  <c r="S25" i="59" s="1"/>
  <c r="D22" i="59"/>
  <c r="AH21" i="59"/>
  <c r="AG21" i="59"/>
  <c r="AE21" i="59"/>
  <c r="AF21" i="59" s="1"/>
  <c r="AD21" i="59"/>
  <c r="Q21" i="59"/>
  <c r="P21" i="59"/>
  <c r="O21" i="59"/>
  <c r="Y21" i="59" s="1"/>
  <c r="Z21" i="59" s="1"/>
  <c r="N21" i="59"/>
  <c r="X21" i="59" s="1"/>
  <c r="AH20" i="59"/>
  <c r="AG20" i="59"/>
  <c r="AF20" i="59"/>
  <c r="AE20" i="59"/>
  <c r="AD20" i="59"/>
  <c r="Y20" i="59"/>
  <c r="Z20" i="59" s="1"/>
  <c r="Q20" i="59"/>
  <c r="P20" i="59"/>
  <c r="O20" i="59"/>
  <c r="N20" i="59"/>
  <c r="X20" i="59" s="1"/>
  <c r="AH19" i="59"/>
  <c r="AG19" i="59"/>
  <c r="AE19" i="59"/>
  <c r="AF19" i="59" s="1"/>
  <c r="AD19" i="59"/>
  <c r="AB19" i="59"/>
  <c r="Q19" i="59"/>
  <c r="P19" i="59"/>
  <c r="AA19" i="59" s="1"/>
  <c r="O19" i="59"/>
  <c r="N19" i="59"/>
  <c r="X19" i="59" s="1"/>
  <c r="E19" i="59"/>
  <c r="AH18" i="59"/>
  <c r="AG18" i="59"/>
  <c r="AF18" i="59"/>
  <c r="AE18" i="59"/>
  <c r="AD18" i="59"/>
  <c r="AA18" i="59"/>
  <c r="Q18" i="59"/>
  <c r="P18" i="59"/>
  <c r="O18" i="59"/>
  <c r="Y18" i="59" s="1"/>
  <c r="Z18" i="59" s="1"/>
  <c r="N18" i="59"/>
  <c r="B19" i="59" s="1"/>
  <c r="B20" i="59" s="1"/>
  <c r="B21" i="59" s="1"/>
  <c r="S21" i="59" s="1"/>
  <c r="D18" i="59"/>
  <c r="AH17" i="59"/>
  <c r="AG17" i="59"/>
  <c r="AE17" i="59"/>
  <c r="AF17" i="59" s="1"/>
  <c r="AD17" i="59"/>
  <c r="Q17" i="59"/>
  <c r="P17" i="59"/>
  <c r="O17" i="59"/>
  <c r="Y17" i="59" s="1"/>
  <c r="Z17" i="59" s="1"/>
  <c r="N17" i="59"/>
  <c r="X17" i="59" s="1"/>
  <c r="AH16" i="59"/>
  <c r="AG16" i="59"/>
  <c r="AF16" i="59"/>
  <c r="AE16" i="59"/>
  <c r="AD16" i="59"/>
  <c r="Y16" i="59"/>
  <c r="Z16" i="59" s="1"/>
  <c r="Q16" i="59"/>
  <c r="P16" i="59"/>
  <c r="O16" i="59"/>
  <c r="N16" i="59"/>
  <c r="X16" i="59" s="1"/>
  <c r="AH15" i="59"/>
  <c r="AG15" i="59"/>
  <c r="AE15" i="59"/>
  <c r="AF15" i="59" s="1"/>
  <c r="AD15" i="59"/>
  <c r="AB15" i="59"/>
  <c r="Q15" i="59"/>
  <c r="P15" i="59"/>
  <c r="AA15" i="59" s="1"/>
  <c r="O15" i="59"/>
  <c r="N15" i="59"/>
  <c r="X15" i="59" s="1"/>
  <c r="E15" i="59"/>
  <c r="AH14" i="59"/>
  <c r="AG14" i="59"/>
  <c r="AF14" i="59"/>
  <c r="AE14" i="59"/>
  <c r="AD14" i="59"/>
  <c r="AA14" i="59"/>
  <c r="Q14" i="59"/>
  <c r="P14" i="59"/>
  <c r="O14" i="59"/>
  <c r="Y14" i="59" s="1"/>
  <c r="Z14" i="59" s="1"/>
  <c r="N14" i="59"/>
  <c r="B15" i="59" s="1"/>
  <c r="B16" i="59" s="1"/>
  <c r="B17" i="59" s="1"/>
  <c r="S17" i="59" s="1"/>
  <c r="D14" i="59"/>
  <c r="AH13" i="59"/>
  <c r="AG13" i="59"/>
  <c r="AE13" i="59"/>
  <c r="AF13" i="59" s="1"/>
  <c r="AD13" i="59"/>
  <c r="U13" i="59"/>
  <c r="Q13" i="59"/>
  <c r="P13" i="59"/>
  <c r="O13" i="59"/>
  <c r="Y13" i="59" s="1"/>
  <c r="Z13" i="59" s="1"/>
  <c r="N13" i="59"/>
  <c r="B13" i="59" s="1"/>
  <c r="S13" i="59" s="1"/>
  <c r="F13" i="59"/>
  <c r="V13" i="59" s="1"/>
  <c r="E13" i="59"/>
  <c r="E12" i="59" s="1"/>
  <c r="C13" i="59"/>
  <c r="AH12" i="59"/>
  <c r="AG12" i="59"/>
  <c r="AF12" i="59"/>
  <c r="AE12" i="59"/>
  <c r="AD12" i="59"/>
  <c r="AA12" i="59"/>
  <c r="Q12" i="59"/>
  <c r="AB12" i="59" s="1"/>
  <c r="P12" i="59"/>
  <c r="O12" i="59"/>
  <c r="Y12" i="59" s="1"/>
  <c r="Z12" i="59" s="1"/>
  <c r="N12" i="59"/>
  <c r="F12" i="59"/>
  <c r="F11" i="59" s="1"/>
  <c r="B12" i="59"/>
  <c r="B11" i="59" s="1"/>
  <c r="AH11" i="59"/>
  <c r="AG11" i="59"/>
  <c r="AE11" i="59"/>
  <c r="AF11" i="59" s="1"/>
  <c r="AD11" i="59"/>
  <c r="Q11" i="59"/>
  <c r="P11" i="59"/>
  <c r="O11" i="59"/>
  <c r="Y11" i="59" s="1"/>
  <c r="Z11" i="59" s="1"/>
  <c r="N11" i="59"/>
  <c r="X11" i="59" s="1"/>
  <c r="E11" i="59"/>
  <c r="AH10" i="59"/>
  <c r="AG10" i="59"/>
  <c r="AF10" i="59"/>
  <c r="AE10" i="59"/>
  <c r="AD10" i="59"/>
  <c r="Y10" i="59"/>
  <c r="Z10" i="59" s="1"/>
  <c r="Q10" i="59"/>
  <c r="P10" i="59"/>
  <c r="O10" i="59"/>
  <c r="N10" i="59"/>
  <c r="X10" i="59" s="1"/>
  <c r="D10" i="59"/>
  <c r="AH9" i="59"/>
  <c r="AG9" i="59"/>
  <c r="AE9" i="59"/>
  <c r="AF9" i="59" s="1"/>
  <c r="AD9" i="59"/>
  <c r="AB9" i="59"/>
  <c r="Q9" i="59"/>
  <c r="P9" i="59"/>
  <c r="AA9" i="59" s="1"/>
  <c r="O9" i="59"/>
  <c r="N9" i="59"/>
  <c r="B9" i="59" s="1"/>
  <c r="B8" i="59" s="1"/>
  <c r="B7" i="59" s="1"/>
  <c r="B6" i="59" s="1"/>
  <c r="B5" i="59" s="1"/>
  <c r="F9" i="59"/>
  <c r="V9" i="59" s="1"/>
  <c r="E9" i="59"/>
  <c r="E8" i="59" s="1"/>
  <c r="E7" i="59" s="1"/>
  <c r="E6" i="59" s="1"/>
  <c r="E5" i="59" s="1"/>
  <c r="C9" i="59"/>
  <c r="AH8" i="59"/>
  <c r="AG8" i="59"/>
  <c r="AF8" i="59"/>
  <c r="AE8" i="59"/>
  <c r="AD8" i="59"/>
  <c r="Y8" i="59"/>
  <c r="Z8" i="59" s="1"/>
  <c r="Q8" i="59"/>
  <c r="P8" i="59"/>
  <c r="O8" i="59"/>
  <c r="N8" i="59"/>
  <c r="X8" i="59" s="1"/>
  <c r="F8" i="59"/>
  <c r="F7" i="59" s="1"/>
  <c r="AH7" i="59"/>
  <c r="AG7" i="59"/>
  <c r="AE7" i="59"/>
  <c r="AF7" i="59" s="1"/>
  <c r="AD7" i="59"/>
  <c r="AB7" i="59"/>
  <c r="Q7" i="59"/>
  <c r="P7" i="59"/>
  <c r="AA7" i="59" s="1"/>
  <c r="O7" i="59"/>
  <c r="N7" i="59"/>
  <c r="X7" i="59" s="1"/>
  <c r="AH6" i="59"/>
  <c r="AG6" i="59"/>
  <c r="AF6" i="59"/>
  <c r="AE6" i="59"/>
  <c r="AD6" i="59"/>
  <c r="AA6" i="59"/>
  <c r="Q6" i="59"/>
  <c r="P6" i="59"/>
  <c r="O6" i="59"/>
  <c r="Y6" i="59" s="1"/>
  <c r="Z6" i="59" s="1"/>
  <c r="N6" i="59"/>
  <c r="F6" i="59"/>
  <c r="F5" i="59" s="1"/>
  <c r="AH5" i="59"/>
  <c r="AG5" i="59"/>
  <c r="AE5" i="59"/>
  <c r="AF5" i="59" s="1"/>
  <c r="AD5" i="59"/>
  <c r="Q5" i="59"/>
  <c r="P5" i="59"/>
  <c r="O5" i="59"/>
  <c r="Y5" i="59" s="1"/>
  <c r="Z5" i="59" s="1"/>
  <c r="N5" i="59"/>
  <c r="AH3" i="59"/>
  <c r="AD3" i="59"/>
  <c r="Y3" i="59"/>
  <c r="Z3" i="59" s="1"/>
  <c r="L3" i="59"/>
  <c r="K3" i="59"/>
  <c r="AG3" i="59" s="1"/>
  <c r="J3" i="59"/>
  <c r="AE3" i="59" s="1"/>
  <c r="AF3" i="59" s="1"/>
  <c r="I3" i="59"/>
  <c r="Q74" i="44"/>
  <c r="Q61" i="44"/>
  <c r="Q60" i="44"/>
  <c r="Q53" i="44"/>
  <c r="J52" i="44"/>
  <c r="J51" i="44"/>
  <c r="M48" i="44"/>
  <c r="F35" i="44"/>
  <c r="F33" i="44"/>
  <c r="F25" i="44"/>
  <c r="D24" i="44" s="1"/>
  <c r="F23" i="44"/>
  <c r="F22" i="44"/>
  <c r="M21" i="44"/>
  <c r="F20" i="44"/>
  <c r="M19" i="44"/>
  <c r="F19" i="44"/>
  <c r="F17" i="44"/>
  <c r="G1" i="44"/>
  <c r="H16" i="48"/>
  <c r="H12" i="48"/>
  <c r="H8" i="48"/>
  <c r="H61" i="49"/>
  <c r="N26" i="69"/>
  <c r="N27" i="69" s="1"/>
  <c r="E20" i="69"/>
  <c r="E18" i="69"/>
  <c r="F15" i="69"/>
  <c r="F14" i="69"/>
  <c r="F13" i="69"/>
  <c r="F12" i="69"/>
  <c r="K10" i="69"/>
  <c r="U7" i="1" s="1"/>
  <c r="H188" i="68"/>
  <c r="S23" i="68"/>
  <c r="S22" i="68"/>
  <c r="S21" i="68"/>
  <c r="S20" i="68"/>
  <c r="S19" i="68"/>
  <c r="S18" i="68"/>
  <c r="S17" i="68"/>
  <c r="S16" i="68"/>
  <c r="S15" i="68"/>
  <c r="S14" i="68"/>
  <c r="S13" i="68"/>
  <c r="S12" i="68"/>
  <c r="S11" i="68"/>
  <c r="S10" i="68"/>
  <c r="S9" i="68"/>
  <c r="S8" i="68"/>
  <c r="S7" i="68"/>
  <c r="S6" i="68"/>
  <c r="S5" i="68"/>
  <c r="S4" i="68"/>
  <c r="S3" i="68"/>
  <c r="S2" i="68"/>
  <c r="Q73" i="71"/>
  <c r="Q60" i="71"/>
  <c r="D60" i="71"/>
  <c r="Q59" i="71"/>
  <c r="K59" i="71"/>
  <c r="P75" i="71" s="1"/>
  <c r="F58" i="71"/>
  <c r="Q52" i="71"/>
  <c r="J51" i="71"/>
  <c r="J50" i="71"/>
  <c r="M47" i="71"/>
  <c r="L46" i="71" s="1"/>
  <c r="F33" i="71"/>
  <c r="F60" i="71" s="1"/>
  <c r="F32" i="71"/>
  <c r="F59" i="71" s="1"/>
  <c r="F31" i="71"/>
  <c r="F28" i="71"/>
  <c r="F23" i="71"/>
  <c r="D24" i="71" s="1"/>
  <c r="F21" i="71"/>
  <c r="F20" i="71"/>
  <c r="M19" i="71"/>
  <c r="M18" i="71"/>
  <c r="F18" i="71"/>
  <c r="M17" i="71"/>
  <c r="F17" i="71"/>
  <c r="F15" i="71"/>
  <c r="Q73" i="70"/>
  <c r="Q60" i="70"/>
  <c r="D60" i="70"/>
  <c r="Q59" i="70"/>
  <c r="K59" i="70"/>
  <c r="P75" i="70" s="1"/>
  <c r="F58" i="70"/>
  <c r="Q52" i="70"/>
  <c r="J51" i="70"/>
  <c r="J50" i="70"/>
  <c r="M47" i="70"/>
  <c r="L46" i="70" s="1"/>
  <c r="F33" i="70"/>
  <c r="F60" i="70" s="1"/>
  <c r="F32" i="70"/>
  <c r="F59" i="70" s="1"/>
  <c r="F31" i="70"/>
  <c r="F28" i="70"/>
  <c r="F23" i="70"/>
  <c r="D24" i="70" s="1"/>
  <c r="F21" i="70"/>
  <c r="F20" i="70"/>
  <c r="M19" i="70"/>
  <c r="M18" i="70"/>
  <c r="F18" i="70"/>
  <c r="M17" i="70"/>
  <c r="F17" i="70"/>
  <c r="F15" i="70"/>
  <c r="Q73" i="15"/>
  <c r="Q60" i="15"/>
  <c r="D60" i="15"/>
  <c r="Q59" i="15"/>
  <c r="K59" i="15"/>
  <c r="P75" i="15" s="1"/>
  <c r="F58" i="15"/>
  <c r="Q52" i="15"/>
  <c r="J51" i="15"/>
  <c r="J50" i="15"/>
  <c r="M47" i="15"/>
  <c r="L46" i="15" s="1"/>
  <c r="F33" i="15"/>
  <c r="F60" i="15" s="1"/>
  <c r="F32" i="15"/>
  <c r="F59" i="15" s="1"/>
  <c r="F31" i="15"/>
  <c r="F28" i="15"/>
  <c r="F23" i="15"/>
  <c r="D24" i="15" s="1"/>
  <c r="D22" i="15"/>
  <c r="F21" i="15"/>
  <c r="F20" i="15"/>
  <c r="M19" i="15"/>
  <c r="M18" i="15"/>
  <c r="F18" i="15"/>
  <c r="M17" i="15"/>
  <c r="F17" i="15"/>
  <c r="F15" i="15"/>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D113" i="21"/>
  <c r="H111" i="21"/>
  <c r="G111" i="21"/>
  <c r="F111" i="21"/>
  <c r="E111" i="21"/>
  <c r="D111" i="21"/>
  <c r="C111" i="2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D83" i="21"/>
  <c r="D81" i="21"/>
  <c r="E81" i="21" s="1"/>
  <c r="D79" i="21"/>
  <c r="D77" i="21"/>
  <c r="B74" i="21"/>
  <c r="H14" i="21" s="1"/>
  <c r="B72" i="21"/>
  <c r="H13" i="21" s="1"/>
  <c r="B70" i="21"/>
  <c r="H12" i="21" s="1"/>
  <c r="D69" i="21"/>
  <c r="E69" i="21" s="1"/>
  <c r="F69" i="21" s="1"/>
  <c r="G69" i="21" s="1"/>
  <c r="M67" i="21"/>
  <c r="L67" i="21"/>
  <c r="K67" i="21"/>
  <c r="J67" i="21"/>
  <c r="I67" i="21"/>
  <c r="H67" i="21"/>
  <c r="G67" i="21"/>
  <c r="F67" i="21"/>
  <c r="E67" i="21"/>
  <c r="D67" i="21"/>
  <c r="C67" i="21"/>
  <c r="E66" i="21"/>
  <c r="F66" i="21" s="1"/>
  <c r="G66" i="21" s="1"/>
  <c r="H66" i="21" s="1"/>
  <c r="I66" i="21" s="1"/>
  <c r="D66" i="21"/>
  <c r="C63" i="21"/>
  <c r="H9" i="21" s="1"/>
  <c r="I54" i="21"/>
  <c r="J54" i="21" s="1"/>
  <c r="H54" i="21"/>
  <c r="G54" i="21"/>
  <c r="E54" i="21"/>
  <c r="F54" i="21" s="1"/>
  <c r="P49" i="21"/>
  <c r="P48" i="21"/>
  <c r="V47" i="21"/>
  <c r="T47" i="21"/>
  <c r="R47" i="21"/>
  <c r="P47" i="21"/>
  <c r="Q46" i="21"/>
  <c r="Z46" i="21" s="1"/>
  <c r="F46" i="21"/>
  <c r="S46" i="21" s="1"/>
  <c r="U45" i="21"/>
  <c r="Q45" i="21"/>
  <c r="Z45" i="21" s="1"/>
  <c r="J45" i="21"/>
  <c r="AC45" i="21" s="1"/>
  <c r="H45" i="21"/>
  <c r="AB45" i="21" s="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Q40" i="21"/>
  <c r="Z40" i="21" s="1"/>
  <c r="J40" i="21"/>
  <c r="W40" i="21" s="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Q36" i="21"/>
  <c r="Z36" i="21" s="1"/>
  <c r="Q35" i="21"/>
  <c r="Z35" i="21" s="1"/>
  <c r="J35" i="21"/>
  <c r="AC35" i="21" s="1"/>
  <c r="H35" i="21"/>
  <c r="U35" i="21" s="1"/>
  <c r="F35" i="21"/>
  <c r="AA35" i="21" s="1"/>
  <c r="Q34" i="21"/>
  <c r="Z34" i="21" s="1"/>
  <c r="J34" i="21"/>
  <c r="AC34" i="21" s="1"/>
  <c r="H34" i="21"/>
  <c r="AB34" i="21" s="1"/>
  <c r="F34" i="21"/>
  <c r="AA34" i="21" s="1"/>
  <c r="Q33" i="21"/>
  <c r="Z33" i="21" s="1"/>
  <c r="Q32" i="21"/>
  <c r="Z32" i="21" s="1"/>
  <c r="Q31" i="21"/>
  <c r="Z31" i="21" s="1"/>
  <c r="J31" i="21"/>
  <c r="AC31" i="21" s="1"/>
  <c r="H31" i="21"/>
  <c r="AB31" i="21" s="1"/>
  <c r="F31" i="21"/>
  <c r="AA31" i="21" s="1"/>
  <c r="Q30" i="21"/>
  <c r="Z30" i="21" s="1"/>
  <c r="H30" i="21"/>
  <c r="AB30" i="21" s="1"/>
  <c r="Q29" i="21"/>
  <c r="Z29" i="21" s="1"/>
  <c r="J29" i="21"/>
  <c r="AC29" i="21" s="1"/>
  <c r="H29" i="21"/>
  <c r="AB29" i="21" s="1"/>
  <c r="F29" i="21"/>
  <c r="AA29" i="21" s="1"/>
  <c r="Q28" i="21"/>
  <c r="Z28" i="21" s="1"/>
  <c r="H28" i="21"/>
  <c r="AB28" i="21" s="1"/>
  <c r="AC27" i="21"/>
  <c r="W27" i="21"/>
  <c r="Q27" i="21"/>
  <c r="Z27" i="21" s="1"/>
  <c r="J27" i="21"/>
  <c r="H27" i="21"/>
  <c r="AB27" i="21" s="1"/>
  <c r="F27" i="21"/>
  <c r="AA27" i="21" s="1"/>
  <c r="U26" i="21"/>
  <c r="Q26" i="21"/>
  <c r="Z26" i="21" s="1"/>
  <c r="J26" i="21"/>
  <c r="AC26" i="21" s="1"/>
  <c r="H26" i="21"/>
  <c r="AB26" i="21" s="1"/>
  <c r="F26" i="21"/>
  <c r="AA26" i="21" s="1"/>
  <c r="Q25" i="21"/>
  <c r="Z25" i="21" s="1"/>
  <c r="J25" i="21"/>
  <c r="AC25" i="21" s="1"/>
  <c r="H25" i="21"/>
  <c r="AB25" i="21" s="1"/>
  <c r="F25" i="21"/>
  <c r="AA25" i="21" s="1"/>
  <c r="Q23" i="21"/>
  <c r="Z23" i="21" s="1"/>
  <c r="C23" i="21"/>
  <c r="AA21" i="21"/>
  <c r="S21" i="21"/>
  <c r="Q21" i="21"/>
  <c r="Z21" i="21" s="1"/>
  <c r="J21" i="21"/>
  <c r="AC21" i="21" s="1"/>
  <c r="F21" i="21"/>
  <c r="C21" i="21"/>
  <c r="Z19" i="21"/>
  <c r="Q19" i="21"/>
  <c r="H19" i="21"/>
  <c r="AB19" i="21" s="1"/>
  <c r="F19" i="21"/>
  <c r="AA19" i="21" s="1"/>
  <c r="C19" i="21"/>
  <c r="Q17" i="21"/>
  <c r="Z17" i="21" s="1"/>
  <c r="H17" i="21"/>
  <c r="AB17" i="21" s="1"/>
  <c r="C17" i="21"/>
  <c r="Q15" i="21"/>
  <c r="Z15" i="21" s="1"/>
  <c r="H15" i="21"/>
  <c r="AB15" i="21" s="1"/>
  <c r="C15" i="21"/>
  <c r="Q14" i="21"/>
  <c r="Z14" i="21" s="1"/>
  <c r="J14" i="21"/>
  <c r="AC14" i="21" s="1"/>
  <c r="F14" i="21"/>
  <c r="AA14" i="21" s="1"/>
  <c r="Q13" i="21"/>
  <c r="Z13" i="21" s="1"/>
  <c r="J13" i="21"/>
  <c r="AC13" i="21" s="1"/>
  <c r="Q12" i="21"/>
  <c r="Z12" i="21" s="1"/>
  <c r="J12" i="21"/>
  <c r="AC12" i="21" s="1"/>
  <c r="F12" i="21"/>
  <c r="AA12" i="21" s="1"/>
  <c r="Z11" i="21"/>
  <c r="Q11" i="21"/>
  <c r="AB10" i="21"/>
  <c r="U10" i="21"/>
  <c r="Q10" i="21"/>
  <c r="Z10" i="21" s="1"/>
  <c r="J10" i="21"/>
  <c r="AC10" i="21" s="1"/>
  <c r="H10" i="21"/>
  <c r="F10" i="21"/>
  <c r="AA10" i="21" s="1"/>
  <c r="Q9" i="21"/>
  <c r="Z9" i="21" s="1"/>
  <c r="J9" i="21"/>
  <c r="AC9" i="21" s="1"/>
  <c r="W8" i="21"/>
  <c r="S8" i="21"/>
  <c r="J8" i="21"/>
  <c r="AC8" i="21" s="1"/>
  <c r="H8" i="21"/>
  <c r="U8" i="21" s="1"/>
  <c r="F8" i="21"/>
  <c r="AA8" i="21" s="1"/>
  <c r="F113" i="46"/>
  <c r="M108" i="46"/>
  <c r="I108" i="46"/>
  <c r="E108" i="46"/>
  <c r="M100" i="46"/>
  <c r="I100" i="46"/>
  <c r="E100" i="46"/>
  <c r="N99" i="46"/>
  <c r="N108" i="46" s="1"/>
  <c r="M99" i="46"/>
  <c r="L99" i="46"/>
  <c r="L108" i="46" s="1"/>
  <c r="K99" i="46"/>
  <c r="K108" i="46" s="1"/>
  <c r="J99" i="46"/>
  <c r="J108" i="46" s="1"/>
  <c r="I99" i="46"/>
  <c r="H99" i="46"/>
  <c r="H108" i="46" s="1"/>
  <c r="G99" i="46"/>
  <c r="G108" i="46" s="1"/>
  <c r="F99" i="46"/>
  <c r="F108" i="46" s="1"/>
  <c r="E99" i="46"/>
  <c r="D99" i="46"/>
  <c r="D108" i="46" s="1"/>
  <c r="C99" i="46"/>
  <c r="C108" i="46" s="1"/>
  <c r="M87" i="46"/>
  <c r="N87" i="46" s="1"/>
  <c r="K87" i="46"/>
  <c r="J87" i="46"/>
  <c r="D87" i="46"/>
  <c r="N86" i="46"/>
  <c r="M86" i="46"/>
  <c r="K86" i="46"/>
  <c r="J86" i="46" s="1"/>
  <c r="D86" i="46"/>
  <c r="N85" i="46"/>
  <c r="M85" i="46"/>
  <c r="K85" i="46"/>
  <c r="J85" i="46" s="1"/>
  <c r="H85" i="46"/>
  <c r="D85" i="46"/>
  <c r="M84" i="46"/>
  <c r="N84" i="46" s="1"/>
  <c r="K84" i="46"/>
  <c r="J84" i="46"/>
  <c r="D84" i="46"/>
  <c r="N83" i="46"/>
  <c r="M83" i="46"/>
  <c r="K83" i="46"/>
  <c r="J83" i="46" s="1"/>
  <c r="H83" i="46"/>
  <c r="D83" i="46"/>
  <c r="B83" i="46"/>
  <c r="M82" i="46"/>
  <c r="N82" i="46" s="1"/>
  <c r="K82" i="46"/>
  <c r="J82" i="46"/>
  <c r="D82" i="46"/>
  <c r="B82" i="46"/>
  <c r="N81" i="46"/>
  <c r="M81" i="46"/>
  <c r="K81" i="46"/>
  <c r="J81" i="46" s="1"/>
  <c r="D81" i="46"/>
  <c r="M80" i="46"/>
  <c r="N80" i="46" s="1"/>
  <c r="K80" i="46"/>
  <c r="J80" i="46"/>
  <c r="F80" i="46"/>
  <c r="D80" i="46"/>
  <c r="E80" i="46" s="1"/>
  <c r="B78" i="46" s="1"/>
  <c r="M77" i="46"/>
  <c r="N77" i="46" s="1"/>
  <c r="K77" i="46"/>
  <c r="J77" i="46"/>
  <c r="D77" i="46"/>
  <c r="M76" i="46"/>
  <c r="N76" i="46" s="1"/>
  <c r="K76" i="46"/>
  <c r="J76" i="46"/>
  <c r="D76" i="46"/>
  <c r="N75" i="46"/>
  <c r="M75" i="46"/>
  <c r="K75" i="46"/>
  <c r="J75" i="46" s="1"/>
  <c r="D75" i="46"/>
  <c r="N74" i="46"/>
  <c r="M74" i="46"/>
  <c r="K74" i="46"/>
  <c r="J74" i="46" s="1"/>
  <c r="H74" i="46"/>
  <c r="D74" i="46"/>
  <c r="M73" i="46"/>
  <c r="N73" i="46" s="1"/>
  <c r="K73" i="46"/>
  <c r="J73" i="46"/>
  <c r="D73" i="46"/>
  <c r="N72" i="46"/>
  <c r="M72" i="46"/>
  <c r="K72" i="46"/>
  <c r="J72" i="46" s="1"/>
  <c r="H72" i="46"/>
  <c r="D72" i="46"/>
  <c r="B72" i="46"/>
  <c r="M71" i="46"/>
  <c r="N71" i="46" s="1"/>
  <c r="K71" i="46"/>
  <c r="J71" i="46"/>
  <c r="D71" i="46"/>
  <c r="B71" i="46"/>
  <c r="N70" i="46"/>
  <c r="M70" i="46"/>
  <c r="K70" i="46"/>
  <c r="J70" i="46" s="1"/>
  <c r="D70" i="46"/>
  <c r="M69" i="46"/>
  <c r="N69" i="46" s="1"/>
  <c r="K69" i="46"/>
  <c r="J69" i="46"/>
  <c r="F69" i="46"/>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H62" i="46"/>
  <c r="D62" i="46"/>
  <c r="B62" i="46"/>
  <c r="M61" i="46"/>
  <c r="N61" i="46" s="1"/>
  <c r="K61" i="46"/>
  <c r="J61" i="46"/>
  <c r="D61" i="46"/>
  <c r="M60" i="46"/>
  <c r="N60" i="46" s="1"/>
  <c r="K60" i="46"/>
  <c r="J60" i="46"/>
  <c r="D60" i="46"/>
  <c r="B60" i="46"/>
  <c r="N59" i="46"/>
  <c r="M59" i="46"/>
  <c r="K59" i="46"/>
  <c r="J59" i="46" s="1"/>
  <c r="D59" i="46"/>
  <c r="M58" i="46"/>
  <c r="N58" i="46" s="1"/>
  <c r="K58" i="46"/>
  <c r="J58" i="46"/>
  <c r="F58" i="46"/>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H51" i="46"/>
  <c r="D51" i="46"/>
  <c r="B51" i="46"/>
  <c r="M50" i="46"/>
  <c r="N50" i="46" s="1"/>
  <c r="K50" i="46"/>
  <c r="J50" i="46"/>
  <c r="D50" i="46"/>
  <c r="M49" i="46"/>
  <c r="N49" i="46" s="1"/>
  <c r="K49" i="46"/>
  <c r="J49" i="46"/>
  <c r="D49" i="46"/>
  <c r="B49" i="46"/>
  <c r="N48" i="46"/>
  <c r="M48" i="46"/>
  <c r="K48" i="46"/>
  <c r="J48" i="46" s="1"/>
  <c r="D48" i="46"/>
  <c r="M47" i="46"/>
  <c r="N47" i="46" s="1"/>
  <c r="K47" i="46"/>
  <c r="J47" i="46"/>
  <c r="F47" i="46"/>
  <c r="D47" i="46"/>
  <c r="E47" i="46" s="1"/>
  <c r="B45" i="46" s="1"/>
  <c r="H39" i="46"/>
  <c r="F39" i="46"/>
  <c r="H38" i="46"/>
  <c r="F38" i="46"/>
  <c r="H37" i="46"/>
  <c r="F37" i="46"/>
  <c r="H36" i="46"/>
  <c r="F36" i="46"/>
  <c r="H35" i="46"/>
  <c r="F35" i="46"/>
  <c r="H34" i="46"/>
  <c r="F34" i="46"/>
  <c r="H33" i="46"/>
  <c r="F33" i="46"/>
  <c r="C24" i="46"/>
  <c r="J20" i="46"/>
  <c r="I20" i="46"/>
  <c r="G20" i="46"/>
  <c r="M19" i="46"/>
  <c r="I19" i="46"/>
  <c r="C18" i="46"/>
  <c r="J17" i="46"/>
  <c r="H17" i="46"/>
  <c r="E17" i="46"/>
  <c r="F15" i="46"/>
  <c r="E15" i="46"/>
  <c r="D15" i="46"/>
  <c r="C15" i="46"/>
  <c r="AJ12" i="46"/>
  <c r="AH12" i="46"/>
  <c r="AF12" i="46"/>
  <c r="AD12" i="46"/>
  <c r="AB12" i="46"/>
  <c r="Z12" i="46"/>
  <c r="Y12" i="46"/>
  <c r="C12" i="46"/>
  <c r="AJ10" i="46"/>
  <c r="AH10" i="46"/>
  <c r="AF10" i="46"/>
  <c r="AD10" i="46"/>
  <c r="AB10" i="46"/>
  <c r="Z10" i="46"/>
  <c r="Y10" i="46"/>
  <c r="C10" i="46"/>
  <c r="C11" i="46" s="1"/>
  <c r="E10" i="46" s="1"/>
  <c r="AJ9" i="46"/>
  <c r="AI9" i="46"/>
  <c r="AH9" i="46"/>
  <c r="AG9" i="46"/>
  <c r="AF9" i="46"/>
  <c r="AE9" i="46"/>
  <c r="AD9" i="46"/>
  <c r="AC9" i="46"/>
  <c r="AB9" i="46"/>
  <c r="AA9" i="46"/>
  <c r="Z9" i="46"/>
  <c r="N9" i="46"/>
  <c r="C9" i="46"/>
  <c r="E8" i="46"/>
  <c r="X7" i="46"/>
  <c r="A7" i="46"/>
  <c r="C6" i="46"/>
  <c r="N4" i="46"/>
  <c r="M3" i="46"/>
  <c r="N2" i="46"/>
  <c r="I2" i="46"/>
  <c r="G2" i="46"/>
  <c r="H113" i="46" s="1"/>
  <c r="N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D65" i="40"/>
  <c r="E65" i="40" s="1"/>
  <c r="E67" i="40" s="1"/>
  <c r="I62" i="40"/>
  <c r="C62" i="40" s="1"/>
  <c r="H62" i="40"/>
  <c r="I61" i="40"/>
  <c r="C61" i="40" s="1"/>
  <c r="H61" i="40"/>
  <c r="I60" i="40"/>
  <c r="C60" i="40" s="1"/>
  <c r="H60" i="40"/>
  <c r="I59" i="40"/>
  <c r="C59" i="40" s="1"/>
  <c r="H59" i="40"/>
  <c r="I58" i="40"/>
  <c r="C58" i="40" s="1"/>
  <c r="H58" i="40"/>
  <c r="I57" i="40"/>
  <c r="C57" i="40" s="1"/>
  <c r="H57" i="40"/>
  <c r="H56" i="40"/>
  <c r="I56" i="40" s="1"/>
  <c r="C56" i="40" s="1"/>
  <c r="I55" i="40"/>
  <c r="C55" i="40" s="1"/>
  <c r="H55" i="40"/>
  <c r="H54" i="40"/>
  <c r="I54" i="40" s="1"/>
  <c r="C54" i="40" s="1"/>
  <c r="J50" i="40"/>
  <c r="I50" i="40"/>
  <c r="H50" i="40"/>
  <c r="G50" i="40"/>
  <c r="F50" i="40"/>
  <c r="E50" i="40"/>
  <c r="P45" i="40"/>
  <c r="P44" i="40"/>
  <c r="V43" i="40"/>
  <c r="T43" i="40"/>
  <c r="R43" i="40"/>
  <c r="P43" i="40"/>
  <c r="Q42" i="40"/>
  <c r="Z42" i="40" s="1"/>
  <c r="J42" i="40"/>
  <c r="AC42" i="40" s="1"/>
  <c r="H42" i="40"/>
  <c r="AB42" i="40" s="1"/>
  <c r="F42" i="40"/>
  <c r="AA42" i="40" s="1"/>
  <c r="Q41" i="40"/>
  <c r="Z41" i="40" s="1"/>
  <c r="F41" i="40"/>
  <c r="AA41" i="40" s="1"/>
  <c r="Q40" i="40"/>
  <c r="Z40" i="40" s="1"/>
  <c r="J40" i="40"/>
  <c r="AC40" i="40" s="1"/>
  <c r="H40" i="40"/>
  <c r="AB40" i="40" s="1"/>
  <c r="F40" i="40"/>
  <c r="AA40" i="40" s="1"/>
  <c r="AC39" i="40"/>
  <c r="W39" i="40"/>
  <c r="Q39" i="40"/>
  <c r="Z39" i="40" s="1"/>
  <c r="J39" i="40"/>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Q34" i="40"/>
  <c r="Z34" i="40" s="1"/>
  <c r="H34" i="40"/>
  <c r="AB34" i="40" s="1"/>
  <c r="Q33" i="40"/>
  <c r="Z33" i="40" s="1"/>
  <c r="J33" i="40"/>
  <c r="AC33" i="40" s="1"/>
  <c r="H33" i="40"/>
  <c r="AB33" i="40" s="1"/>
  <c r="F33" i="40"/>
  <c r="AA33" i="40" s="1"/>
  <c r="Q32" i="40"/>
  <c r="Z32" i="40" s="1"/>
  <c r="C32" i="40"/>
  <c r="Q30" i="40"/>
  <c r="Z30" i="40" s="1"/>
  <c r="J30" i="40"/>
  <c r="AC30" i="40" s="1"/>
  <c r="H30" i="40"/>
  <c r="AB30" i="40" s="1"/>
  <c r="F30" i="40"/>
  <c r="AA30" i="40" s="1"/>
  <c r="C30" i="40"/>
  <c r="Q29" i="40"/>
  <c r="Z29" i="40" s="1"/>
  <c r="AC27" i="40"/>
  <c r="W27" i="40"/>
  <c r="Q27" i="40"/>
  <c r="Z27" i="40" s="1"/>
  <c r="J27" i="40"/>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AC14" i="40"/>
  <c r="W14" i="40"/>
  <c r="Q14" i="40"/>
  <c r="Z14" i="40" s="1"/>
  <c r="J14" i="40"/>
  <c r="H14" i="40"/>
  <c r="AB14" i="40" s="1"/>
  <c r="F14" i="40"/>
  <c r="AA14" i="40" s="1"/>
  <c r="AB13" i="40"/>
  <c r="U13" i="40"/>
  <c r="Q13" i="40"/>
  <c r="Z13" i="40" s="1"/>
  <c r="J13" i="40"/>
  <c r="AC13" i="40" s="1"/>
  <c r="H13" i="40"/>
  <c r="F13" i="40"/>
  <c r="AA13" i="40" s="1"/>
  <c r="Q12" i="40"/>
  <c r="Z12" i="40" s="1"/>
  <c r="AB11" i="40"/>
  <c r="U11" i="40"/>
  <c r="Q11" i="40"/>
  <c r="Z11" i="40" s="1"/>
  <c r="J11" i="40"/>
  <c r="AC11" i="40" s="1"/>
  <c r="H11" i="40"/>
  <c r="F11" i="40"/>
  <c r="AA11" i="40" s="1"/>
  <c r="U10" i="40"/>
  <c r="J10" i="40"/>
  <c r="W10" i="40" s="1"/>
  <c r="H10" i="40"/>
  <c r="AB10" i="40" s="1"/>
  <c r="F10" i="40"/>
  <c r="S10" i="40" s="1"/>
  <c r="C9" i="40"/>
  <c r="C65" i="40" s="1"/>
  <c r="C67" i="40" s="1"/>
  <c r="F27" i="43"/>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B133" i="39"/>
  <c r="H47" i="39" s="1"/>
  <c r="B131" i="39"/>
  <c r="B129" i="39"/>
  <c r="H45" i="39" s="1"/>
  <c r="F128" i="39"/>
  <c r="G128" i="39" s="1"/>
  <c r="H128" i="39" s="1"/>
  <c r="I128" i="39" s="1"/>
  <c r="J128" i="39" s="1"/>
  <c r="K128" i="39" s="1"/>
  <c r="L128" i="39" s="1"/>
  <c r="M128" i="39" s="1"/>
  <c r="D128" i="39"/>
  <c r="E128" i="39" s="1"/>
  <c r="D126" i="39"/>
  <c r="E126" i="39" s="1"/>
  <c r="F126" i="39" s="1"/>
  <c r="F124" i="39"/>
  <c r="G124" i="39" s="1"/>
  <c r="H124" i="39" s="1"/>
  <c r="I124" i="39" s="1"/>
  <c r="J124" i="39" s="1"/>
  <c r="K124" i="39" s="1"/>
  <c r="L124" i="39" s="1"/>
  <c r="M124" i="39" s="1"/>
  <c r="D124" i="39"/>
  <c r="E124" i="39" s="1"/>
  <c r="D122" i="39"/>
  <c r="M118" i="39"/>
  <c r="L118" i="39"/>
  <c r="K118" i="39"/>
  <c r="J118" i="39"/>
  <c r="I118" i="39"/>
  <c r="H118" i="39"/>
  <c r="G118" i="39"/>
  <c r="F118" i="39"/>
  <c r="E118" i="39"/>
  <c r="D118" i="39"/>
  <c r="C118" i="39"/>
  <c r="B116" i="39"/>
  <c r="B114" i="39"/>
  <c r="B112" i="39"/>
  <c r="D111" i="39"/>
  <c r="E111" i="39" s="1"/>
  <c r="F111" i="39" s="1"/>
  <c r="G111" i="39" s="1"/>
  <c r="H111" i="39" s="1"/>
  <c r="I111" i="39" s="1"/>
  <c r="J111" i="39" s="1"/>
  <c r="K111" i="39" s="1"/>
  <c r="L111" i="39" s="1"/>
  <c r="M111" i="39" s="1"/>
  <c r="D109" i="39"/>
  <c r="E109" i="39" s="1"/>
  <c r="F109" i="39" s="1"/>
  <c r="F107" i="39"/>
  <c r="G107" i="39" s="1"/>
  <c r="H107" i="39" s="1"/>
  <c r="I107" i="39" s="1"/>
  <c r="J107" i="39" s="1"/>
  <c r="K107" i="39" s="1"/>
  <c r="L107" i="39" s="1"/>
  <c r="M107" i="39" s="1"/>
  <c r="D107" i="39"/>
  <c r="E107" i="39" s="1"/>
  <c r="H33" i="39" s="1"/>
  <c r="B106" i="39"/>
  <c r="E105" i="39"/>
  <c r="F105" i="39" s="1"/>
  <c r="G105" i="39" s="1"/>
  <c r="D105" i="39"/>
  <c r="D103" i="39"/>
  <c r="D101" i="39"/>
  <c r="E101" i="39" s="1"/>
  <c r="D99" i="39"/>
  <c r="D97" i="39"/>
  <c r="E97" i="39" s="1"/>
  <c r="D95" i="39"/>
  <c r="D93" i="39"/>
  <c r="E93" i="39" s="1"/>
  <c r="D91" i="39"/>
  <c r="B88" i="39"/>
  <c r="J16" i="39" s="1"/>
  <c r="B86" i="39"/>
  <c r="B84" i="39"/>
  <c r="J14" i="39" s="1"/>
  <c r="D83" i="39"/>
  <c r="E83" i="39" s="1"/>
  <c r="F83" i="39" s="1"/>
  <c r="G83" i="39" s="1"/>
  <c r="M81" i="39"/>
  <c r="L81" i="39"/>
  <c r="K81" i="39"/>
  <c r="J81" i="39"/>
  <c r="I81" i="39"/>
  <c r="H81" i="39"/>
  <c r="G81" i="39"/>
  <c r="F81" i="39"/>
  <c r="E81" i="39"/>
  <c r="D81" i="39"/>
  <c r="C81" i="39"/>
  <c r="I67" i="39"/>
  <c r="C67" i="39" s="1"/>
  <c r="H67" i="39"/>
  <c r="I66" i="39"/>
  <c r="C66" i="39" s="1"/>
  <c r="H66" i="39"/>
  <c r="I65" i="39"/>
  <c r="C65" i="39" s="1"/>
  <c r="H65" i="39"/>
  <c r="I64" i="39"/>
  <c r="C64" i="39" s="1"/>
  <c r="H64" i="39"/>
  <c r="I63" i="39"/>
  <c r="C63" i="39" s="1"/>
  <c r="H63" i="39"/>
  <c r="I62" i="39"/>
  <c r="C62" i="39" s="1"/>
  <c r="H62" i="39"/>
  <c r="H61" i="39"/>
  <c r="I61" i="39" s="1"/>
  <c r="C61" i="39" s="1"/>
  <c r="I60" i="39"/>
  <c r="C60" i="39" s="1"/>
  <c r="H60" i="39"/>
  <c r="H59" i="39"/>
  <c r="I59" i="39" s="1"/>
  <c r="C59" i="39" s="1"/>
  <c r="P50" i="39"/>
  <c r="P49" i="39"/>
  <c r="P48" i="39"/>
  <c r="I48" i="39"/>
  <c r="G48" i="39"/>
  <c r="E48" i="39"/>
  <c r="Q47" i="39"/>
  <c r="Z47" i="39" s="1"/>
  <c r="J47" i="39"/>
  <c r="AC47" i="39" s="1"/>
  <c r="U46" i="39"/>
  <c r="Q46" i="39"/>
  <c r="Z46" i="39" s="1"/>
  <c r="J46" i="39"/>
  <c r="AC46" i="39" s="1"/>
  <c r="H46" i="39"/>
  <c r="AB46" i="39" s="1"/>
  <c r="F46" i="39"/>
  <c r="AA46" i="39" s="1"/>
  <c r="Q45" i="39"/>
  <c r="Z45" i="39" s="1"/>
  <c r="J45" i="39"/>
  <c r="AC45" i="39" s="1"/>
  <c r="AB44" i="39"/>
  <c r="U44" i="39"/>
  <c r="Q44" i="39"/>
  <c r="Z44" i="39" s="1"/>
  <c r="J44" i="39"/>
  <c r="AC44" i="39" s="1"/>
  <c r="H44" i="39"/>
  <c r="F44" i="39"/>
  <c r="AA44" i="39" s="1"/>
  <c r="Q43" i="39"/>
  <c r="Z43" i="39" s="1"/>
  <c r="J43" i="39"/>
  <c r="AB42" i="39"/>
  <c r="U42" i="39"/>
  <c r="Q42" i="39"/>
  <c r="Z42" i="39" s="1"/>
  <c r="J42" i="39"/>
  <c r="AC42" i="39" s="1"/>
  <c r="H42" i="39"/>
  <c r="F42" i="39"/>
  <c r="AA42" i="39" s="1"/>
  <c r="Q41" i="39"/>
  <c r="Z41" i="39" s="1"/>
  <c r="Q40" i="39"/>
  <c r="Z40" i="39" s="1"/>
  <c r="I40" i="39"/>
  <c r="G40" i="39"/>
  <c r="E40" i="39"/>
  <c r="C40" i="39"/>
  <c r="Z39" i="39"/>
  <c r="Q39" i="39"/>
  <c r="AC38" i="39"/>
  <c r="Q38" i="39"/>
  <c r="Z38" i="39" s="1"/>
  <c r="J38" i="39"/>
  <c r="W38" i="39" s="1"/>
  <c r="H38" i="39"/>
  <c r="AB38" i="39" s="1"/>
  <c r="F38" i="39"/>
  <c r="AA38" i="39" s="1"/>
  <c r="Q37" i="39"/>
  <c r="Z37" i="39" s="1"/>
  <c r="H37" i="39"/>
  <c r="U37" i="39" s="1"/>
  <c r="Q36" i="39"/>
  <c r="Z36" i="39" s="1"/>
  <c r="J36" i="39"/>
  <c r="H36" i="39"/>
  <c r="AB36" i="39" s="1"/>
  <c r="F36" i="39"/>
  <c r="S36" i="39" s="1"/>
  <c r="Q34" i="39"/>
  <c r="Z34" i="39" s="1"/>
  <c r="AC33" i="39"/>
  <c r="W33" i="39"/>
  <c r="Q33" i="39"/>
  <c r="Z33" i="39" s="1"/>
  <c r="J33" i="39"/>
  <c r="F33" i="39"/>
  <c r="Q31" i="39"/>
  <c r="Z31" i="39" s="1"/>
  <c r="J31" i="39"/>
  <c r="AC31" i="39" s="1"/>
  <c r="H31" i="39"/>
  <c r="F31" i="39"/>
  <c r="AA31" i="39" s="1"/>
  <c r="Q29" i="39"/>
  <c r="Z29" i="39" s="1"/>
  <c r="F29" i="39"/>
  <c r="AA29" i="39" s="1"/>
  <c r="Z27" i="39"/>
  <c r="Q27" i="39"/>
  <c r="C27" i="39"/>
  <c r="Q25" i="39"/>
  <c r="Z25" i="39" s="1"/>
  <c r="C25" i="39"/>
  <c r="Z23" i="39"/>
  <c r="Q23" i="39"/>
  <c r="Q21" i="39"/>
  <c r="Z21" i="39" s="1"/>
  <c r="Z19" i="39"/>
  <c r="Q19" i="39"/>
  <c r="C19" i="39"/>
  <c r="Q17" i="39"/>
  <c r="Z17" i="39" s="1"/>
  <c r="F17" i="39"/>
  <c r="AA17" i="39" s="1"/>
  <c r="Q16" i="39"/>
  <c r="Z16" i="39" s="1"/>
  <c r="H16" i="39"/>
  <c r="AB16" i="39" s="1"/>
  <c r="Z15" i="39"/>
  <c r="Q15" i="39"/>
  <c r="Q14" i="39"/>
  <c r="Z14" i="39" s="1"/>
  <c r="H14" i="39"/>
  <c r="AB14" i="39" s="1"/>
  <c r="Q13" i="39"/>
  <c r="Z13" i="39" s="1"/>
  <c r="Q12" i="39"/>
  <c r="Z12" i="39" s="1"/>
  <c r="AC11" i="39"/>
  <c r="W11" i="39"/>
  <c r="Q11" i="39"/>
  <c r="Z11" i="39" s="1"/>
  <c r="J11" i="39"/>
  <c r="H11" i="39"/>
  <c r="AB11" i="39" s="1"/>
  <c r="F11" i="39"/>
  <c r="AA11" i="39" s="1"/>
  <c r="W10" i="39"/>
  <c r="S10" i="39"/>
  <c r="J10" i="39"/>
  <c r="AC10" i="39" s="1"/>
  <c r="H10" i="39"/>
  <c r="U10" i="39" s="1"/>
  <c r="F10" i="39"/>
  <c r="AA10" i="39" s="1"/>
  <c r="I9" i="39"/>
  <c r="G9" i="39"/>
  <c r="E9" i="39"/>
  <c r="I7" i="39"/>
  <c r="G7" i="39"/>
  <c r="E7" i="39"/>
  <c r="C112" i="9"/>
  <c r="D111" i="9"/>
  <c r="C109" i="9"/>
  <c r="E108" i="9"/>
  <c r="D107" i="9"/>
  <c r="C107" i="9"/>
  <c r="C105" i="9" s="1"/>
  <c r="D96" i="9"/>
  <c r="H95" i="9"/>
  <c r="D95" i="9"/>
  <c r="C95" i="9" s="1"/>
  <c r="C94" i="9"/>
  <c r="D86" i="9"/>
  <c r="F77" i="9"/>
  <c r="E77" i="9"/>
  <c r="O76" i="9"/>
  <c r="P75" i="9"/>
  <c r="O75" i="9"/>
  <c r="L75" i="9"/>
  <c r="K75" i="9"/>
  <c r="O74" i="9"/>
  <c r="F74" i="9"/>
  <c r="P74" i="9" s="1"/>
  <c r="O73" i="9"/>
  <c r="I73" i="9"/>
  <c r="F73" i="9"/>
  <c r="P73" i="9" s="1"/>
  <c r="D73" i="9"/>
  <c r="N73" i="9" s="1"/>
  <c r="F72" i="9"/>
  <c r="F70" i="9"/>
  <c r="F66" i="9"/>
  <c r="P72" i="9" s="1"/>
  <c r="E66" i="9"/>
  <c r="O72" i="9" s="1"/>
  <c r="K47" i="9"/>
  <c r="A14" i="55" s="1"/>
  <c r="A46" i="9"/>
  <c r="C46" i="9" s="1"/>
  <c r="A45" i="9"/>
  <c r="C45" i="9" s="1"/>
  <c r="K44" i="9"/>
  <c r="A44" i="9"/>
  <c r="K39" i="9" s="1"/>
  <c r="K43" i="9"/>
  <c r="C43" i="9"/>
  <c r="K41" i="9"/>
  <c r="K40" i="9"/>
  <c r="K33" i="9"/>
  <c r="K34" i="9" s="1"/>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H14" i="66"/>
  <c r="B7" i="66" s="1"/>
  <c r="B3" i="66"/>
  <c r="C24" i="20"/>
  <c r="C22" i="20"/>
  <c r="C31" i="39" s="1"/>
  <c r="C21" i="20"/>
  <c r="B73" i="46" s="1"/>
  <c r="G20" i="20"/>
  <c r="C20" i="20"/>
  <c r="B76" i="46" s="1"/>
  <c r="G19" i="20"/>
  <c r="G18" i="20"/>
  <c r="B87" i="46" s="1"/>
  <c r="C18" i="20"/>
  <c r="C17" i="20"/>
  <c r="B58" i="46" s="1"/>
  <c r="G16" i="20"/>
  <c r="C16" i="20"/>
  <c r="B47" i="46" s="1"/>
  <c r="G15" i="20"/>
  <c r="C15" i="20"/>
  <c r="B69" i="46" s="1"/>
  <c r="B52" i="1"/>
  <c r="B43" i="1"/>
  <c r="C42" i="1"/>
  <c r="C25" i="12" s="1"/>
  <c r="B41" i="1"/>
  <c r="F34" i="44" s="1"/>
  <c r="B31" i="1"/>
  <c r="E10" i="11" s="1"/>
  <c r="B24" i="1"/>
  <c r="B23" i="1"/>
  <c r="B22" i="1"/>
  <c r="C2" i="65" s="1"/>
  <c r="AG13" i="1"/>
  <c r="AE13" i="1"/>
  <c r="S13" i="1"/>
  <c r="F13" i="1"/>
  <c r="AP13" i="1" s="1"/>
  <c r="D13" i="1"/>
  <c r="B13" i="1"/>
  <c r="E13" i="1" s="1"/>
  <c r="A13" i="1"/>
  <c r="R13" i="1" s="1"/>
  <c r="AG12" i="1"/>
  <c r="AE12" i="1"/>
  <c r="S12" i="1"/>
  <c r="F12" i="1"/>
  <c r="AP12" i="1" s="1"/>
  <c r="D12" i="1"/>
  <c r="B12" i="1"/>
  <c r="E12" i="1" s="1"/>
  <c r="A12" i="1"/>
  <c r="R12" i="1" s="1"/>
  <c r="AG11" i="1"/>
  <c r="AE11" i="1"/>
  <c r="S11" i="1"/>
  <c r="F11" i="1"/>
  <c r="AP11" i="1" s="1"/>
  <c r="D11" i="1"/>
  <c r="B11" i="1"/>
  <c r="E11" i="1" s="1"/>
  <c r="A11" i="1"/>
  <c r="R11" i="1" s="1"/>
  <c r="AG10" i="1"/>
  <c r="AE10" i="1"/>
  <c r="S10" i="1"/>
  <c r="F10" i="1"/>
  <c r="AP10" i="1" s="1"/>
  <c r="D10" i="1"/>
  <c r="G10" i="1" s="1"/>
  <c r="B10" i="1"/>
  <c r="E10" i="1" s="1"/>
  <c r="A10" i="1"/>
  <c r="R10" i="1" s="1"/>
  <c r="AL9" i="1"/>
  <c r="AK9" i="1"/>
  <c r="AG9" i="1"/>
  <c r="D9" i="1"/>
  <c r="B9" i="1"/>
  <c r="E9" i="1" s="1"/>
  <c r="A9" i="1"/>
  <c r="AL8" i="1"/>
  <c r="AK8" i="1"/>
  <c r="AG8" i="1"/>
  <c r="D8" i="1"/>
  <c r="B8" i="1"/>
  <c r="E8" i="1" s="1"/>
  <c r="A8" i="1"/>
  <c r="AG7" i="1"/>
  <c r="D7" i="1"/>
  <c r="B7" i="1"/>
  <c r="E7" i="1" s="1"/>
  <c r="A7" i="1"/>
  <c r="AG6" i="1"/>
  <c r="AE6" i="1"/>
  <c r="D6" i="1"/>
  <c r="B6" i="1"/>
  <c r="E6" i="1" s="1"/>
  <c r="A6" i="1"/>
  <c r="F3" i="35" s="1"/>
  <c r="T4" i="1"/>
  <c r="B2" i="1"/>
  <c r="C7" i="33" s="1"/>
  <c r="C58" i="33" s="1"/>
  <c r="O27" i="6"/>
  <c r="N27" i="6"/>
  <c r="P26" i="6"/>
  <c r="L26" i="6"/>
  <c r="E26" i="6"/>
  <c r="P25" i="6"/>
  <c r="L25" i="6"/>
  <c r="E25" i="6"/>
  <c r="P24" i="6"/>
  <c r="L24" i="6"/>
  <c r="E24" i="6"/>
  <c r="P23" i="6"/>
  <c r="L23" i="6"/>
  <c r="E23" i="6"/>
  <c r="P22" i="6"/>
  <c r="L22" i="6"/>
  <c r="P21" i="6"/>
  <c r="L21" i="6"/>
  <c r="P20" i="6"/>
  <c r="L20" i="6"/>
  <c r="P19" i="6"/>
  <c r="P27" i="6" s="1"/>
  <c r="I7" i="6"/>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S5" i="3" s="1"/>
  <c r="BR16" i="3"/>
  <c r="BQ16" i="3"/>
  <c r="BP16" i="3"/>
  <c r="BO16" i="3"/>
  <c r="BO5" i="3" s="1"/>
  <c r="BN16" i="3"/>
  <c r="BM16" i="3"/>
  <c r="BK16" i="3"/>
  <c r="BK5" i="3" s="1"/>
  <c r="BJ16" i="3"/>
  <c r="BI16" i="3"/>
  <c r="BI5" i="3" s="1"/>
  <c r="BH16" i="3"/>
  <c r="BG16" i="3"/>
  <c r="BG5" i="3" s="1"/>
  <c r="BD16" i="3"/>
  <c r="BC16" i="3"/>
  <c r="BB16" i="3"/>
  <c r="AX16" i="3"/>
  <c r="AW16" i="3"/>
  <c r="AV16" i="3"/>
  <c r="AC16" i="3"/>
  <c r="BT15" i="3"/>
  <c r="BS15" i="3"/>
  <c r="BR15" i="3"/>
  <c r="BQ15" i="3"/>
  <c r="BP15" i="3"/>
  <c r="BO15" i="3"/>
  <c r="BN15" i="3"/>
  <c r="BM15" i="3"/>
  <c r="BL15" i="3"/>
  <c r="BK15" i="3"/>
  <c r="BJ15" i="3"/>
  <c r="BI15" i="3"/>
  <c r="BH15" i="3"/>
  <c r="BG15" i="3"/>
  <c r="BF15" i="3"/>
  <c r="BE15" i="3"/>
  <c r="BC15" i="3"/>
  <c r="BB15" i="3"/>
  <c r="AX15" i="3"/>
  <c r="AW15" i="3"/>
  <c r="AV15" i="3"/>
  <c r="AC15" i="3"/>
  <c r="BT14" i="3"/>
  <c r="BS14" i="3"/>
  <c r="BR14" i="3"/>
  <c r="BQ14" i="3"/>
  <c r="BP14" i="3"/>
  <c r="BO14" i="3"/>
  <c r="BN14" i="3"/>
  <c r="BM14" i="3"/>
  <c r="BL14" i="3"/>
  <c r="BK14" i="3"/>
  <c r="BJ14" i="3"/>
  <c r="BI14" i="3"/>
  <c r="BH14" i="3"/>
  <c r="BG14" i="3"/>
  <c r="BF14" i="3"/>
  <c r="BE14" i="3"/>
  <c r="BD14" i="3"/>
  <c r="BB14" i="3"/>
  <c r="AX14" i="3"/>
  <c r="AW14" i="3"/>
  <c r="AV14" i="3"/>
  <c r="AC14" i="3"/>
  <c r="BT13" i="3"/>
  <c r="BT5" i="3" s="1"/>
  <c r="BS13" i="3"/>
  <c r="BR13" i="3"/>
  <c r="BP13" i="3"/>
  <c r="BO13" i="3"/>
  <c r="BN13" i="3"/>
  <c r="BM13" i="3"/>
  <c r="BK13" i="3"/>
  <c r="BJ13" i="3"/>
  <c r="BI13" i="3"/>
  <c r="BH13" i="3"/>
  <c r="BG13" i="3"/>
  <c r="BF13" i="3"/>
  <c r="BE13" i="3"/>
  <c r="BD13" i="3"/>
  <c r="BC13" i="3"/>
  <c r="AX13" i="3"/>
  <c r="AW13" i="3"/>
  <c r="AV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P5" i="3"/>
  <c r="BN5" i="3"/>
  <c r="G29" i="6" s="1"/>
  <c r="BJ5" i="3"/>
  <c r="BH5" i="3"/>
  <c r="AT5" i="3"/>
  <c r="AS5" i="3"/>
  <c r="AR5" i="3"/>
  <c r="AQ5" i="3"/>
  <c r="AP5" i="3"/>
  <c r="AO5" i="3"/>
  <c r="AN5" i="3"/>
  <c r="AM5" i="3"/>
  <c r="AK5" i="3"/>
  <c r="AJ5" i="3"/>
  <c r="AI5" i="3"/>
  <c r="AH5" i="3"/>
  <c r="AG5" i="3"/>
  <c r="AF5" i="3"/>
  <c r="AE5" i="3"/>
  <c r="AD5" i="3"/>
  <c r="AB5" i="3"/>
  <c r="AA5" i="3"/>
  <c r="Z5" i="3"/>
  <c r="Y5" i="3"/>
  <c r="X5" i="3"/>
  <c r="W5" i="3"/>
  <c r="V5" i="3"/>
  <c r="U5" i="3"/>
  <c r="T5" i="3"/>
  <c r="S5" i="3"/>
  <c r="R5" i="3"/>
  <c r="P5" i="3"/>
  <c r="N5" i="3"/>
  <c r="L5" i="3"/>
  <c r="J5" i="3"/>
  <c r="F5" i="3"/>
  <c r="R41" i="4"/>
  <c r="Q41" i="4"/>
  <c r="P41" i="4"/>
  <c r="O41" i="4"/>
  <c r="N41" i="4"/>
  <c r="M41" i="4"/>
  <c r="L41" i="4"/>
  <c r="F41" i="4"/>
  <c r="T40" i="4"/>
  <c r="C53" i="10" s="1"/>
  <c r="K40" i="4"/>
  <c r="C39" i="4"/>
  <c r="D38" i="4"/>
  <c r="G36" i="4"/>
  <c r="C35" i="4"/>
  <c r="L26" i="4"/>
  <c r="L25" i="4"/>
  <c r="L24" i="4"/>
  <c r="A2" i="55" s="1"/>
  <c r="B55" i="63" s="1"/>
  <c r="F23" i="4"/>
  <c r="I19" i="4"/>
  <c r="H19" i="4"/>
  <c r="G19" i="4"/>
  <c r="F9" i="1" s="1"/>
  <c r="F19" i="4"/>
  <c r="F8" i="1" s="1"/>
  <c r="AP8" i="1" s="1"/>
  <c r="E19" i="4"/>
  <c r="F7" i="1" s="1"/>
  <c r="D19" i="4"/>
  <c r="U16" i="4"/>
  <c r="T16" i="4"/>
  <c r="S16" i="4"/>
  <c r="Q16" i="4"/>
  <c r="R16" i="4" s="1"/>
  <c r="O16" i="4"/>
  <c r="M16" i="4"/>
  <c r="L16" i="4"/>
  <c r="K16" i="4"/>
  <c r="D14" i="4"/>
  <c r="K6" i="4"/>
  <c r="K4" i="4"/>
  <c r="I4" i="4"/>
  <c r="G4" i="4"/>
  <c r="K2" i="4"/>
  <c r="A2" i="9" s="1"/>
  <c r="K1" i="4"/>
  <c r="B1" i="4"/>
  <c r="C57" i="10"/>
  <c r="C56" i="10"/>
  <c r="C55" i="10"/>
  <c r="C54" i="10"/>
  <c r="D51" i="10"/>
  <c r="C51" i="10"/>
  <c r="B51" i="10"/>
  <c r="B2" i="52"/>
  <c r="E22" i="52" s="1"/>
  <c r="A21" i="55"/>
  <c r="A20" i="55"/>
  <c r="A16" i="55"/>
  <c r="A15" i="55"/>
  <c r="B66" i="63" s="1"/>
  <c r="A11" i="55"/>
  <c r="B62" i="63" s="1"/>
  <c r="A10" i="55"/>
  <c r="A9" i="55"/>
  <c r="B60" i="63" s="1"/>
  <c r="A8" i="55"/>
  <c r="A4" i="55"/>
  <c r="A8" i="54"/>
  <c r="A7" i="54"/>
  <c r="A6" i="54"/>
  <c r="M5" i="54"/>
  <c r="G5" i="54"/>
  <c r="E5" i="54"/>
  <c r="B32" i="63" s="1"/>
  <c r="N3" i="54"/>
  <c r="R2" i="54"/>
  <c r="B24" i="63" s="1"/>
  <c r="K2" i="54"/>
  <c r="A30" i="64"/>
  <c r="A28" i="64"/>
  <c r="A27" i="64"/>
  <c r="A26" i="64"/>
  <c r="A21" i="64"/>
  <c r="A15" i="64"/>
  <c r="A14" i="64"/>
  <c r="A11" i="64"/>
  <c r="A9" i="64"/>
  <c r="A4" i="64"/>
  <c r="A3" i="64"/>
  <c r="A30" i="51"/>
  <c r="B22" i="63" s="1"/>
  <c r="A28" i="51"/>
  <c r="A27" i="51"/>
  <c r="B20" i="63" s="1"/>
  <c r="A26" i="51"/>
  <c r="A23" i="51"/>
  <c r="A18" i="51"/>
  <c r="B14" i="63" s="1"/>
  <c r="A15" i="51"/>
  <c r="B12" i="63" s="1"/>
  <c r="A14" i="51"/>
  <c r="A11" i="51"/>
  <c r="B10" i="63" s="1"/>
  <c r="A9" i="51"/>
  <c r="A4" i="51"/>
  <c r="A3" i="51"/>
  <c r="B49" i="50"/>
  <c r="B46" i="50"/>
  <c r="B40" i="50"/>
  <c r="B37" i="50"/>
  <c r="B76" i="63"/>
  <c r="B75" i="63"/>
  <c r="B73" i="63"/>
  <c r="B71" i="63"/>
  <c r="B69" i="63"/>
  <c r="B68" i="63"/>
  <c r="B67" i="63"/>
  <c r="B65" i="63"/>
  <c r="B64" i="63"/>
  <c r="B63" i="63"/>
  <c r="B61" i="63"/>
  <c r="B59" i="63"/>
  <c r="B58" i="63"/>
  <c r="B57" i="63"/>
  <c r="B53" i="63"/>
  <c r="B51" i="63"/>
  <c r="B49" i="63"/>
  <c r="B44" i="63"/>
  <c r="B42" i="63"/>
  <c r="B41" i="63"/>
  <c r="B40" i="63"/>
  <c r="B37" i="63"/>
  <c r="B36" i="63"/>
  <c r="B35" i="63"/>
  <c r="B34" i="63"/>
  <c r="B33" i="63"/>
  <c r="B31" i="63"/>
  <c r="B30" i="63"/>
  <c r="B29" i="63"/>
  <c r="B28" i="63"/>
  <c r="B27" i="63"/>
  <c r="B26" i="63"/>
  <c r="B25" i="63"/>
  <c r="B23" i="63"/>
  <c r="B21" i="63"/>
  <c r="B19" i="63"/>
  <c r="B17" i="63"/>
  <c r="B11" i="63"/>
  <c r="B9" i="63"/>
  <c r="B8" i="63"/>
  <c r="B6" i="63"/>
  <c r="B5" i="63"/>
  <c r="N4" i="63"/>
  <c r="B4" i="63"/>
  <c r="B3" i="63"/>
  <c r="B2" i="63"/>
  <c r="M26" i="44"/>
  <c r="I4" i="65"/>
  <c r="M10" i="44"/>
  <c r="N5" i="65"/>
  <c r="B13" i="67"/>
  <c r="F45" i="44"/>
  <c r="M11" i="44"/>
  <c r="J3" i="65"/>
  <c r="F38" i="44"/>
  <c r="F46" i="44"/>
  <c r="M29" i="44"/>
  <c r="I6" i="65"/>
  <c r="F43" i="44"/>
  <c r="M28" i="44"/>
  <c r="F11" i="67"/>
  <c r="N7" i="65"/>
  <c r="E12" i="67"/>
  <c r="F40" i="44"/>
  <c r="B14" i="67"/>
  <c r="L49" i="44"/>
  <c r="E10" i="67"/>
  <c r="F37" i="44"/>
  <c r="F14" i="67"/>
  <c r="F11" i="44"/>
  <c r="F8" i="44"/>
  <c r="E14" i="67"/>
  <c r="E13" i="67"/>
  <c r="F39" i="44"/>
  <c r="F13" i="67"/>
  <c r="F15" i="44"/>
  <c r="M23" i="44"/>
  <c r="I3" i="65"/>
  <c r="I5" i="65"/>
  <c r="F9" i="67"/>
  <c r="M25" i="44"/>
  <c r="E11" i="67"/>
  <c r="M30" i="44"/>
  <c r="J7" i="65"/>
  <c r="F28" i="44"/>
  <c r="B12" i="67"/>
  <c r="B11" i="67"/>
  <c r="B10" i="67"/>
  <c r="B9" i="67"/>
  <c r="B8" i="67"/>
  <c r="M8" i="44"/>
  <c r="E8" i="67"/>
  <c r="F12" i="67"/>
  <c r="F10" i="67"/>
  <c r="L48" i="44"/>
  <c r="N6" i="65"/>
  <c r="J17" i="44"/>
  <c r="F8" i="67"/>
  <c r="F10" i="44"/>
  <c r="N4" i="65"/>
  <c r="F18" i="44"/>
  <c r="E9" i="67"/>
  <c r="J5" i="65"/>
  <c r="I7" i="65"/>
  <c r="N3" i="65"/>
  <c r="M24" i="44"/>
  <c r="J6" i="65"/>
  <c r="J4" i="65"/>
  <c r="P16" i="4" l="1"/>
  <c r="N16" i="4"/>
  <c r="K17" i="4" s="1"/>
  <c r="A22" i="51" s="1"/>
  <c r="B16" i="63" s="1"/>
  <c r="G11" i="1"/>
  <c r="G12" i="1"/>
  <c r="G13" i="1"/>
  <c r="G8" i="1"/>
  <c r="G26" i="12"/>
  <c r="G22" i="43"/>
  <c r="D22" i="70"/>
  <c r="D22" i="71"/>
  <c r="AB35" i="21"/>
  <c r="F110" i="21"/>
  <c r="G110" i="21" s="1"/>
  <c r="H110" i="21" s="1"/>
  <c r="I110" i="21" s="1"/>
  <c r="J110" i="21" s="1"/>
  <c r="K110" i="21" s="1"/>
  <c r="L110" i="21" s="1"/>
  <c r="M110" i="21" s="1"/>
  <c r="J36" i="21"/>
  <c r="W36" i="21" s="1"/>
  <c r="F36" i="21"/>
  <c r="AA36" i="21" s="1"/>
  <c r="H36" i="21"/>
  <c r="AB36" i="21" s="1"/>
  <c r="I1" i="65"/>
  <c r="G28" i="12"/>
  <c r="D23" i="15"/>
  <c r="D23" i="70"/>
  <c r="D23" i="71"/>
  <c r="AA46" i="21"/>
  <c r="F44" i="21"/>
  <c r="J46" i="21"/>
  <c r="AC46" i="21" s="1"/>
  <c r="W31" i="21"/>
  <c r="AB12" i="21"/>
  <c r="U12" i="21"/>
  <c r="AB14" i="21"/>
  <c r="U14" i="21"/>
  <c r="AB37" i="39"/>
  <c r="AA36" i="39"/>
  <c r="W14" i="39"/>
  <c r="AC14" i="39"/>
  <c r="F14" i="39"/>
  <c r="AA14" i="39" s="1"/>
  <c r="F16" i="39"/>
  <c r="A25" i="64"/>
  <c r="A25" i="51"/>
  <c r="B18" i="63" s="1"/>
  <c r="K5" i="54"/>
  <c r="AP7" i="1"/>
  <c r="G7" i="1"/>
  <c r="AP9" i="1"/>
  <c r="G9" i="1"/>
  <c r="BL16" i="3"/>
  <c r="BM5" i="3"/>
  <c r="F29" i="6" s="1"/>
  <c r="E29" i="6" s="1"/>
  <c r="T41" i="4"/>
  <c r="A17" i="64" s="1"/>
  <c r="L5" i="54"/>
  <c r="B39" i="63" s="1"/>
  <c r="A18" i="64"/>
  <c r="B74" i="63" s="1"/>
  <c r="G28" i="6"/>
  <c r="G30" i="6" s="1"/>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C13" i="39"/>
  <c r="C11" i="21"/>
  <c r="AB31" i="39"/>
  <c r="U31" i="39"/>
  <c r="AA33" i="39"/>
  <c r="S33" i="39"/>
  <c r="AC43" i="39"/>
  <c r="W43" i="39"/>
  <c r="G109" i="39"/>
  <c r="H109" i="39" s="1"/>
  <c r="I109" i="39" s="1"/>
  <c r="J109" i="39" s="1"/>
  <c r="K109" i="39" s="1"/>
  <c r="L109" i="39" s="1"/>
  <c r="M109" i="39" s="1"/>
  <c r="J34" i="39"/>
  <c r="F34" i="39"/>
  <c r="H34" i="39"/>
  <c r="G126" i="39"/>
  <c r="H126" i="39" s="1"/>
  <c r="I126" i="39" s="1"/>
  <c r="J126" i="39" s="1"/>
  <c r="K126" i="39" s="1"/>
  <c r="L126" i="39" s="1"/>
  <c r="M126" i="39" s="1"/>
  <c r="H43" i="39"/>
  <c r="F43" i="39"/>
  <c r="H113" i="21"/>
  <c r="J37" i="21"/>
  <c r="F37" i="21"/>
  <c r="H37" i="21"/>
  <c r="F36" i="44"/>
  <c r="M20" i="71"/>
  <c r="M20" i="70"/>
  <c r="M20" i="15"/>
  <c r="F34" i="70"/>
  <c r="F61" i="70" s="1"/>
  <c r="M22" i="44"/>
  <c r="F34" i="71"/>
  <c r="F61" i="71" s="1"/>
  <c r="F34" i="15"/>
  <c r="F61" i="15" s="1"/>
  <c r="B80" i="46"/>
  <c r="C17" i="40"/>
  <c r="C19" i="40"/>
  <c r="B81" i="46"/>
  <c r="B70" i="46"/>
  <c r="B59" i="46"/>
  <c r="B48" i="46"/>
  <c r="C23" i="39"/>
  <c r="B84" i="46"/>
  <c r="C25" i="40"/>
  <c r="C27" i="40"/>
  <c r="B85" i="46"/>
  <c r="B65" i="46"/>
  <c r="B54" i="46"/>
  <c r="B74" i="46"/>
  <c r="O41" i="9"/>
  <c r="R8" i="54" s="1"/>
  <c r="B54" i="63" s="1"/>
  <c r="I14" i="66"/>
  <c r="B8" i="66" s="1"/>
  <c r="AB10" i="39"/>
  <c r="AC16" i="39"/>
  <c r="W16" i="39"/>
  <c r="AC36" i="39"/>
  <c r="W36" i="39"/>
  <c r="H40" i="39"/>
  <c r="C29" i="59"/>
  <c r="D28" i="59"/>
  <c r="J15" i="39"/>
  <c r="F15" i="39"/>
  <c r="E95" i="39"/>
  <c r="J21" i="39"/>
  <c r="AC21" i="39" s="1"/>
  <c r="AB45" i="39"/>
  <c r="U45" i="39"/>
  <c r="AA10" i="40"/>
  <c r="S16" i="40"/>
  <c r="S17" i="40"/>
  <c r="S19" i="40"/>
  <c r="J32" i="40"/>
  <c r="F32" i="40"/>
  <c r="U34" i="40"/>
  <c r="S37" i="40"/>
  <c r="E91" i="39"/>
  <c r="J17" i="39"/>
  <c r="AC17" i="39" s="1"/>
  <c r="E99" i="39"/>
  <c r="F99" i="39" s="1"/>
  <c r="G99" i="39" s="1"/>
  <c r="J25" i="39"/>
  <c r="AC25" i="39" s="1"/>
  <c r="E103" i="39"/>
  <c r="F103" i="39" s="1"/>
  <c r="G103" i="39" s="1"/>
  <c r="J29" i="39"/>
  <c r="AC29" i="39" s="1"/>
  <c r="J37" i="39"/>
  <c r="F37" i="39"/>
  <c r="J39" i="39"/>
  <c r="F39" i="39"/>
  <c r="E122" i="39"/>
  <c r="H41" i="39"/>
  <c r="AB47" i="39"/>
  <c r="U47" i="39"/>
  <c r="S33" i="40"/>
  <c r="D67" i="40"/>
  <c r="J15" i="40"/>
  <c r="F15" i="40"/>
  <c r="J29" i="40"/>
  <c r="F29" i="40"/>
  <c r="J34" i="40"/>
  <c r="F34" i="40"/>
  <c r="AB41" i="40"/>
  <c r="U41" i="40"/>
  <c r="AA12" i="46"/>
  <c r="AA10" i="46"/>
  <c r="AC12" i="46"/>
  <c r="AC10" i="46"/>
  <c r="AE12" i="46"/>
  <c r="AE10" i="46"/>
  <c r="AG12" i="46"/>
  <c r="AG10" i="46"/>
  <c r="AI12" i="46"/>
  <c r="AI10" i="46"/>
  <c r="E11" i="46"/>
  <c r="E41" i="46"/>
  <c r="C41" i="46" s="1"/>
  <c r="C20" i="46"/>
  <c r="AB8" i="21"/>
  <c r="S25" i="21"/>
  <c r="S29" i="21"/>
  <c r="U30" i="21"/>
  <c r="S34" i="21"/>
  <c r="S38" i="21"/>
  <c r="S42" i="21"/>
  <c r="AB9" i="21"/>
  <c r="U9" i="21"/>
  <c r="AB13" i="21"/>
  <c r="U13" i="21"/>
  <c r="E77" i="21"/>
  <c r="F15" i="21"/>
  <c r="AA15" i="21" s="1"/>
  <c r="C28" i="15"/>
  <c r="P62" i="15"/>
  <c r="C28" i="71"/>
  <c r="P62" i="71"/>
  <c r="F17" i="69"/>
  <c r="F11" i="69"/>
  <c r="AB6" i="59"/>
  <c r="AB3" i="59"/>
  <c r="S9" i="59"/>
  <c r="X9" i="59"/>
  <c r="T13" i="59"/>
  <c r="D13" i="59"/>
  <c r="C12" i="59"/>
  <c r="F15" i="59"/>
  <c r="F16" i="59" s="1"/>
  <c r="F17" i="59" s="1"/>
  <c r="V17" i="59" s="1"/>
  <c r="AB14" i="59"/>
  <c r="C15" i="59"/>
  <c r="F19" i="59"/>
  <c r="F20" i="59" s="1"/>
  <c r="F21" i="59" s="1"/>
  <c r="V21" i="59" s="1"/>
  <c r="AB18" i="59"/>
  <c r="C19" i="59"/>
  <c r="F23" i="59"/>
  <c r="F24" i="59" s="1"/>
  <c r="F25" i="59" s="1"/>
  <c r="V25" i="59" s="1"/>
  <c r="AB22" i="59"/>
  <c r="C23" i="59"/>
  <c r="D27" i="59"/>
  <c r="C36" i="59"/>
  <c r="D35" i="59"/>
  <c r="C40" i="59"/>
  <c r="D39" i="59"/>
  <c r="C44" i="59"/>
  <c r="D43" i="59"/>
  <c r="C48" i="59"/>
  <c r="D47" i="59"/>
  <c r="N52" i="59"/>
  <c r="B51" i="59"/>
  <c r="T53" i="59"/>
  <c r="O53" i="59"/>
  <c r="D53" i="59"/>
  <c r="C52" i="59"/>
  <c r="T61" i="59"/>
  <c r="D61" i="59"/>
  <c r="C60" i="59"/>
  <c r="D69" i="59"/>
  <c r="C68" i="59"/>
  <c r="AA9" i="33"/>
  <c r="S9" i="33"/>
  <c r="AB10" i="33"/>
  <c r="U10" i="33"/>
  <c r="AC11" i="33"/>
  <c r="W11" i="33"/>
  <c r="S11" i="33"/>
  <c r="AC13" i="33"/>
  <c r="W13" i="33"/>
  <c r="AC27" i="33"/>
  <c r="W27" i="33"/>
  <c r="S27" i="33"/>
  <c r="U28" i="33"/>
  <c r="AC31" i="33"/>
  <c r="W31" i="33"/>
  <c r="S31" i="33"/>
  <c r="AB38" i="33"/>
  <c r="U38" i="33"/>
  <c r="AC39" i="33"/>
  <c r="W39" i="33"/>
  <c r="S39" i="33"/>
  <c r="J28" i="33"/>
  <c r="F28" i="33"/>
  <c r="J30" i="33"/>
  <c r="F30" i="33"/>
  <c r="H30" i="33"/>
  <c r="J44" i="33"/>
  <c r="F44" i="33"/>
  <c r="J46" i="33"/>
  <c r="F46" i="33"/>
  <c r="H46" i="33"/>
  <c r="W8" i="34"/>
  <c r="AC8" i="34"/>
  <c r="AA8" i="34"/>
  <c r="AB11" i="34"/>
  <c r="U11" i="34"/>
  <c r="AC12" i="34"/>
  <c r="W12" i="34"/>
  <c r="S12" i="34"/>
  <c r="U13" i="34"/>
  <c r="AC29" i="34"/>
  <c r="W29" i="34"/>
  <c r="AB34" i="34"/>
  <c r="U34" i="34"/>
  <c r="AC35" i="34"/>
  <c r="W35" i="34"/>
  <c r="S35" i="34"/>
  <c r="AB42" i="34"/>
  <c r="U42" i="34"/>
  <c r="AC43" i="34"/>
  <c r="W43" i="34"/>
  <c r="S43" i="34"/>
  <c r="AC47" i="34"/>
  <c r="W47" i="34"/>
  <c r="AC10" i="37"/>
  <c r="W10" i="37"/>
  <c r="S10" i="37"/>
  <c r="U12" i="37"/>
  <c r="AB15" i="37"/>
  <c r="U15" i="37"/>
  <c r="AB19" i="37"/>
  <c r="U19" i="37"/>
  <c r="AB23" i="37"/>
  <c r="U23" i="37"/>
  <c r="U26" i="37"/>
  <c r="AB32" i="37"/>
  <c r="U32" i="37"/>
  <c r="J12" i="37"/>
  <c r="F12" i="37"/>
  <c r="J14" i="37"/>
  <c r="F14" i="37"/>
  <c r="H14" i="37"/>
  <c r="AC10" i="35"/>
  <c r="W10" i="35"/>
  <c r="S10" i="35"/>
  <c r="AB25" i="35"/>
  <c r="U25" i="35"/>
  <c r="AB30" i="35"/>
  <c r="U30" i="35"/>
  <c r="AB14" i="36"/>
  <c r="U14" i="36"/>
  <c r="AB18" i="36"/>
  <c r="U18" i="36"/>
  <c r="AC22" i="36"/>
  <c r="W22" i="36"/>
  <c r="S22" i="36"/>
  <c r="AB29" i="36"/>
  <c r="U29" i="36"/>
  <c r="H32" i="36"/>
  <c r="F32" i="36"/>
  <c r="J34" i="36"/>
  <c r="F34" i="36"/>
  <c r="H34" i="36"/>
  <c r="N76" i="9"/>
  <c r="K76" i="9"/>
  <c r="K77" i="9" s="1"/>
  <c r="K79" i="9" s="1"/>
  <c r="K81" i="9" s="1"/>
  <c r="C12" i="39"/>
  <c r="F6" i="1"/>
  <c r="J52" i="40"/>
  <c r="J57" i="39"/>
  <c r="O40" i="9"/>
  <c r="R7" i="54" s="1"/>
  <c r="B52" i="63" s="1"/>
  <c r="L76" i="9"/>
  <c r="C92" i="9"/>
  <c r="S11" i="39"/>
  <c r="S14" i="39"/>
  <c r="H15" i="39"/>
  <c r="F21" i="39"/>
  <c r="AA21" i="39" s="1"/>
  <c r="F25" i="39"/>
  <c r="AA25" i="39" s="1"/>
  <c r="S38" i="39"/>
  <c r="H39" i="39"/>
  <c r="F45" i="39"/>
  <c r="W45" i="39"/>
  <c r="F47" i="39"/>
  <c r="W47" i="39"/>
  <c r="AB33" i="39"/>
  <c r="U33" i="39"/>
  <c r="C27" i="43"/>
  <c r="AC10" i="40"/>
  <c r="S14" i="40"/>
  <c r="H15" i="40"/>
  <c r="W16" i="40"/>
  <c r="W17" i="40"/>
  <c r="W19" i="40"/>
  <c r="S21" i="40"/>
  <c r="S23" i="40"/>
  <c r="S25" i="40"/>
  <c r="S27" i="40"/>
  <c r="H29" i="40"/>
  <c r="U30" i="40"/>
  <c r="H32" i="40"/>
  <c r="W33" i="40"/>
  <c r="S35" i="40"/>
  <c r="U36" i="40"/>
  <c r="W37" i="40"/>
  <c r="S39" i="40"/>
  <c r="U40" i="40"/>
  <c r="J41" i="40"/>
  <c r="S41" i="40"/>
  <c r="U42" i="40"/>
  <c r="F65" i="40"/>
  <c r="H15" i="48"/>
  <c r="H13" i="48"/>
  <c r="H11" i="48"/>
  <c r="H9" i="48"/>
  <c r="H7" i="48"/>
  <c r="H5" i="48"/>
  <c r="M12" i="46"/>
  <c r="M11" i="46"/>
  <c r="N10" i="46"/>
  <c r="M9" i="46"/>
  <c r="M8" i="46"/>
  <c r="N7" i="46"/>
  <c r="M6" i="46"/>
  <c r="M5" i="46"/>
  <c r="M4" i="46"/>
  <c r="N3" i="46"/>
  <c r="M2" i="46"/>
  <c r="M1" i="46"/>
  <c r="N5" i="46"/>
  <c r="N6" i="46"/>
  <c r="M7" i="46"/>
  <c r="N8" i="46"/>
  <c r="E9" i="46"/>
  <c r="C7" i="46" s="1"/>
  <c r="M10" i="46"/>
  <c r="N11" i="46"/>
  <c r="N12" i="46"/>
  <c r="H55" i="46"/>
  <c r="H53" i="46"/>
  <c r="H50" i="46"/>
  <c r="H49" i="46"/>
  <c r="H47" i="46"/>
  <c r="H48" i="46"/>
  <c r="H52" i="46"/>
  <c r="H54" i="46"/>
  <c r="H66" i="46"/>
  <c r="H64" i="46"/>
  <c r="H61" i="46"/>
  <c r="H60" i="46"/>
  <c r="H58" i="46"/>
  <c r="H59" i="46"/>
  <c r="H63" i="46"/>
  <c r="H65" i="46"/>
  <c r="H77" i="46"/>
  <c r="H76" i="46"/>
  <c r="H73" i="46"/>
  <c r="H71" i="46"/>
  <c r="H69" i="46"/>
  <c r="H70" i="46"/>
  <c r="H75" i="46"/>
  <c r="H87" i="46"/>
  <c r="H84" i="46"/>
  <c r="H82" i="46"/>
  <c r="H80" i="46"/>
  <c r="H81" i="46"/>
  <c r="H86" i="46"/>
  <c r="C100" i="46"/>
  <c r="G100" i="46"/>
  <c r="K100" i="46"/>
  <c r="F9" i="21"/>
  <c r="W9" i="21"/>
  <c r="F13" i="21"/>
  <c r="W13" i="21"/>
  <c r="W21" i="21"/>
  <c r="W25" i="21"/>
  <c r="S27" i="21"/>
  <c r="U28" i="21"/>
  <c r="W29" i="21"/>
  <c r="S31" i="21"/>
  <c r="W34" i="21"/>
  <c r="S36" i="21"/>
  <c r="W38" i="21"/>
  <c r="S40" i="21"/>
  <c r="U41" i="21"/>
  <c r="W42" i="21"/>
  <c r="W44" i="21"/>
  <c r="W46" i="21"/>
  <c r="E79" i="21"/>
  <c r="F79" i="21" s="1"/>
  <c r="G79" i="21" s="1"/>
  <c r="J17" i="21"/>
  <c r="AC17" i="21" s="1"/>
  <c r="F17" i="21"/>
  <c r="AA17" i="21" s="1"/>
  <c r="E83" i="21"/>
  <c r="F83" i="21" s="1"/>
  <c r="G83" i="21" s="1"/>
  <c r="H21" i="21"/>
  <c r="J28" i="21"/>
  <c r="F28" i="21"/>
  <c r="J30" i="21"/>
  <c r="F30" i="21"/>
  <c r="E101" i="21"/>
  <c r="J32" i="21"/>
  <c r="AB44" i="21"/>
  <c r="U44" i="21"/>
  <c r="AB46" i="21"/>
  <c r="U46" i="21"/>
  <c r="K143" i="21"/>
  <c r="K141" i="21"/>
  <c r="K144" i="21"/>
  <c r="K145" i="21"/>
  <c r="C28" i="70"/>
  <c r="P62" i="70"/>
  <c r="AL13" i="3"/>
  <c r="M15" i="3"/>
  <c r="I13" i="3"/>
  <c r="F16" i="69"/>
  <c r="H6" i="48"/>
  <c r="H10" i="48"/>
  <c r="H14" i="48"/>
  <c r="D26" i="44"/>
  <c r="D25" i="44"/>
  <c r="AA3" i="59"/>
  <c r="X3" i="59"/>
  <c r="AA5" i="59"/>
  <c r="X5" i="59"/>
  <c r="AB5" i="59"/>
  <c r="X6" i="59"/>
  <c r="Y7" i="59"/>
  <c r="Z7" i="59" s="1"/>
  <c r="AB8" i="59"/>
  <c r="AA8" i="59"/>
  <c r="T9" i="59"/>
  <c r="D9" i="59"/>
  <c r="C8" i="59"/>
  <c r="Y9" i="59"/>
  <c r="Z9" i="59" s="1"/>
  <c r="U9" i="59"/>
  <c r="AB10" i="59"/>
  <c r="AA10" i="59"/>
  <c r="AA11" i="59"/>
  <c r="AB11" i="59"/>
  <c r="X12" i="59"/>
  <c r="AA13" i="59"/>
  <c r="X13" i="59"/>
  <c r="AB13" i="59"/>
  <c r="E16" i="59"/>
  <c r="E17" i="59" s="1"/>
  <c r="U17" i="59" s="1"/>
  <c r="Y15" i="59"/>
  <c r="Z15" i="59" s="1"/>
  <c r="AB16" i="59"/>
  <c r="AA16" i="59"/>
  <c r="AA17" i="59"/>
  <c r="AB17" i="59"/>
  <c r="E20" i="59"/>
  <c r="E21" i="59" s="1"/>
  <c r="U21" i="59" s="1"/>
  <c r="Y19" i="59"/>
  <c r="Z19" i="59" s="1"/>
  <c r="AB20" i="59"/>
  <c r="AA20" i="59"/>
  <c r="AA21" i="59"/>
  <c r="AB21" i="59"/>
  <c r="E24" i="59"/>
  <c r="E25" i="59" s="1"/>
  <c r="U25" i="59" s="1"/>
  <c r="D31" i="59"/>
  <c r="E36" i="59"/>
  <c r="E37" i="59" s="1"/>
  <c r="U37" i="59" s="1"/>
  <c r="E40" i="59"/>
  <c r="E41" i="59" s="1"/>
  <c r="U41" i="59" s="1"/>
  <c r="E44" i="59"/>
  <c r="E45" i="59" s="1"/>
  <c r="U45" i="59" s="1"/>
  <c r="E48" i="59"/>
  <c r="E49" i="59" s="1"/>
  <c r="U49" i="59" s="1"/>
  <c r="Q51" i="59"/>
  <c r="Q50" i="59"/>
  <c r="T57" i="59"/>
  <c r="D57" i="59"/>
  <c r="C56" i="59"/>
  <c r="T65" i="59"/>
  <c r="D65" i="59"/>
  <c r="C64" i="59"/>
  <c r="D73" i="59"/>
  <c r="C72" i="59"/>
  <c r="I21" i="57"/>
  <c r="D1" i="57"/>
  <c r="E10" i="57" s="1"/>
  <c r="AB34" i="33"/>
  <c r="U34" i="33"/>
  <c r="AC35" i="33"/>
  <c r="W35" i="33"/>
  <c r="AB42" i="33"/>
  <c r="U42" i="33"/>
  <c r="AC43" i="33"/>
  <c r="W43" i="33"/>
  <c r="H44" i="33"/>
  <c r="H13" i="33"/>
  <c r="F13" i="33"/>
  <c r="AC15" i="34"/>
  <c r="W15" i="34"/>
  <c r="AC19" i="34"/>
  <c r="W19" i="34"/>
  <c r="AC23" i="34"/>
  <c r="W23" i="34"/>
  <c r="AC27" i="34"/>
  <c r="W27" i="34"/>
  <c r="AC31" i="34"/>
  <c r="W31" i="34"/>
  <c r="AB38" i="34"/>
  <c r="U38" i="34"/>
  <c r="AC39" i="34"/>
  <c r="W39" i="34"/>
  <c r="AC45" i="34"/>
  <c r="W45" i="34"/>
  <c r="H27" i="34"/>
  <c r="F27" i="34"/>
  <c r="J7" i="37"/>
  <c r="F7" i="37"/>
  <c r="H7" i="37"/>
  <c r="AB17" i="37"/>
  <c r="U17" i="37"/>
  <c r="AB21" i="37"/>
  <c r="U21" i="37"/>
  <c r="AC25" i="37"/>
  <c r="W25" i="37"/>
  <c r="S25" i="37"/>
  <c r="AC33" i="37"/>
  <c r="W33" i="37"/>
  <c r="S33" i="37"/>
  <c r="C79" i="35"/>
  <c r="J26" i="35"/>
  <c r="F26" i="35"/>
  <c r="H26" i="35"/>
  <c r="AC31" i="35"/>
  <c r="W31" i="35"/>
  <c r="S31" i="35"/>
  <c r="J32" i="36"/>
  <c r="K10" i="1"/>
  <c r="K11" i="1"/>
  <c r="M11" i="1" s="1"/>
  <c r="K12" i="1"/>
  <c r="M12" i="1" s="1"/>
  <c r="K13" i="1"/>
  <c r="M13" i="1" s="1"/>
  <c r="N67" i="9"/>
  <c r="F71" i="9"/>
  <c r="C110" i="9"/>
  <c r="C9" i="39"/>
  <c r="C70" i="39" s="1"/>
  <c r="U11" i="39"/>
  <c r="U14" i="39"/>
  <c r="U16" i="39"/>
  <c r="C17" i="39"/>
  <c r="C21" i="39"/>
  <c r="C29" i="39"/>
  <c r="S31" i="39"/>
  <c r="W31" i="39"/>
  <c r="U36" i="39"/>
  <c r="U38" i="39"/>
  <c r="F40" i="39"/>
  <c r="J40" i="39"/>
  <c r="S42" i="39"/>
  <c r="W42" i="39"/>
  <c r="S44" i="39"/>
  <c r="W44" i="39"/>
  <c r="S46" i="39"/>
  <c r="W46" i="39"/>
  <c r="E55" i="39"/>
  <c r="F55" i="39" s="1"/>
  <c r="K1" i="12"/>
  <c r="G27" i="12"/>
  <c r="F29" i="12"/>
  <c r="K1" i="43"/>
  <c r="G21" i="43"/>
  <c r="G23" i="43"/>
  <c r="F31" i="43"/>
  <c r="C31" i="43" s="1"/>
  <c r="S11" i="40"/>
  <c r="W11" i="40"/>
  <c r="S13" i="40"/>
  <c r="W13" i="40"/>
  <c r="U14" i="40"/>
  <c r="U16" i="40"/>
  <c r="U17" i="40"/>
  <c r="U19" i="40"/>
  <c r="U21" i="40"/>
  <c r="C23" i="40"/>
  <c r="U23" i="40"/>
  <c r="U25" i="40"/>
  <c r="U27" i="40"/>
  <c r="S30" i="40"/>
  <c r="W30" i="40"/>
  <c r="U33" i="40"/>
  <c r="U35" i="40"/>
  <c r="S36" i="40"/>
  <c r="W36" i="40"/>
  <c r="U37" i="40"/>
  <c r="S38" i="40"/>
  <c r="W38" i="40"/>
  <c r="U39" i="40"/>
  <c r="S40" i="40"/>
  <c r="W40" i="40"/>
  <c r="S42" i="40"/>
  <c r="W42" i="40"/>
  <c r="C17" i="46"/>
  <c r="G17" i="46"/>
  <c r="I17" i="46"/>
  <c r="G19" i="46"/>
  <c r="B53" i="46"/>
  <c r="B55" i="46"/>
  <c r="B64" i="46"/>
  <c r="B66" i="46"/>
  <c r="D100" i="46"/>
  <c r="F100" i="46"/>
  <c r="H100" i="46"/>
  <c r="J100" i="46"/>
  <c r="L100" i="46"/>
  <c r="N100" i="46"/>
  <c r="C7" i="21"/>
  <c r="C58" i="21" s="1"/>
  <c r="S10" i="21"/>
  <c r="W10" i="21"/>
  <c r="S12" i="21"/>
  <c r="W12" i="21"/>
  <c r="S14" i="21"/>
  <c r="W14" i="21"/>
  <c r="U25" i="21"/>
  <c r="S26" i="21"/>
  <c r="W26" i="21"/>
  <c r="U27" i="21"/>
  <c r="U29" i="21"/>
  <c r="U31" i="21"/>
  <c r="U34" i="21"/>
  <c r="S35" i="21"/>
  <c r="W35" i="21"/>
  <c r="U36" i="21"/>
  <c r="U38" i="21"/>
  <c r="S39" i="21"/>
  <c r="W39" i="21"/>
  <c r="U40" i="21"/>
  <c r="S41" i="21"/>
  <c r="W41" i="21"/>
  <c r="U42" i="21"/>
  <c r="S43" i="21"/>
  <c r="W43" i="21"/>
  <c r="S45" i="21"/>
  <c r="W45" i="21"/>
  <c r="G1" i="15"/>
  <c r="G1" i="70"/>
  <c r="G1" i="71"/>
  <c r="M20" i="44"/>
  <c r="F30" i="44"/>
  <c r="C30" i="44" s="1"/>
  <c r="X14" i="59"/>
  <c r="X18" i="59"/>
  <c r="X22" i="59"/>
  <c r="P51" i="59"/>
  <c r="AB8" i="33"/>
  <c r="S25" i="33"/>
  <c r="U26" i="33"/>
  <c r="S29" i="33"/>
  <c r="S33" i="33"/>
  <c r="S37" i="33"/>
  <c r="S41" i="33"/>
  <c r="S45" i="33"/>
  <c r="D58" i="33"/>
  <c r="AB9" i="33"/>
  <c r="U9" i="33"/>
  <c r="J26" i="33"/>
  <c r="F26" i="33"/>
  <c r="C7" i="34"/>
  <c r="C59" i="34" s="1"/>
  <c r="S10" i="34"/>
  <c r="S14" i="34"/>
  <c r="S17" i="34"/>
  <c r="S21" i="34"/>
  <c r="S33" i="34"/>
  <c r="S37" i="34"/>
  <c r="S41" i="34"/>
  <c r="J13" i="34"/>
  <c r="F13" i="34"/>
  <c r="AB29" i="34"/>
  <c r="U29" i="34"/>
  <c r="AB31" i="34"/>
  <c r="U31" i="34"/>
  <c r="AB45" i="34"/>
  <c r="U45" i="34"/>
  <c r="AB47" i="34"/>
  <c r="U47" i="34"/>
  <c r="AA8" i="37"/>
  <c r="U9" i="37"/>
  <c r="AC29" i="37"/>
  <c r="W29" i="37"/>
  <c r="AB36" i="37"/>
  <c r="U36" i="37"/>
  <c r="AC37" i="37"/>
  <c r="W37" i="37"/>
  <c r="AC39" i="37"/>
  <c r="W39" i="37"/>
  <c r="J9" i="37"/>
  <c r="F9" i="37"/>
  <c r="H39" i="37"/>
  <c r="F39" i="37"/>
  <c r="C7" i="35"/>
  <c r="C48" i="35" s="1"/>
  <c r="AB13" i="35"/>
  <c r="U13" i="35"/>
  <c r="AB14" i="35"/>
  <c r="U14" i="35"/>
  <c r="AB16" i="35"/>
  <c r="U16" i="35"/>
  <c r="AB18" i="35"/>
  <c r="U18" i="35"/>
  <c r="AB20" i="35"/>
  <c r="U20" i="35"/>
  <c r="AC22" i="35"/>
  <c r="W22" i="35"/>
  <c r="AC27" i="35"/>
  <c r="W27" i="35"/>
  <c r="AB34" i="35"/>
  <c r="U34" i="35"/>
  <c r="AC35" i="35"/>
  <c r="W35" i="35"/>
  <c r="C7" i="36"/>
  <c r="C46" i="36" s="1"/>
  <c r="AB13" i="36"/>
  <c r="U13" i="36"/>
  <c r="AB16" i="36"/>
  <c r="U16" i="36"/>
  <c r="AB20" i="36"/>
  <c r="U20" i="36"/>
  <c r="AC30" i="36"/>
  <c r="W30" i="36"/>
  <c r="S30" i="36"/>
  <c r="Q53" i="59"/>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U10" i="37"/>
  <c r="W11" i="37"/>
  <c r="S13" i="37"/>
  <c r="S27" i="37"/>
  <c r="U28" i="37"/>
  <c r="S31" i="37"/>
  <c r="S35" i="37"/>
  <c r="J26" i="37"/>
  <c r="F26" i="37"/>
  <c r="J28" i="37"/>
  <c r="F28" i="37"/>
  <c r="AA8" i="35"/>
  <c r="U9" i="35"/>
  <c r="S12" i="35"/>
  <c r="S24" i="35"/>
  <c r="S29" i="35"/>
  <c r="S33" i="35"/>
  <c r="J9" i="35"/>
  <c r="F9" i="35"/>
  <c r="AC10" i="36"/>
  <c r="W10" i="36"/>
  <c r="AB25" i="36"/>
  <c r="U25" i="36"/>
  <c r="AC26" i="36"/>
  <c r="W26" i="36"/>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U9" i="36"/>
  <c r="S12" i="36"/>
  <c r="S24" i="36"/>
  <c r="S28" i="36"/>
  <c r="J9" i="36"/>
  <c r="F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S33" i="36"/>
  <c r="W33" i="36"/>
  <c r="G55" i="39"/>
  <c r="H55" i="39" s="1"/>
  <c r="I55" i="39"/>
  <c r="J55" i="39" s="1"/>
  <c r="H29" i="39"/>
  <c r="S29" i="39"/>
  <c r="W29" i="39"/>
  <c r="F101" i="39"/>
  <c r="G101" i="39" s="1"/>
  <c r="H27" i="39"/>
  <c r="J27" i="39"/>
  <c r="F27" i="39"/>
  <c r="H25" i="39"/>
  <c r="S25" i="39"/>
  <c r="W25" i="39"/>
  <c r="F97" i="39"/>
  <c r="G97" i="39" s="1"/>
  <c r="H23" i="39"/>
  <c r="F23" i="39"/>
  <c r="J23" i="39"/>
  <c r="F95" i="39"/>
  <c r="G95" i="39" s="1"/>
  <c r="H21" i="39"/>
  <c r="S21" i="39"/>
  <c r="W21" i="39"/>
  <c r="F93" i="39"/>
  <c r="G93" i="39" s="1"/>
  <c r="H19" i="39"/>
  <c r="F19" i="39"/>
  <c r="J19" i="39"/>
  <c r="F91" i="39"/>
  <c r="G91" i="39" s="1"/>
  <c r="H17" i="39"/>
  <c r="S17" i="39"/>
  <c r="W17" i="39"/>
  <c r="F85" i="21"/>
  <c r="G85" i="21" s="1"/>
  <c r="H23" i="21"/>
  <c r="J23" i="21"/>
  <c r="F23" i="21"/>
  <c r="F81" i="21"/>
  <c r="G81" i="21" s="1"/>
  <c r="J19" i="21"/>
  <c r="U19" i="21"/>
  <c r="S19" i="21"/>
  <c r="S17" i="21"/>
  <c r="W17" i="21"/>
  <c r="U17" i="21"/>
  <c r="S15" i="21"/>
  <c r="U15" i="21"/>
  <c r="C18" i="9"/>
  <c r="M43" i="9" s="1"/>
  <c r="J11" i="21"/>
  <c r="F11" i="21"/>
  <c r="H69" i="21"/>
  <c r="I69" i="21" s="1"/>
  <c r="J69" i="21" s="1"/>
  <c r="K69" i="21" s="1"/>
  <c r="L69" i="21" s="1"/>
  <c r="M69" i="21" s="1"/>
  <c r="H11" i="21"/>
  <c r="H83" i="39"/>
  <c r="I83" i="39" s="1"/>
  <c r="J83" i="39" s="1"/>
  <c r="K83" i="39" s="1"/>
  <c r="L83" i="39" s="1"/>
  <c r="M83" i="39" s="1"/>
  <c r="H13" i="39"/>
  <c r="J13" i="39"/>
  <c r="F13" i="39"/>
  <c r="AA13" i="39" s="1"/>
  <c r="AB40" i="39"/>
  <c r="U40" i="39"/>
  <c r="AA40" i="39"/>
  <c r="S40" i="39"/>
  <c r="AC40" i="39"/>
  <c r="W40" i="39"/>
  <c r="B5" i="52"/>
  <c r="B7" i="52"/>
  <c r="B9" i="52"/>
  <c r="B11" i="52"/>
  <c r="B14" i="52"/>
  <c r="B16" i="52"/>
  <c r="B22" i="52"/>
  <c r="T48" i="39"/>
  <c r="B4" i="52"/>
  <c r="B6" i="52"/>
  <c r="B8" i="52"/>
  <c r="B10" i="52"/>
  <c r="B13" i="52"/>
  <c r="B15" i="52"/>
  <c r="E17" i="52"/>
  <c r="R48" i="39"/>
  <c r="V48" i="39"/>
  <c r="J22" i="44"/>
  <c r="C29" i="44"/>
  <c r="C36" i="44"/>
  <c r="E20" i="46"/>
  <c r="C4" i="65"/>
  <c r="B39" i="1" s="1"/>
  <c r="Q73" i="44"/>
  <c r="L60" i="44"/>
  <c r="L59" i="44"/>
  <c r="J61" i="44"/>
  <c r="Q50" i="44" s="1"/>
  <c r="L57" i="44"/>
  <c r="J60" i="44"/>
  <c r="J58" i="44"/>
  <c r="J56" i="44" s="1"/>
  <c r="J59" i="44" s="1"/>
  <c r="Q52" i="44" s="1"/>
  <c r="I55" i="44"/>
  <c r="J54" i="44"/>
  <c r="L47" i="44"/>
  <c r="J1" i="65"/>
  <c r="E4" i="52"/>
  <c r="E5" i="52"/>
  <c r="E6" i="52"/>
  <c r="E7" i="52"/>
  <c r="E8" i="52"/>
  <c r="E9" i="52"/>
  <c r="C4" i="4" s="1"/>
  <c r="B20" i="55" s="1"/>
  <c r="B70" i="63" s="1"/>
  <c r="E10" i="52"/>
  <c r="E11" i="52"/>
  <c r="E13" i="52"/>
  <c r="E4" i="4" s="1"/>
  <c r="B21" i="55" s="1"/>
  <c r="B72" i="63" s="1"/>
  <c r="E14" i="52"/>
  <c r="E15" i="52"/>
  <c r="E16" i="52"/>
  <c r="E21" i="52"/>
  <c r="F9" i="44"/>
  <c r="M31" i="44"/>
  <c r="C19" i="44"/>
  <c r="E2" i="65"/>
  <c r="E3" i="65"/>
  <c r="AC36" i="21" l="1"/>
  <c r="B40" i="1"/>
  <c r="F26" i="44" s="1"/>
  <c r="C26" i="44" s="1"/>
  <c r="AA44" i="21"/>
  <c r="S44" i="21"/>
  <c r="S16" i="39"/>
  <c r="AA16" i="39"/>
  <c r="C8" i="44"/>
  <c r="M9" i="44"/>
  <c r="J8" i="44" s="1"/>
  <c r="AA9" i="36"/>
  <c r="S9" i="36"/>
  <c r="AA9" i="35"/>
  <c r="S9" i="35"/>
  <c r="AA28" i="37"/>
  <c r="S28" i="37"/>
  <c r="AA26" i="37"/>
  <c r="S26" i="37"/>
  <c r="D48" i="35"/>
  <c r="E48" i="35" s="1"/>
  <c r="F48" i="35" s="1"/>
  <c r="G48" i="35" s="1"/>
  <c r="H48" i="35" s="1"/>
  <c r="I48" i="35" s="1"/>
  <c r="J48" i="35" s="1"/>
  <c r="K48" i="35" s="1"/>
  <c r="L48" i="35" s="1"/>
  <c r="M48" i="35" s="1"/>
  <c r="N48" i="35" s="1"/>
  <c r="O48" i="35" s="1"/>
  <c r="AB39" i="37"/>
  <c r="U39" i="37"/>
  <c r="AC9" i="37"/>
  <c r="W9" i="37"/>
  <c r="AC13" i="34"/>
  <c r="W13" i="34"/>
  <c r="D59" i="34"/>
  <c r="E59" i="34" s="1"/>
  <c r="F59" i="34" s="1"/>
  <c r="G59" i="34" s="1"/>
  <c r="H59" i="34" s="1"/>
  <c r="I59" i="34" s="1"/>
  <c r="J59" i="34" s="1"/>
  <c r="K59" i="34" s="1"/>
  <c r="L59" i="34" s="1"/>
  <c r="M59" i="34" s="1"/>
  <c r="N59" i="34" s="1"/>
  <c r="O59" i="34" s="1"/>
  <c r="J7" i="34"/>
  <c r="F7" i="34"/>
  <c r="H7" i="34"/>
  <c r="AC26" i="33"/>
  <c r="W26" i="33"/>
  <c r="D58" i="21"/>
  <c r="E58" i="21" s="1"/>
  <c r="F58" i="21" s="1"/>
  <c r="G58" i="21" s="1"/>
  <c r="H58" i="21" s="1"/>
  <c r="I58" i="21" s="1"/>
  <c r="J58" i="21" s="1"/>
  <c r="K58" i="21" s="1"/>
  <c r="L58" i="21" s="1"/>
  <c r="M58" i="21" s="1"/>
  <c r="N58" i="21" s="1"/>
  <c r="O58" i="21" s="1"/>
  <c r="C16" i="46"/>
  <c r="O12" i="1"/>
  <c r="P12" i="1"/>
  <c r="M10" i="1"/>
  <c r="AA26" i="35"/>
  <c r="S26" i="35"/>
  <c r="AA7" i="37"/>
  <c r="R42" i="37" s="1"/>
  <c r="S7" i="37"/>
  <c r="S27" i="34"/>
  <c r="AA27" i="34"/>
  <c r="AB13" i="33"/>
  <c r="U13" i="33"/>
  <c r="U44" i="33"/>
  <c r="AB44" i="33"/>
  <c r="D56" i="59"/>
  <c r="C55" i="59"/>
  <c r="D55" i="59" s="1"/>
  <c r="K14" i="3"/>
  <c r="BQ13" i="3"/>
  <c r="AL5" i="3"/>
  <c r="AC13" i="3"/>
  <c r="AC5" i="3" s="1"/>
  <c r="AC32" i="21"/>
  <c r="W32" i="21"/>
  <c r="AA30" i="21"/>
  <c r="S30" i="21"/>
  <c r="AA28" i="21"/>
  <c r="S28" i="21"/>
  <c r="AB21" i="21"/>
  <c r="U21" i="21"/>
  <c r="AA13" i="21"/>
  <c r="S13" i="21"/>
  <c r="AA9" i="21"/>
  <c r="S9" i="21"/>
  <c r="AC41" i="40"/>
  <c r="W41" i="40"/>
  <c r="AA47" i="39"/>
  <c r="S47" i="39"/>
  <c r="AA45" i="39"/>
  <c r="S45" i="39"/>
  <c r="AA34" i="36"/>
  <c r="S34" i="36"/>
  <c r="AA32" i="36"/>
  <c r="S32" i="36"/>
  <c r="AB14" i="37"/>
  <c r="U14" i="37"/>
  <c r="AC14" i="37"/>
  <c r="W14" i="37"/>
  <c r="AC12" i="37"/>
  <c r="W12" i="37"/>
  <c r="AB46" i="33"/>
  <c r="U46" i="33"/>
  <c r="AC46" i="33"/>
  <c r="W46" i="33"/>
  <c r="AC44" i="33"/>
  <c r="W44" i="33"/>
  <c r="AA30" i="33"/>
  <c r="S30" i="33"/>
  <c r="AA28" i="33"/>
  <c r="S28" i="33"/>
  <c r="O52" i="59"/>
  <c r="D52" i="59"/>
  <c r="C51" i="59"/>
  <c r="N50" i="59"/>
  <c r="N51" i="59"/>
  <c r="C20" i="59"/>
  <c r="D19" i="59"/>
  <c r="D12" i="59"/>
  <c r="C11" i="59"/>
  <c r="D11" i="59" s="1"/>
  <c r="F77" i="21"/>
  <c r="G77" i="21" s="1"/>
  <c r="J15" i="21"/>
  <c r="AC34" i="40"/>
  <c r="W34" i="40"/>
  <c r="AC29" i="40"/>
  <c r="W29" i="40"/>
  <c r="AC15" i="40"/>
  <c r="W15" i="40"/>
  <c r="F122" i="39"/>
  <c r="J41" i="39"/>
  <c r="AC39" i="39"/>
  <c r="W39" i="39"/>
  <c r="AC37" i="39"/>
  <c r="W37" i="39"/>
  <c r="AC32" i="40"/>
  <c r="W32" i="40"/>
  <c r="AC15" i="39"/>
  <c r="W15" i="39"/>
  <c r="T29" i="59"/>
  <c r="D29" i="59"/>
  <c r="AB37" i="21"/>
  <c r="U37" i="21"/>
  <c r="AC37" i="21"/>
  <c r="W37" i="21"/>
  <c r="AB43" i="39"/>
  <c r="U43" i="39"/>
  <c r="AB34" i="39"/>
  <c r="U34" i="39"/>
  <c r="AC34" i="39"/>
  <c r="W34" i="39"/>
  <c r="A17" i="51"/>
  <c r="B13" i="63" s="1"/>
  <c r="A3" i="55"/>
  <c r="B56" i="63" s="1"/>
  <c r="B38" i="63"/>
  <c r="AC9" i="36"/>
  <c r="W9" i="36"/>
  <c r="AC9" i="35"/>
  <c r="W9" i="35"/>
  <c r="AC28" i="37"/>
  <c r="W28" i="37"/>
  <c r="AC26" i="37"/>
  <c r="W26" i="37"/>
  <c r="J7" i="36"/>
  <c r="H7" i="36"/>
  <c r="D46" i="36"/>
  <c r="E46" i="36" s="1"/>
  <c r="F46" i="36" s="1"/>
  <c r="G46" i="36" s="1"/>
  <c r="H46" i="36" s="1"/>
  <c r="I46" i="36" s="1"/>
  <c r="J46" i="36" s="1"/>
  <c r="K46" i="36" s="1"/>
  <c r="L46" i="36" s="1"/>
  <c r="M46" i="36" s="1"/>
  <c r="N46" i="36" s="1"/>
  <c r="O46" i="36" s="1"/>
  <c r="S39" i="37"/>
  <c r="AA39" i="37"/>
  <c r="AA9" i="37"/>
  <c r="S9" i="37"/>
  <c r="AA13" i="34"/>
  <c r="S13" i="34"/>
  <c r="AA26" i="33"/>
  <c r="S26" i="33"/>
  <c r="E58" i="33"/>
  <c r="F58" i="33" s="1"/>
  <c r="G58" i="33" s="1"/>
  <c r="H58" i="33" s="1"/>
  <c r="I58" i="33" s="1"/>
  <c r="J58" i="33" s="1"/>
  <c r="K58" i="33" s="1"/>
  <c r="L58" i="33" s="1"/>
  <c r="M58" i="33" s="1"/>
  <c r="N58" i="33" s="1"/>
  <c r="O58" i="33" s="1"/>
  <c r="P25" i="46"/>
  <c r="B73" i="39" s="1"/>
  <c r="P21" i="46"/>
  <c r="P22" i="46"/>
  <c r="O19" i="46"/>
  <c r="P24" i="46"/>
  <c r="B68" i="40" s="1"/>
  <c r="P23" i="46"/>
  <c r="D70" i="39"/>
  <c r="C72" i="39"/>
  <c r="O13" i="1"/>
  <c r="P13" i="1"/>
  <c r="O11" i="1"/>
  <c r="P11" i="1"/>
  <c r="AC32" i="36"/>
  <c r="W32" i="36"/>
  <c r="AB26" i="35"/>
  <c r="U26" i="35"/>
  <c r="AC26" i="35"/>
  <c r="W26" i="35"/>
  <c r="U7" i="37"/>
  <c r="AB7" i="37"/>
  <c r="T42" i="37" s="1"/>
  <c r="G42" i="37" s="1"/>
  <c r="AC7" i="37"/>
  <c r="V42" i="37" s="1"/>
  <c r="I42" i="37" s="1"/>
  <c r="W7" i="37"/>
  <c r="AB27" i="34"/>
  <c r="U27" i="34"/>
  <c r="AA13" i="33"/>
  <c r="S13" i="33"/>
  <c r="D72" i="59"/>
  <c r="C71" i="59"/>
  <c r="D71" i="59" s="1"/>
  <c r="D64" i="59"/>
  <c r="C63" i="59"/>
  <c r="D63" i="59" s="1"/>
  <c r="D8" i="59"/>
  <c r="C7" i="59"/>
  <c r="F19" i="6"/>
  <c r="E19" i="6" s="1"/>
  <c r="I5" i="3"/>
  <c r="BB13" i="3"/>
  <c r="H13" i="3"/>
  <c r="F21" i="6"/>
  <c r="E21" i="6" s="1"/>
  <c r="H15" i="3"/>
  <c r="G15" i="3" s="1"/>
  <c r="M5" i="3"/>
  <c r="BD15" i="3"/>
  <c r="O16" i="3"/>
  <c r="F32" i="21"/>
  <c r="H32" i="21"/>
  <c r="F101" i="21"/>
  <c r="G101" i="21" s="1"/>
  <c r="H101" i="21" s="1"/>
  <c r="I101" i="21" s="1"/>
  <c r="J101" i="21" s="1"/>
  <c r="K101" i="21" s="1"/>
  <c r="L101" i="21" s="1"/>
  <c r="M101" i="21" s="1"/>
  <c r="AC30" i="21"/>
  <c r="W30" i="21"/>
  <c r="AC28" i="21"/>
  <c r="W28" i="21"/>
  <c r="G65" i="40"/>
  <c r="F67" i="40"/>
  <c r="AB32" i="40"/>
  <c r="U32" i="40"/>
  <c r="AB29" i="40"/>
  <c r="U29" i="40"/>
  <c r="AB15" i="40"/>
  <c r="U15" i="40"/>
  <c r="AB39" i="39"/>
  <c r="U39" i="39"/>
  <c r="AB15" i="39"/>
  <c r="U15" i="39"/>
  <c r="AP6" i="1"/>
  <c r="G6" i="1"/>
  <c r="U34" i="36"/>
  <c r="AB34" i="36"/>
  <c r="AC34" i="36"/>
  <c r="W34" i="36"/>
  <c r="AB32" i="36"/>
  <c r="U32" i="36"/>
  <c r="AA14" i="37"/>
  <c r="S14" i="37"/>
  <c r="AA12" i="37"/>
  <c r="S12" i="37"/>
  <c r="AA46" i="33"/>
  <c r="S46" i="33"/>
  <c r="AA44" i="33"/>
  <c r="S44" i="33"/>
  <c r="AB30" i="33"/>
  <c r="U30" i="33"/>
  <c r="AC30" i="33"/>
  <c r="W30" i="33"/>
  <c r="AC28" i="33"/>
  <c r="W28" i="33"/>
  <c r="D68" i="59"/>
  <c r="C67" i="59"/>
  <c r="D67" i="59" s="1"/>
  <c r="D60" i="59"/>
  <c r="C59" i="59"/>
  <c r="D59" i="59" s="1"/>
  <c r="C49" i="59"/>
  <c r="D48" i="59"/>
  <c r="C45" i="59"/>
  <c r="D44" i="59"/>
  <c r="C41" i="59"/>
  <c r="D40" i="59"/>
  <c r="C37" i="59"/>
  <c r="D36" i="59"/>
  <c r="C24" i="59"/>
  <c r="D23" i="59"/>
  <c r="C16" i="59"/>
  <c r="D15" i="59"/>
  <c r="AA34" i="40"/>
  <c r="S34" i="40"/>
  <c r="AA29" i="40"/>
  <c r="S29" i="40"/>
  <c r="AA15" i="40"/>
  <c r="S15" i="40"/>
  <c r="AB41" i="39"/>
  <c r="U41" i="39"/>
  <c r="AA39" i="39"/>
  <c r="S39" i="39"/>
  <c r="AA37" i="39"/>
  <c r="S37" i="39"/>
  <c r="AA32" i="40"/>
  <c r="S32" i="40"/>
  <c r="AA15" i="39"/>
  <c r="S15" i="39"/>
  <c r="AA37" i="21"/>
  <c r="S37" i="21"/>
  <c r="AA43" i="39"/>
  <c r="S43" i="39"/>
  <c r="AA34" i="39"/>
  <c r="S34" i="39"/>
  <c r="K15" i="1"/>
  <c r="D18" i="9"/>
  <c r="M44" i="9" s="1"/>
  <c r="AB29" i="39"/>
  <c r="U29" i="39"/>
  <c r="AA27" i="39"/>
  <c r="S27" i="39"/>
  <c r="AB27" i="39"/>
  <c r="U27" i="39"/>
  <c r="AC27" i="39"/>
  <c r="W27" i="39"/>
  <c r="AB25" i="39"/>
  <c r="U25" i="39"/>
  <c r="AC23" i="39"/>
  <c r="W23" i="39"/>
  <c r="AB23" i="39"/>
  <c r="U23" i="39"/>
  <c r="AA23" i="39"/>
  <c r="S23" i="39"/>
  <c r="AB21" i="39"/>
  <c r="U21" i="39"/>
  <c r="AC19" i="39"/>
  <c r="W19" i="39"/>
  <c r="AB19" i="39"/>
  <c r="U19" i="39"/>
  <c r="AA19" i="39"/>
  <c r="S19" i="39"/>
  <c r="AB17" i="39"/>
  <c r="U17" i="39"/>
  <c r="AA23" i="21"/>
  <c r="S23" i="21"/>
  <c r="AB23" i="21"/>
  <c r="U23" i="21"/>
  <c r="AC23" i="21"/>
  <c r="W23" i="21"/>
  <c r="AC19" i="21"/>
  <c r="W19" i="21"/>
  <c r="S13" i="39"/>
  <c r="AB11" i="21"/>
  <c r="U11" i="21"/>
  <c r="AA11" i="21"/>
  <c r="S11" i="21"/>
  <c r="AC11" i="21"/>
  <c r="W11" i="21"/>
  <c r="AB13" i="39"/>
  <c r="U13" i="39"/>
  <c r="AC13" i="39"/>
  <c r="W13" i="39"/>
  <c r="F17" i="11"/>
  <c r="C17" i="11" s="1"/>
  <c r="Q54" i="44"/>
  <c r="F1" i="44"/>
  <c r="Q63" i="44"/>
  <c r="Q76" i="44"/>
  <c r="P17" i="46"/>
  <c r="N17" i="46"/>
  <c r="O17" i="46"/>
  <c r="M17" i="46"/>
  <c r="Q75" i="44"/>
  <c r="Q62" i="44"/>
  <c r="F13" i="44"/>
  <c r="C12" i="44" s="1"/>
  <c r="M13" i="44"/>
  <c r="J12" i="44" s="1"/>
  <c r="F11" i="71"/>
  <c r="M11" i="71"/>
  <c r="J10" i="71" s="1"/>
  <c r="F11" i="70"/>
  <c r="M11" i="15"/>
  <c r="J10" i="15" s="1"/>
  <c r="M11" i="70"/>
  <c r="J10" i="70" s="1"/>
  <c r="F11" i="15"/>
  <c r="L48" i="71"/>
  <c r="F38" i="71"/>
  <c r="M8" i="71"/>
  <c r="J15" i="71"/>
  <c r="M24" i="15"/>
  <c r="F6" i="15"/>
  <c r="L48" i="15"/>
  <c r="M26" i="70"/>
  <c r="F26" i="70"/>
  <c r="M6" i="70"/>
  <c r="F37" i="71"/>
  <c r="F26" i="71"/>
  <c r="M9" i="71"/>
  <c r="M22" i="15"/>
  <c r="M27" i="15"/>
  <c r="F8" i="70"/>
  <c r="F40" i="70"/>
  <c r="F36" i="71"/>
  <c r="F42" i="71"/>
  <c r="F40" i="71"/>
  <c r="M26" i="71"/>
  <c r="M8" i="15"/>
  <c r="F37" i="15"/>
  <c r="F8" i="15"/>
  <c r="M28" i="70"/>
  <c r="F13" i="70"/>
  <c r="M24" i="70"/>
  <c r="F9" i="71"/>
  <c r="M24" i="71"/>
  <c r="L47" i="71"/>
  <c r="F16" i="15"/>
  <c r="M6" i="15"/>
  <c r="C18" i="44"/>
  <c r="F9" i="70"/>
  <c r="M8" i="70"/>
  <c r="J15" i="70"/>
  <c r="F36" i="70"/>
  <c r="F16" i="71"/>
  <c r="F38" i="15"/>
  <c r="F38" i="70"/>
  <c r="M23" i="71"/>
  <c r="J36" i="71"/>
  <c r="J36" i="15"/>
  <c r="F13" i="15"/>
  <c r="M22" i="70"/>
  <c r="F6" i="71"/>
  <c r="J15" i="15"/>
  <c r="F9" i="15"/>
  <c r="L47" i="70"/>
  <c r="M27" i="70"/>
  <c r="F13" i="71"/>
  <c r="M6" i="71"/>
  <c r="M28" i="71"/>
  <c r="F26" i="15"/>
  <c r="M28" i="15"/>
  <c r="F42" i="15"/>
  <c r="M9" i="15"/>
  <c r="L48" i="70"/>
  <c r="F37" i="70"/>
  <c r="M23" i="70"/>
  <c r="M22" i="71"/>
  <c r="L47" i="15"/>
  <c r="M23" i="15"/>
  <c r="F16" i="70"/>
  <c r="M27" i="71"/>
  <c r="F40" i="15"/>
  <c r="M26" i="15"/>
  <c r="M9" i="70"/>
  <c r="F42" i="70"/>
  <c r="F8" i="71"/>
  <c r="F36" i="15"/>
  <c r="J36" i="70"/>
  <c r="F6" i="70"/>
  <c r="F24" i="15" l="1"/>
  <c r="C24" i="15" s="1"/>
  <c r="F21" i="43"/>
  <c r="C23" i="43" s="1"/>
  <c r="D21" i="43" s="1"/>
  <c r="F24" i="71"/>
  <c r="C24" i="71" s="1"/>
  <c r="F26" i="12"/>
  <c r="C27" i="12" s="1"/>
  <c r="D26" i="12" s="1"/>
  <c r="C32" i="12" s="1"/>
  <c r="D30" i="12" s="1"/>
  <c r="F24" i="70"/>
  <c r="C24" i="70" s="1"/>
  <c r="J7" i="44"/>
  <c r="J28" i="44" s="1"/>
  <c r="J31" i="44" s="1"/>
  <c r="C7" i="44"/>
  <c r="C40" i="44" s="1"/>
  <c r="F65" i="70"/>
  <c r="F63" i="70"/>
  <c r="F67" i="70"/>
  <c r="L58" i="70"/>
  <c r="L59" i="70"/>
  <c r="Q72" i="70"/>
  <c r="F50" i="70"/>
  <c r="F65" i="15"/>
  <c r="F63" i="15"/>
  <c r="L59" i="15"/>
  <c r="L58" i="15"/>
  <c r="L59" i="71"/>
  <c r="L58" i="71"/>
  <c r="F50" i="71"/>
  <c r="C27" i="71"/>
  <c r="F64" i="71"/>
  <c r="F64" i="70"/>
  <c r="C27" i="70"/>
  <c r="L57" i="70"/>
  <c r="L56" i="70"/>
  <c r="I54" i="70"/>
  <c r="L60" i="70"/>
  <c r="J57" i="70"/>
  <c r="J55" i="70" s="1"/>
  <c r="J58" i="70" s="1"/>
  <c r="Q51" i="70" s="1"/>
  <c r="J53" i="70"/>
  <c r="I54" i="15"/>
  <c r="L57" i="15"/>
  <c r="J53" i="15"/>
  <c r="J57" i="15"/>
  <c r="J55" i="15" s="1"/>
  <c r="J58" i="15" s="1"/>
  <c r="Q51" i="15" s="1"/>
  <c r="L60" i="15"/>
  <c r="L56" i="15"/>
  <c r="F50" i="15"/>
  <c r="F64" i="15"/>
  <c r="Q72" i="15"/>
  <c r="C27" i="15"/>
  <c r="F67" i="15"/>
  <c r="Q72" i="71"/>
  <c r="F67" i="71"/>
  <c r="F65" i="71"/>
  <c r="L57" i="71"/>
  <c r="L60" i="71"/>
  <c r="L56" i="71"/>
  <c r="I54" i="71"/>
  <c r="J57" i="71"/>
  <c r="J55" i="71" s="1"/>
  <c r="J58" i="71" s="1"/>
  <c r="Q51" i="71" s="1"/>
  <c r="J53" i="71"/>
  <c r="F63" i="71"/>
  <c r="C17" i="59"/>
  <c r="D16" i="59"/>
  <c r="C25" i="59"/>
  <c r="D24" i="59"/>
  <c r="T37" i="59"/>
  <c r="D37" i="59"/>
  <c r="T41" i="59"/>
  <c r="D41" i="59"/>
  <c r="T45" i="59"/>
  <c r="D45" i="59"/>
  <c r="T49" i="59"/>
  <c r="D49" i="59"/>
  <c r="G67" i="40"/>
  <c r="H65" i="40"/>
  <c r="AB32" i="21"/>
  <c r="U32" i="21"/>
  <c r="G22" i="6"/>
  <c r="G27" i="6" s="1"/>
  <c r="G31" i="6" s="1"/>
  <c r="H16" i="3"/>
  <c r="G16" i="3" s="1"/>
  <c r="O5" i="3"/>
  <c r="BE16" i="3"/>
  <c r="Q16" i="3"/>
  <c r="H16" i="69"/>
  <c r="E9" i="12"/>
  <c r="K8" i="1"/>
  <c r="BA13" i="3"/>
  <c r="BB5" i="3"/>
  <c r="D3" i="21"/>
  <c r="C9" i="12"/>
  <c r="E32" i="6"/>
  <c r="L19" i="6" s="1"/>
  <c r="L27" i="6" s="1"/>
  <c r="K6" i="1"/>
  <c r="I46" i="37"/>
  <c r="J46" i="37" s="1"/>
  <c r="D72" i="39"/>
  <c r="E70" i="39"/>
  <c r="J7" i="33"/>
  <c r="F7" i="36"/>
  <c r="G122" i="39"/>
  <c r="H122" i="39" s="1"/>
  <c r="I122" i="39" s="1"/>
  <c r="J122" i="39" s="1"/>
  <c r="K122" i="39" s="1"/>
  <c r="L122" i="39" s="1"/>
  <c r="M122" i="39" s="1"/>
  <c r="F41" i="39"/>
  <c r="AC15" i="21"/>
  <c r="W15" i="21"/>
  <c r="O51" i="59"/>
  <c r="D51" i="59"/>
  <c r="O50" i="59"/>
  <c r="F20" i="6"/>
  <c r="E20" i="6" s="1"/>
  <c r="BC14" i="3"/>
  <c r="H14" i="3"/>
  <c r="G14" i="3" s="1"/>
  <c r="K5" i="3"/>
  <c r="O10" i="1"/>
  <c r="P10" i="1" s="1"/>
  <c r="F7" i="21"/>
  <c r="J7" i="21"/>
  <c r="F7" i="33"/>
  <c r="AA7" i="34"/>
  <c r="R49" i="34" s="1"/>
  <c r="S7" i="34"/>
  <c r="H7" i="35"/>
  <c r="J7" i="35"/>
  <c r="AA32" i="21"/>
  <c r="S32" i="21"/>
  <c r="BD5" i="3"/>
  <c r="BA15" i="3"/>
  <c r="AZ15" i="3" s="1"/>
  <c r="G13" i="3"/>
  <c r="H5" i="3"/>
  <c r="D7" i="59"/>
  <c r="C6" i="59"/>
  <c r="G47" i="37"/>
  <c r="H47" i="37" s="1"/>
  <c r="G46" i="37"/>
  <c r="H46" i="37" s="1"/>
  <c r="U7" i="36"/>
  <c r="AB7" i="36"/>
  <c r="T36" i="36" s="1"/>
  <c r="G36" i="36" s="1"/>
  <c r="AC7" i="36"/>
  <c r="V36" i="36" s="1"/>
  <c r="I36" i="36" s="1"/>
  <c r="W7" i="36"/>
  <c r="AC41" i="39"/>
  <c r="W41" i="39"/>
  <c r="C21" i="59"/>
  <c r="D20" i="59"/>
  <c r="BQ5" i="3"/>
  <c r="F28" i="6" s="1"/>
  <c r="BL13" i="3"/>
  <c r="BL5" i="3" s="1"/>
  <c r="H17" i="69"/>
  <c r="H18" i="69" s="1"/>
  <c r="E42" i="37"/>
  <c r="R43" i="37"/>
  <c r="D5" i="46"/>
  <c r="C5" i="46"/>
  <c r="H7" i="21"/>
  <c r="U7" i="34"/>
  <c r="AB7" i="34"/>
  <c r="T49" i="34" s="1"/>
  <c r="G49" i="34" s="1"/>
  <c r="AC7" i="34"/>
  <c r="V49" i="34" s="1"/>
  <c r="I49" i="34" s="1"/>
  <c r="W7" i="34"/>
  <c r="F7" i="35"/>
  <c r="H7" i="33"/>
  <c r="C34" i="44"/>
  <c r="C52" i="70"/>
  <c r="C10" i="71"/>
  <c r="C52" i="71"/>
  <c r="C52" i="15"/>
  <c r="C10" i="15"/>
  <c r="F43" i="70"/>
  <c r="F7" i="70"/>
  <c r="M29" i="70"/>
  <c r="L52" i="44"/>
  <c r="J26" i="44" l="1"/>
  <c r="J20" i="44"/>
  <c r="F70" i="70"/>
  <c r="F49" i="70"/>
  <c r="C48" i="70" s="1"/>
  <c r="C47" i="70" s="1"/>
  <c r="M7" i="70"/>
  <c r="J6" i="70" s="1"/>
  <c r="J5" i="70" s="1"/>
  <c r="C6" i="70"/>
  <c r="AB7" i="33"/>
  <c r="T48" i="33" s="1"/>
  <c r="G48" i="33" s="1"/>
  <c r="U7" i="33"/>
  <c r="G53" i="34"/>
  <c r="H53" i="34" s="1"/>
  <c r="G54" i="34"/>
  <c r="H54" i="34" s="1"/>
  <c r="AB7" i="21"/>
  <c r="U7" i="21"/>
  <c r="E47" i="37"/>
  <c r="F47" i="37" s="1"/>
  <c r="E46" i="37"/>
  <c r="F46" i="37" s="1"/>
  <c r="G41" i="36"/>
  <c r="H41" i="36" s="1"/>
  <c r="G40" i="36"/>
  <c r="H40" i="36" s="1"/>
  <c r="G5" i="3"/>
  <c r="B3" i="3" s="1"/>
  <c r="AC7" i="35"/>
  <c r="V38" i="35" s="1"/>
  <c r="I38" i="35" s="1"/>
  <c r="W7" i="35"/>
  <c r="S7" i="33"/>
  <c r="AA7" i="33"/>
  <c r="R48" i="33" s="1"/>
  <c r="S7" i="21"/>
  <c r="AA7" i="21"/>
  <c r="D9" i="12"/>
  <c r="K7" i="1"/>
  <c r="W7" i="33"/>
  <c r="AC7" i="33"/>
  <c r="V48" i="33" s="1"/>
  <c r="I48" i="33" s="1"/>
  <c r="I47" i="37"/>
  <c r="J47" i="37" s="1"/>
  <c r="E5" i="6"/>
  <c r="M8" i="1"/>
  <c r="BE5" i="3"/>
  <c r="E16" i="3"/>
  <c r="I65" i="40"/>
  <c r="H67" i="40"/>
  <c r="Q53" i="70"/>
  <c r="F1" i="70"/>
  <c r="Q58" i="70"/>
  <c r="Q67" i="70"/>
  <c r="Q62" i="71"/>
  <c r="Q75" i="71"/>
  <c r="Q62" i="15"/>
  <c r="Q75" i="15"/>
  <c r="Q62" i="70"/>
  <c r="Q75" i="70"/>
  <c r="AA7" i="35"/>
  <c r="R38" i="35" s="1"/>
  <c r="S7" i="35"/>
  <c r="I54" i="34"/>
  <c r="J54" i="34" s="1"/>
  <c r="I53" i="34"/>
  <c r="J53" i="34" s="1"/>
  <c r="C43" i="37"/>
  <c r="B3" i="37" s="1"/>
  <c r="B2" i="37" s="1"/>
  <c r="C42" i="37"/>
  <c r="E28" i="6"/>
  <c r="F30" i="6"/>
  <c r="T21" i="59"/>
  <c r="D21" i="59"/>
  <c r="I40" i="36"/>
  <c r="J40" i="36" s="1"/>
  <c r="D6" i="59"/>
  <c r="C5" i="59"/>
  <c r="U7" i="35"/>
  <c r="AB7" i="35"/>
  <c r="T38" i="35" s="1"/>
  <c r="G38" i="35" s="1"/>
  <c r="R50" i="34"/>
  <c r="E49" i="34"/>
  <c r="W7" i="21"/>
  <c r="AC7" i="21"/>
  <c r="K6" i="3"/>
  <c r="BC5" i="3"/>
  <c r="E13" i="6" s="1"/>
  <c r="BA14" i="3"/>
  <c r="AZ14" i="3" s="1"/>
  <c r="AA41" i="39"/>
  <c r="S41" i="39"/>
  <c r="AA7" i="36"/>
  <c r="R36" i="36" s="1"/>
  <c r="S7" i="36"/>
  <c r="F70" i="39"/>
  <c r="E72" i="39"/>
  <c r="M6" i="1"/>
  <c r="AZ13" i="3"/>
  <c r="BF16" i="3"/>
  <c r="BF5" i="3" s="1"/>
  <c r="F22" i="6"/>
  <c r="E22" i="6" s="1"/>
  <c r="Q5" i="3"/>
  <c r="O6" i="3"/>
  <c r="T25" i="59"/>
  <c r="D25" i="59"/>
  <c r="T17" i="59"/>
  <c r="D17" i="59"/>
  <c r="F1" i="71"/>
  <c r="Q53" i="71"/>
  <c r="Q58" i="71"/>
  <c r="Q67" i="71"/>
  <c r="Q58" i="15"/>
  <c r="Q67" i="15"/>
  <c r="F1" i="15"/>
  <c r="Q53" i="15"/>
  <c r="Q61" i="71"/>
  <c r="Q74" i="71"/>
  <c r="Q61" i="15"/>
  <c r="Q74" i="15"/>
  <c r="Q61" i="70"/>
  <c r="Q74" i="70"/>
  <c r="Q69" i="44"/>
  <c r="L58" i="44"/>
  <c r="L61" i="44" s="1"/>
  <c r="Q67" i="44"/>
  <c r="Q58" i="44"/>
  <c r="Q49" i="44"/>
  <c r="Q55" i="44" s="1"/>
  <c r="F7" i="15"/>
  <c r="F43" i="15"/>
  <c r="AE8" i="1"/>
  <c r="AE9" i="1"/>
  <c r="C16" i="70"/>
  <c r="AE7" i="1"/>
  <c r="M29" i="15"/>
  <c r="C10" i="70" l="1"/>
  <c r="C5" i="70" s="1"/>
  <c r="M7" i="15"/>
  <c r="J6" i="15" s="1"/>
  <c r="J5" i="15" s="1"/>
  <c r="F49" i="15"/>
  <c r="C48" i="15" s="1"/>
  <c r="C47" i="15" s="1"/>
  <c r="C6" i="15"/>
  <c r="C5" i="15" s="1"/>
  <c r="F70" i="15"/>
  <c r="C60" i="70"/>
  <c r="C65" i="70"/>
  <c r="C59" i="70"/>
  <c r="E60" i="40"/>
  <c r="E65" i="39"/>
  <c r="F9" i="12"/>
  <c r="K9" i="1"/>
  <c r="C50" i="34"/>
  <c r="B3" i="34" s="1"/>
  <c r="B2" i="34" s="1"/>
  <c r="C49" i="34"/>
  <c r="K14" i="1"/>
  <c r="M14" i="1" s="1"/>
  <c r="E30" i="6"/>
  <c r="E38" i="35"/>
  <c r="R39" i="35"/>
  <c r="I67" i="40"/>
  <c r="J65" i="40"/>
  <c r="BA16" i="3"/>
  <c r="AZ16" i="3" s="1"/>
  <c r="AZ5" i="3" s="1"/>
  <c r="O8" i="1"/>
  <c r="P8" i="1" s="1"/>
  <c r="E10" i="6"/>
  <c r="E14" i="6"/>
  <c r="E11" i="6"/>
  <c r="E15" i="6"/>
  <c r="I52" i="33"/>
  <c r="J52" i="33" s="1"/>
  <c r="M7" i="1"/>
  <c r="E48" i="33"/>
  <c r="R49" i="33"/>
  <c r="C33" i="21"/>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AR6" i="3"/>
  <c r="AN6" i="3"/>
  <c r="AJ6" i="3"/>
  <c r="AF6" i="3"/>
  <c r="AB6" i="3"/>
  <c r="X6" i="3"/>
  <c r="T6" i="3"/>
  <c r="P6" i="3"/>
  <c r="L6" i="3"/>
  <c r="AP6" i="3"/>
  <c r="AH6" i="3"/>
  <c r="AD6" i="3"/>
  <c r="Z6" i="3"/>
  <c r="V6" i="3"/>
  <c r="R6" i="3"/>
  <c r="N6" i="3"/>
  <c r="J6" i="3"/>
  <c r="E17" i="3"/>
  <c r="E25" i="3"/>
  <c r="E23" i="3"/>
  <c r="E29" i="3"/>
  <c r="AM6" i="3"/>
  <c r="AQ6" i="3"/>
  <c r="E20" i="3"/>
  <c r="E24" i="3"/>
  <c r="E28" i="3"/>
  <c r="E35" i="3"/>
  <c r="E43" i="3"/>
  <c r="E51" i="3"/>
  <c r="E59" i="3"/>
  <c r="E67" i="3"/>
  <c r="E75" i="3"/>
  <c r="E83" i="3"/>
  <c r="E91" i="3"/>
  <c r="E99" i="3"/>
  <c r="E107" i="3"/>
  <c r="E115" i="3"/>
  <c r="E123" i="3"/>
  <c r="E131" i="3"/>
  <c r="E139" i="3"/>
  <c r="S6" i="3"/>
  <c r="W6" i="3"/>
  <c r="AA6" i="3"/>
  <c r="AG6" i="3"/>
  <c r="AK6" i="3"/>
  <c r="E37" i="3"/>
  <c r="E45" i="3"/>
  <c r="E53" i="3"/>
  <c r="E61" i="3"/>
  <c r="E69" i="3"/>
  <c r="E77" i="3"/>
  <c r="E85" i="3"/>
  <c r="E93" i="3"/>
  <c r="E101" i="3"/>
  <c r="E109" i="3"/>
  <c r="E117" i="3"/>
  <c r="E125" i="3"/>
  <c r="E133" i="3"/>
  <c r="E141" i="3"/>
  <c r="E147" i="3"/>
  <c r="E151" i="3"/>
  <c r="E155" i="3"/>
  <c r="E159"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21" i="3"/>
  <c r="E19" i="3"/>
  <c r="E27" i="3"/>
  <c r="AO6" i="3"/>
  <c r="AS6" i="3"/>
  <c r="E18" i="3"/>
  <c r="E22" i="3"/>
  <c r="E26" i="3"/>
  <c r="E31" i="3"/>
  <c r="E39" i="3"/>
  <c r="E47" i="3"/>
  <c r="E55" i="3"/>
  <c r="E63" i="3"/>
  <c r="E71" i="3"/>
  <c r="E79" i="3"/>
  <c r="E87" i="3"/>
  <c r="E95" i="3"/>
  <c r="E103" i="3"/>
  <c r="E111" i="3"/>
  <c r="E119" i="3"/>
  <c r="E127" i="3"/>
  <c r="E135" i="3"/>
  <c r="E143" i="3"/>
  <c r="U6" i="3"/>
  <c r="Y6" i="3"/>
  <c r="AE6" i="3"/>
  <c r="AI6" i="3"/>
  <c r="E33" i="3"/>
  <c r="E41" i="3"/>
  <c r="E49" i="3"/>
  <c r="E57" i="3"/>
  <c r="E65" i="3"/>
  <c r="E73" i="3"/>
  <c r="E81" i="3"/>
  <c r="E89" i="3"/>
  <c r="E97" i="3"/>
  <c r="E105" i="3"/>
  <c r="E113" i="3"/>
  <c r="E121" i="3"/>
  <c r="E129" i="3"/>
  <c r="E137" i="3"/>
  <c r="E145" i="3"/>
  <c r="E149" i="3"/>
  <c r="E153" i="3"/>
  <c r="E157"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M6" i="3"/>
  <c r="AL6" i="3"/>
  <c r="E15" i="3"/>
  <c r="I6" i="3"/>
  <c r="G53" i="33"/>
  <c r="H53" i="33" s="1"/>
  <c r="G52" i="33"/>
  <c r="H52" i="33" s="1"/>
  <c r="J26" i="70"/>
  <c r="J18" i="70"/>
  <c r="J24" i="70"/>
  <c r="Q6" i="3"/>
  <c r="I4" i="6"/>
  <c r="G3" i="46" s="1"/>
  <c r="BA5" i="3"/>
  <c r="E27" i="6" s="1"/>
  <c r="E31" i="6" s="1"/>
  <c r="C15" i="43"/>
  <c r="O6" i="1"/>
  <c r="P6" i="1"/>
  <c r="F72" i="39"/>
  <c r="G70" i="39"/>
  <c r="E36" i="36"/>
  <c r="R37" i="36"/>
  <c r="E54" i="34"/>
  <c r="F54" i="34" s="1"/>
  <c r="E53" i="34"/>
  <c r="F53" i="34" s="1"/>
  <c r="G43" i="35"/>
  <c r="H43" i="35" s="1"/>
  <c r="G42" i="35"/>
  <c r="H42" i="35" s="1"/>
  <c r="D5" i="59"/>
  <c r="M20" i="46"/>
  <c r="C19" i="46" s="1"/>
  <c r="D12" i="11"/>
  <c r="C12" i="11" s="1"/>
  <c r="D21" i="12"/>
  <c r="C21" i="12" s="1"/>
  <c r="E12" i="6"/>
  <c r="E8" i="6"/>
  <c r="E14" i="3"/>
  <c r="I43" i="35"/>
  <c r="J43" i="35" s="1"/>
  <c r="I42" i="35"/>
  <c r="J42" i="35" s="1"/>
  <c r="E13" i="3"/>
  <c r="Q59" i="44"/>
  <c r="Q64" i="44" s="1"/>
  <c r="Q68" i="44"/>
  <c r="Q77" i="44" s="1"/>
  <c r="F41" i="71"/>
  <c r="F41" i="15"/>
  <c r="F7" i="71"/>
  <c r="C16" i="15"/>
  <c r="F41" i="70"/>
  <c r="F43" i="71"/>
  <c r="M29" i="71"/>
  <c r="F68" i="15" l="1"/>
  <c r="F68" i="70"/>
  <c r="F68" i="71"/>
  <c r="J29" i="70"/>
  <c r="C33" i="70"/>
  <c r="C32" i="70"/>
  <c r="C38" i="70"/>
  <c r="F49" i="71"/>
  <c r="C48" i="71" s="1"/>
  <c r="C47" i="71" s="1"/>
  <c r="M7" i="71"/>
  <c r="J6" i="71" s="1"/>
  <c r="J5" i="71" s="1"/>
  <c r="C6" i="71"/>
  <c r="C5" i="71" s="1"/>
  <c r="F70" i="71"/>
  <c r="E3" i="6"/>
  <c r="AY6" i="3"/>
  <c r="E53" i="40"/>
  <c r="E16" i="6"/>
  <c r="E58" i="39"/>
  <c r="F27" i="6"/>
  <c r="F31" i="6" s="1"/>
  <c r="C37" i="36"/>
  <c r="B3" i="36" s="1"/>
  <c r="B2" i="36" s="1"/>
  <c r="C36" i="36"/>
  <c r="H70" i="39"/>
  <c r="G72" i="39"/>
  <c r="C15" i="12"/>
  <c r="N104" i="45"/>
  <c r="N101" i="46"/>
  <c r="L101" i="46"/>
  <c r="J101" i="46"/>
  <c r="H101" i="46"/>
  <c r="F101" i="46"/>
  <c r="D101" i="46"/>
  <c r="C23" i="46"/>
  <c r="C21" i="46" s="1"/>
  <c r="G22" i="46"/>
  <c r="E22" i="46"/>
  <c r="AJ11" i="46"/>
  <c r="AJ13" i="46" s="1"/>
  <c r="AH11" i="46"/>
  <c r="AH13" i="46" s="1"/>
  <c r="AF11" i="46"/>
  <c r="AF13" i="46" s="1"/>
  <c r="AD11" i="46"/>
  <c r="AD13" i="46" s="1"/>
  <c r="AB11" i="46"/>
  <c r="AB13" i="46" s="1"/>
  <c r="Z11" i="46"/>
  <c r="Z13" i="46" s="1"/>
  <c r="Z7" i="46"/>
  <c r="S6" i="46"/>
  <c r="S5" i="46"/>
  <c r="S4" i="46"/>
  <c r="S2" i="46"/>
  <c r="B113" i="46"/>
  <c r="K101" i="46"/>
  <c r="G101" i="46"/>
  <c r="C101" i="46"/>
  <c r="F22" i="46"/>
  <c r="AI11" i="46"/>
  <c r="AI13" i="46" s="1"/>
  <c r="AE11" i="46"/>
  <c r="AE13" i="46" s="1"/>
  <c r="AA11" i="46"/>
  <c r="AA13" i="46" s="1"/>
  <c r="S3" i="46"/>
  <c r="M101" i="46"/>
  <c r="I101" i="46"/>
  <c r="E101" i="46"/>
  <c r="H22" i="46"/>
  <c r="AG11" i="46"/>
  <c r="AG13" i="46" s="1"/>
  <c r="AC11" i="46"/>
  <c r="AC13" i="46" s="1"/>
  <c r="Y11" i="46"/>
  <c r="Y13" i="46" s="1"/>
  <c r="S7" i="46"/>
  <c r="H6" i="3"/>
  <c r="AC6" i="3"/>
  <c r="C49" i="33"/>
  <c r="B3" i="33" s="1"/>
  <c r="B2" i="33" s="1"/>
  <c r="C48" i="33"/>
  <c r="E62" i="40"/>
  <c r="E67" i="39"/>
  <c r="E61" i="40"/>
  <c r="E66" i="39"/>
  <c r="E43" i="35"/>
  <c r="F43" i="35" s="1"/>
  <c r="E42" i="35"/>
  <c r="F42" i="35" s="1"/>
  <c r="K22" i="6"/>
  <c r="K24" i="6"/>
  <c r="M24" i="6" s="1"/>
  <c r="I24" i="6" s="1"/>
  <c r="S24" i="6" s="1"/>
  <c r="K26" i="6"/>
  <c r="M26" i="6" s="1"/>
  <c r="I26" i="6" s="1"/>
  <c r="S26" i="6" s="1"/>
  <c r="K20" i="6"/>
  <c r="O14" i="1"/>
  <c r="P14" i="1"/>
  <c r="C65" i="15"/>
  <c r="C59" i="15"/>
  <c r="C60" i="15"/>
  <c r="E59" i="40"/>
  <c r="E64" i="39"/>
  <c r="C34" i="46"/>
  <c r="C37" i="46"/>
  <c r="C33" i="46"/>
  <c r="T7" i="46"/>
  <c r="V7" i="46" s="1"/>
  <c r="T4" i="46"/>
  <c r="V4" i="46" s="1"/>
  <c r="T10" i="46"/>
  <c r="V10" i="46" s="1"/>
  <c r="T8" i="46"/>
  <c r="V8" i="46" s="1"/>
  <c r="T13" i="46"/>
  <c r="V13" i="46" s="1"/>
  <c r="T6" i="46"/>
  <c r="V6" i="46" s="1"/>
  <c r="C29" i="46"/>
  <c r="T5" i="46"/>
  <c r="V5" i="46" s="1"/>
  <c r="C36" i="46"/>
  <c r="C38" i="46"/>
  <c r="C35" i="46"/>
  <c r="C39" i="46"/>
  <c r="T11" i="46"/>
  <c r="V11" i="46" s="1"/>
  <c r="T16" i="46"/>
  <c r="V16" i="46" s="1"/>
  <c r="T2" i="46"/>
  <c r="V2" i="46" s="1"/>
  <c r="T14" i="46"/>
  <c r="V14" i="46" s="1"/>
  <c r="T15" i="46"/>
  <c r="V15" i="46" s="1"/>
  <c r="T9" i="46"/>
  <c r="V9" i="46" s="1"/>
  <c r="T3" i="46"/>
  <c r="V3" i="46" s="1"/>
  <c r="T12" i="46"/>
  <c r="V12" i="46" s="1"/>
  <c r="E41" i="36"/>
  <c r="F41" i="36" s="1"/>
  <c r="E40" i="36"/>
  <c r="F40" i="36" s="1"/>
  <c r="I41" i="36"/>
  <c r="J41" i="36" s="1"/>
  <c r="J33" i="21"/>
  <c r="F33" i="21"/>
  <c r="H33" i="21"/>
  <c r="E53" i="33"/>
  <c r="F53" i="33" s="1"/>
  <c r="E52" i="33"/>
  <c r="F52" i="33" s="1"/>
  <c r="O7" i="1"/>
  <c r="I53" i="33"/>
  <c r="J53" i="33" s="1"/>
  <c r="E58" i="40"/>
  <c r="E63" i="39"/>
  <c r="K65" i="40"/>
  <c r="J67" i="40"/>
  <c r="C39" i="35"/>
  <c r="B3" i="35" s="1"/>
  <c r="B2" i="35" s="1"/>
  <c r="C38" i="35"/>
  <c r="K21" i="6"/>
  <c r="K23" i="6"/>
  <c r="M23" i="6" s="1"/>
  <c r="I23" i="6" s="1"/>
  <c r="S23" i="6" s="1"/>
  <c r="K25" i="6"/>
  <c r="M25" i="6" s="1"/>
  <c r="I25" i="6" s="1"/>
  <c r="S25" i="6" s="1"/>
  <c r="K19" i="6"/>
  <c r="M9" i="1"/>
  <c r="H16" i="1"/>
  <c r="Q16" i="1"/>
  <c r="K16" i="1"/>
  <c r="AP16" i="1"/>
  <c r="F22" i="11" s="1"/>
  <c r="G16" i="1"/>
  <c r="C32" i="15"/>
  <c r="C33" i="15"/>
  <c r="C38" i="15"/>
  <c r="J18" i="15"/>
  <c r="J24" i="15"/>
  <c r="J26" i="15"/>
  <c r="J29" i="15" s="1"/>
  <c r="C16" i="71"/>
  <c r="S8" i="1" l="1"/>
  <c r="M21" i="6"/>
  <c r="I21" i="6" s="1"/>
  <c r="S21" i="6" s="1"/>
  <c r="K67" i="40"/>
  <c r="L65" i="40"/>
  <c r="P7" i="1"/>
  <c r="AB33" i="21"/>
  <c r="T48" i="21" s="1"/>
  <c r="G48" i="21" s="1"/>
  <c r="U33" i="21"/>
  <c r="AC33" i="21"/>
  <c r="V48" i="21" s="1"/>
  <c r="I48" i="21" s="1"/>
  <c r="W33" i="21"/>
  <c r="E35" i="46"/>
  <c r="G35" i="46"/>
  <c r="I35" i="46" s="1"/>
  <c r="E36" i="46"/>
  <c r="G36" i="46"/>
  <c r="I36" i="46" s="1"/>
  <c r="E29" i="46"/>
  <c r="C30" i="46"/>
  <c r="E30" i="46" s="1"/>
  <c r="E37" i="46"/>
  <c r="G37" i="46"/>
  <c r="I37" i="46" s="1"/>
  <c r="M20" i="6"/>
  <c r="I20" i="6" s="1"/>
  <c r="S20" i="6" s="1"/>
  <c r="S7" i="1"/>
  <c r="E6" i="3"/>
  <c r="E107" i="46"/>
  <c r="E106" i="46"/>
  <c r="E105" i="46"/>
  <c r="E104" i="46"/>
  <c r="E103" i="46"/>
  <c r="E102" i="46"/>
  <c r="E109" i="46"/>
  <c r="M107" i="46"/>
  <c r="M106" i="46"/>
  <c r="M105" i="46"/>
  <c r="M104" i="46"/>
  <c r="M103" i="46"/>
  <c r="M102" i="46"/>
  <c r="M109" i="46"/>
  <c r="C107" i="46"/>
  <c r="C106" i="46"/>
  <c r="C105" i="46"/>
  <c r="C104" i="46"/>
  <c r="C103" i="46"/>
  <c r="C102" i="46"/>
  <c r="C109" i="46"/>
  <c r="K107" i="46"/>
  <c r="K106" i="46"/>
  <c r="K105" i="46"/>
  <c r="K104" i="46"/>
  <c r="K103" i="46"/>
  <c r="K102" i="46"/>
  <c r="K109" i="46"/>
  <c r="F107" i="46"/>
  <c r="F106" i="46"/>
  <c r="F105" i="46"/>
  <c r="F104" i="46"/>
  <c r="F103" i="46"/>
  <c r="F102" i="46"/>
  <c r="F109" i="46"/>
  <c r="J107" i="46"/>
  <c r="J106" i="46"/>
  <c r="J105" i="46"/>
  <c r="J104" i="46"/>
  <c r="J103" i="46"/>
  <c r="J102" i="46"/>
  <c r="J109" i="46"/>
  <c r="N107" i="46"/>
  <c r="N106" i="46"/>
  <c r="N105" i="46"/>
  <c r="N104" i="46"/>
  <c r="N103" i="46"/>
  <c r="N102" i="46"/>
  <c r="N109" i="46"/>
  <c r="H72" i="39"/>
  <c r="I70" i="39"/>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4" i="3"/>
  <c r="AY13" i="3"/>
  <c r="BT6" i="3"/>
  <c r="BR6" i="3"/>
  <c r="BP6" i="3"/>
  <c r="BN6" i="3"/>
  <c r="BL6" i="3"/>
  <c r="BJ6" i="3"/>
  <c r="BH6" i="3"/>
  <c r="BF6" i="3"/>
  <c r="BD6" i="3"/>
  <c r="BB6"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16" i="3"/>
  <c r="BQ6" i="3"/>
  <c r="BM6" i="3"/>
  <c r="BI6" i="3"/>
  <c r="BE6" i="3"/>
  <c r="BA6" i="3"/>
  <c r="AY28" i="3"/>
  <c r="AY26" i="3"/>
  <c r="AY24" i="3"/>
  <c r="AY22" i="3"/>
  <c r="AY20" i="3"/>
  <c r="AY18" i="3"/>
  <c r="BS6" i="3"/>
  <c r="BO6" i="3"/>
  <c r="BK6" i="3"/>
  <c r="BG6" i="3"/>
  <c r="BC6" i="3"/>
  <c r="J24" i="71"/>
  <c r="J26" i="71"/>
  <c r="J29" i="71" s="1"/>
  <c r="J18" i="71"/>
  <c r="H12" i="40"/>
  <c r="H12" i="39"/>
  <c r="F12" i="40"/>
  <c r="F12" i="39"/>
  <c r="J12" i="40"/>
  <c r="J12" i="39"/>
  <c r="F18" i="11"/>
  <c r="C18" i="11" s="1"/>
  <c r="C19" i="11" s="1"/>
  <c r="C20" i="11" s="1"/>
  <c r="C21" i="11" s="1"/>
  <c r="C22" i="11" s="1"/>
  <c r="C23" i="11" s="1"/>
  <c r="B2" i="11" s="1"/>
  <c r="F33" i="12"/>
  <c r="C34" i="12" s="1"/>
  <c r="D33" i="12" s="1"/>
  <c r="F24" i="43"/>
  <c r="C26" i="43" s="1"/>
  <c r="D24" i="43" s="1"/>
  <c r="O9" i="1"/>
  <c r="O16" i="1" s="1"/>
  <c r="M16" i="1"/>
  <c r="S6" i="1"/>
  <c r="M19" i="6"/>
  <c r="K27" i="6"/>
  <c r="AA33" i="21"/>
  <c r="R48" i="21" s="1"/>
  <c r="S33" i="21"/>
  <c r="E39" i="46"/>
  <c r="G39" i="46"/>
  <c r="I39" i="46" s="1"/>
  <c r="E38" i="46"/>
  <c r="G38" i="46"/>
  <c r="I38" i="46" s="1"/>
  <c r="E33" i="46"/>
  <c r="G33" i="46"/>
  <c r="I33" i="46" s="1"/>
  <c r="E34" i="46"/>
  <c r="G34" i="46"/>
  <c r="I34" i="46" s="1"/>
  <c r="S9" i="1"/>
  <c r="M22" i="6"/>
  <c r="I22" i="6" s="1"/>
  <c r="S22" i="6" s="1"/>
  <c r="I107" i="46"/>
  <c r="I106" i="46"/>
  <c r="I105" i="46"/>
  <c r="I104" i="46"/>
  <c r="I103" i="46"/>
  <c r="I102" i="46"/>
  <c r="I109" i="46"/>
  <c r="G107" i="46"/>
  <c r="G106" i="46"/>
  <c r="G105" i="46"/>
  <c r="G104" i="46"/>
  <c r="G103" i="46"/>
  <c r="G102" i="46"/>
  <c r="G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D22" i="46"/>
  <c r="D107" i="46"/>
  <c r="D106" i="46"/>
  <c r="D105" i="46"/>
  <c r="D104" i="46"/>
  <c r="D103" i="46"/>
  <c r="D102" i="46"/>
  <c r="D109" i="46"/>
  <c r="H107" i="46"/>
  <c r="H106" i="46"/>
  <c r="H105" i="46"/>
  <c r="H104" i="46"/>
  <c r="H103" i="46"/>
  <c r="H102" i="46"/>
  <c r="H109" i="46"/>
  <c r="L107" i="46"/>
  <c r="L106" i="46"/>
  <c r="L105" i="46"/>
  <c r="L104" i="46"/>
  <c r="L103" i="46"/>
  <c r="L102" i="46"/>
  <c r="L109" i="46"/>
  <c r="E68" i="39"/>
  <c r="D10" i="11"/>
  <c r="D16" i="43"/>
  <c r="C16" i="43" s="1"/>
  <c r="D16" i="12"/>
  <c r="C21" i="4"/>
  <c r="O5" i="54" s="1"/>
  <c r="B45" i="63" s="1"/>
  <c r="L38" i="9"/>
  <c r="B14" i="66" s="1"/>
  <c r="B1" i="66" s="1"/>
  <c r="E6" i="6"/>
  <c r="D45" i="9"/>
  <c r="D46" i="9"/>
  <c r="C38" i="71"/>
  <c r="C32" i="71"/>
  <c r="C33" i="71"/>
  <c r="C60" i="71"/>
  <c r="C65" i="71"/>
  <c r="C59" i="71"/>
  <c r="C17" i="71"/>
  <c r="C17" i="70"/>
  <c r="C17" i="15"/>
  <c r="F7" i="67"/>
  <c r="E4" i="67" l="1"/>
  <c r="C7" i="66"/>
  <c r="C8" i="66"/>
  <c r="R49" i="21"/>
  <c r="E48" i="21"/>
  <c r="I53" i="21" s="1"/>
  <c r="J53" i="21" s="1"/>
  <c r="M27" i="6"/>
  <c r="I19" i="6"/>
  <c r="L16" i="1"/>
  <c r="C13" i="43"/>
  <c r="N16" i="1"/>
  <c r="C29" i="43" s="1"/>
  <c r="AC12" i="40"/>
  <c r="W12" i="40"/>
  <c r="AA12" i="40"/>
  <c r="S12" i="40"/>
  <c r="AB12" i="40"/>
  <c r="U12" i="40"/>
  <c r="J70" i="39"/>
  <c r="I72" i="39"/>
  <c r="C27" i="46"/>
  <c r="D13" i="11"/>
  <c r="C13" i="11" s="1"/>
  <c r="D22" i="12"/>
  <c r="C22" i="12" s="1"/>
  <c r="C20" i="12" s="1"/>
  <c r="D19" i="12"/>
  <c r="C19" i="12" s="1"/>
  <c r="C16" i="12"/>
  <c r="C115" i="46"/>
  <c r="D113" i="46"/>
  <c r="J22" i="46" s="1"/>
  <c r="S16" i="1"/>
  <c r="P9" i="1"/>
  <c r="P16" i="1" s="1"/>
  <c r="C13" i="12" s="1"/>
  <c r="B5" i="11"/>
  <c r="B4" i="11"/>
  <c r="B3" i="11"/>
  <c r="AC12" i="39"/>
  <c r="W12" i="39"/>
  <c r="AA12" i="39"/>
  <c r="S12" i="39"/>
  <c r="AB12" i="39"/>
  <c r="U12" i="39"/>
  <c r="E63" i="40"/>
  <c r="K38" i="9"/>
  <c r="C14" i="66" s="1"/>
  <c r="B2" i="66" s="1"/>
  <c r="D21" i="6"/>
  <c r="H20" i="6"/>
  <c r="D29" i="6"/>
  <c r="D28" i="6"/>
  <c r="H26" i="6"/>
  <c r="D26" i="6"/>
  <c r="H25" i="6"/>
  <c r="D25" i="6"/>
  <c r="H24" i="6"/>
  <c r="D24" i="6"/>
  <c r="H23" i="6"/>
  <c r="D23" i="6"/>
  <c r="H22" i="6"/>
  <c r="D22" i="6"/>
  <c r="H21" i="6"/>
  <c r="D20" i="6"/>
  <c r="R20" i="6" s="1"/>
  <c r="R7" i="1" s="1"/>
  <c r="H19" i="6"/>
  <c r="H27" i="6" s="1"/>
  <c r="D9" i="6"/>
  <c r="D8" i="6"/>
  <c r="D6" i="6"/>
  <c r="D14" i="6"/>
  <c r="D12" i="6"/>
  <c r="D10" i="6"/>
  <c r="D19" i="6"/>
  <c r="D13" i="6"/>
  <c r="D15" i="6"/>
  <c r="D11" i="6"/>
  <c r="D5" i="6"/>
  <c r="C22" i="4"/>
  <c r="F46" i="9"/>
  <c r="E46" i="9"/>
  <c r="E45" i="9"/>
  <c r="F45" i="9"/>
  <c r="C26" i="46"/>
  <c r="I52" i="21"/>
  <c r="J52" i="21" s="1"/>
  <c r="G52" i="21"/>
  <c r="H52" i="21" s="1"/>
  <c r="G53" i="21"/>
  <c r="H53" i="21" s="1"/>
  <c r="M65" i="40"/>
  <c r="L67" i="40"/>
  <c r="F35" i="15"/>
  <c r="E7" i="67"/>
  <c r="M21" i="15"/>
  <c r="E3" i="67" l="1"/>
  <c r="C34" i="15"/>
  <c r="C31" i="15" s="1"/>
  <c r="F62" i="15"/>
  <c r="C61" i="15" s="1"/>
  <c r="C58" i="15" s="1"/>
  <c r="J20" i="15"/>
  <c r="C14" i="12"/>
  <c r="C17" i="12"/>
  <c r="M67" i="40"/>
  <c r="N65" i="40"/>
  <c r="N67" i="40" s="1"/>
  <c r="B2" i="46"/>
  <c r="D16" i="6"/>
  <c r="R21" i="6"/>
  <c r="R8" i="1" s="1"/>
  <c r="T10" i="1"/>
  <c r="T11" i="1"/>
  <c r="T12" i="1"/>
  <c r="T13" i="1"/>
  <c r="T8" i="1"/>
  <c r="C48" i="21"/>
  <c r="C49" i="21"/>
  <c r="B3" i="21" s="1"/>
  <c r="N5" i="54"/>
  <c r="B43" i="63" s="1"/>
  <c r="A6" i="64"/>
  <c r="A20" i="51"/>
  <c r="B15" i="63" s="1"/>
  <c r="A20" i="64"/>
  <c r="A6" i="51"/>
  <c r="B7" i="63" s="1"/>
  <c r="D27" i="6"/>
  <c r="R19" i="6"/>
  <c r="R22" i="6"/>
  <c r="R9" i="1" s="1"/>
  <c r="R23" i="6"/>
  <c r="R24" i="6"/>
  <c r="R25" i="6"/>
  <c r="R26" i="6"/>
  <c r="D30" i="6"/>
  <c r="D7" i="66"/>
  <c r="D8" i="66"/>
  <c r="T6" i="1"/>
  <c r="T9" i="1"/>
  <c r="T7" i="1"/>
  <c r="J72" i="39"/>
  <c r="K70" i="39"/>
  <c r="C14" i="43"/>
  <c r="C17" i="43"/>
  <c r="I27" i="6"/>
  <c r="S19" i="6"/>
  <c r="S27" i="6" s="1"/>
  <c r="E52" i="21"/>
  <c r="F52" i="21" s="1"/>
  <c r="E53" i="21"/>
  <c r="F53" i="21" s="1"/>
  <c r="F35" i="70"/>
  <c r="M21" i="70"/>
  <c r="C14" i="70"/>
  <c r="C16" i="44"/>
  <c r="B7" i="67"/>
  <c r="F35" i="71"/>
  <c r="C14" i="71"/>
  <c r="M21" i="71"/>
  <c r="C14" i="15"/>
  <c r="C18" i="15" l="1"/>
  <c r="C15" i="15"/>
  <c r="J20" i="71"/>
  <c r="F62" i="71"/>
  <c r="C61" i="71" s="1"/>
  <c r="C58" i="71" s="1"/>
  <c r="C34" i="71"/>
  <c r="C31" i="71" s="1"/>
  <c r="C18" i="70"/>
  <c r="C15" i="70"/>
  <c r="C17" i="44"/>
  <c r="C20" i="44"/>
  <c r="C15" i="71"/>
  <c r="C18" i="71"/>
  <c r="F62" i="70"/>
  <c r="C61" i="70" s="1"/>
  <c r="C58" i="70" s="1"/>
  <c r="C34" i="70"/>
  <c r="C31" i="70" s="1"/>
  <c r="J20" i="70"/>
  <c r="B2" i="67"/>
  <c r="C18" i="43"/>
  <c r="L70" i="39"/>
  <c r="K72" i="39"/>
  <c r="T16" i="1"/>
  <c r="D31" i="6"/>
  <c r="B2" i="21"/>
  <c r="C10" i="12" s="1"/>
  <c r="C8" i="12"/>
  <c r="L10" i="12" s="1"/>
  <c r="J9" i="40"/>
  <c r="H9" i="40"/>
  <c r="F9" i="40"/>
  <c r="C18" i="12"/>
  <c r="C23" i="12" s="1"/>
  <c r="R6" i="1"/>
  <c r="R16" i="1" s="1"/>
  <c r="R27" i="6"/>
  <c r="D4" i="46"/>
  <c r="B4" i="46"/>
  <c r="B3" i="46"/>
  <c r="C19" i="15" l="1"/>
  <c r="C20" i="15" s="1"/>
  <c r="C26" i="15" s="1"/>
  <c r="C19" i="70"/>
  <c r="C20" i="70" s="1"/>
  <c r="C26" i="70" s="1"/>
  <c r="C19" i="71"/>
  <c r="C20" i="71" s="1"/>
  <c r="C23" i="71" s="1"/>
  <c r="C21" i="44"/>
  <c r="C22" i="44" s="1"/>
  <c r="C28" i="44" s="1"/>
  <c r="AA9" i="40"/>
  <c r="R44" i="40" s="1"/>
  <c r="S9" i="40"/>
  <c r="U9" i="40"/>
  <c r="AB9" i="40"/>
  <c r="T44" i="40" s="1"/>
  <c r="G44" i="40" s="1"/>
  <c r="I5" i="6"/>
  <c r="I6" i="6"/>
  <c r="C19" i="43"/>
  <c r="C25" i="43" s="1"/>
  <c r="C24" i="43" s="1"/>
  <c r="AC9" i="40"/>
  <c r="V44" i="40" s="1"/>
  <c r="I44" i="40" s="1"/>
  <c r="W9" i="40"/>
  <c r="L72" i="39"/>
  <c r="M70" i="39"/>
  <c r="B4" i="67"/>
  <c r="B3" i="67"/>
  <c r="C23" i="15" l="1"/>
  <c r="C29" i="15" s="1"/>
  <c r="C22" i="43"/>
  <c r="C21" i="43" s="1"/>
  <c r="C28" i="43" s="1"/>
  <c r="C30" i="43" s="1"/>
  <c r="C32" i="43" s="1"/>
  <c r="B2" i="43" s="1"/>
  <c r="B3" i="43" s="1"/>
  <c r="C25" i="44"/>
  <c r="C31" i="44" s="1"/>
  <c r="C38" i="44" s="1"/>
  <c r="C26" i="71"/>
  <c r="C29" i="71" s="1"/>
  <c r="C23" i="70"/>
  <c r="C29" i="70" s="1"/>
  <c r="N70" i="39"/>
  <c r="N72" i="39" s="1"/>
  <c r="M72" i="39"/>
  <c r="E44" i="40"/>
  <c r="R45" i="40"/>
  <c r="I49" i="40"/>
  <c r="J49" i="40" s="1"/>
  <c r="I48" i="40"/>
  <c r="J48" i="40" s="1"/>
  <c r="B4" i="43"/>
  <c r="G49" i="40"/>
  <c r="H49" i="40" s="1"/>
  <c r="G48" i="40"/>
  <c r="H48" i="40" s="1"/>
  <c r="B5" i="43" l="1"/>
  <c r="J21" i="44"/>
  <c r="J19" i="44" s="1"/>
  <c r="J16" i="44"/>
  <c r="J15" i="44" s="1"/>
  <c r="J25" i="44" s="1"/>
  <c r="C35" i="44"/>
  <c r="C33" i="44" s="1"/>
  <c r="C15" i="44"/>
  <c r="C43" i="44" s="1"/>
  <c r="Q51" i="44"/>
  <c r="C45" i="40"/>
  <c r="C44" i="40"/>
  <c r="J14" i="71"/>
  <c r="C56" i="71"/>
  <c r="C63" i="71" s="1"/>
  <c r="C36" i="71"/>
  <c r="J19" i="71"/>
  <c r="J17" i="71" s="1"/>
  <c r="C13" i="71"/>
  <c r="Q50" i="71"/>
  <c r="J59" i="71"/>
  <c r="J60" i="71" s="1"/>
  <c r="Q49" i="71" s="1"/>
  <c r="J59" i="15"/>
  <c r="J60" i="15" s="1"/>
  <c r="Q49" i="15" s="1"/>
  <c r="Q50" i="15"/>
  <c r="J19" i="15"/>
  <c r="J17" i="15" s="1"/>
  <c r="C13" i="15"/>
  <c r="C56" i="15"/>
  <c r="C63" i="15" s="1"/>
  <c r="C36" i="15"/>
  <c r="J14" i="15"/>
  <c r="J24" i="44"/>
  <c r="E49" i="40"/>
  <c r="F49" i="40" s="1"/>
  <c r="E48" i="40"/>
  <c r="F48" i="40" s="1"/>
  <c r="J9" i="39"/>
  <c r="H9" i="39"/>
  <c r="F9" i="39"/>
  <c r="J19" i="70"/>
  <c r="J17" i="70" s="1"/>
  <c r="C13" i="70"/>
  <c r="C36" i="70"/>
  <c r="C56" i="70"/>
  <c r="C63" i="70" s="1"/>
  <c r="J14" i="70"/>
  <c r="Q50" i="70"/>
  <c r="J59" i="70"/>
  <c r="J60" i="70" s="1"/>
  <c r="Q49" i="70" s="1"/>
  <c r="C39" i="44" l="1"/>
  <c r="C32" i="44" s="1"/>
  <c r="C42" i="44" s="1"/>
  <c r="Q71" i="44" s="1"/>
  <c r="Q72" i="44"/>
  <c r="J18" i="44"/>
  <c r="J27" i="44" s="1"/>
  <c r="S9" i="39"/>
  <c r="AA9" i="39"/>
  <c r="R49" i="39" s="1"/>
  <c r="AC9" i="39"/>
  <c r="V49" i="39" s="1"/>
  <c r="I49" i="39" s="1"/>
  <c r="W9" i="39"/>
  <c r="J13" i="15"/>
  <c r="J23" i="15" s="1"/>
  <c r="J22" i="15"/>
  <c r="Q71" i="70"/>
  <c r="J35" i="70"/>
  <c r="C37" i="70"/>
  <c r="C30" i="70" s="1"/>
  <c r="C39" i="70" s="1"/>
  <c r="C55" i="70"/>
  <c r="C64" i="70" s="1"/>
  <c r="C57" i="70" s="1"/>
  <c r="C66" i="70" s="1"/>
  <c r="C67" i="70" s="1"/>
  <c r="J13" i="70"/>
  <c r="J23" i="70" s="1"/>
  <c r="J22" i="70"/>
  <c r="U9" i="39"/>
  <c r="AB9" i="39"/>
  <c r="T49" i="39" s="1"/>
  <c r="G49" i="39" s="1"/>
  <c r="C55" i="15"/>
  <c r="C64" i="15" s="1"/>
  <c r="C57" i="15" s="1"/>
  <c r="C66" i="15" s="1"/>
  <c r="C67" i="15" s="1"/>
  <c r="C37" i="15"/>
  <c r="C30" i="15" s="1"/>
  <c r="C39" i="15" s="1"/>
  <c r="J35" i="15"/>
  <c r="Q71" i="15"/>
  <c r="J35" i="71"/>
  <c r="C55" i="71"/>
  <c r="C64" i="71" s="1"/>
  <c r="C57" i="71" s="1"/>
  <c r="C66" i="71" s="1"/>
  <c r="C67" i="71" s="1"/>
  <c r="C70" i="71" s="1"/>
  <c r="C37" i="71"/>
  <c r="Q71" i="71"/>
  <c r="C30" i="71"/>
  <c r="C39" i="71" s="1"/>
  <c r="J13" i="71"/>
  <c r="J23" i="71" s="1"/>
  <c r="J22" i="71"/>
  <c r="B62" i="40"/>
  <c r="F62" i="40" s="1"/>
  <c r="B61" i="40"/>
  <c r="F61" i="40" s="1"/>
  <c r="B60" i="40"/>
  <c r="F60" i="40" s="1"/>
  <c r="B59" i="40"/>
  <c r="F59" i="40" s="1"/>
  <c r="B58" i="40"/>
  <c r="F58" i="40" s="1"/>
  <c r="B56" i="40"/>
  <c r="F56" i="40" s="1"/>
  <c r="B54" i="40"/>
  <c r="F54" i="40" s="1"/>
  <c r="F63" i="40"/>
  <c r="B2" i="40" s="1"/>
  <c r="B57" i="40"/>
  <c r="F57" i="40" s="1"/>
  <c r="B55" i="40"/>
  <c r="F55" i="40" s="1"/>
  <c r="B53" i="40"/>
  <c r="F53" i="40" s="1"/>
  <c r="Q70" i="44" l="1"/>
  <c r="C44" i="44"/>
  <c r="C45" i="44" s="1"/>
  <c r="B2" i="44" s="1"/>
  <c r="B4" i="44" s="1"/>
  <c r="J16" i="70"/>
  <c r="J25" i="70" s="1"/>
  <c r="J16" i="15"/>
  <c r="J25" i="15" s="1"/>
  <c r="J16" i="71"/>
  <c r="J25" i="71" s="1"/>
  <c r="J39" i="71"/>
  <c r="J40" i="71" s="1"/>
  <c r="C40" i="15"/>
  <c r="C46" i="15" s="1"/>
  <c r="Q70" i="15"/>
  <c r="Q69" i="15" s="1"/>
  <c r="G53" i="39"/>
  <c r="H53" i="39" s="1"/>
  <c r="G54" i="39"/>
  <c r="H54" i="39" s="1"/>
  <c r="C70" i="70"/>
  <c r="J39" i="70"/>
  <c r="J40" i="70" s="1"/>
  <c r="E49" i="39"/>
  <c r="R50" i="39"/>
  <c r="B5" i="40"/>
  <c r="B3" i="40"/>
  <c r="B4" i="40"/>
  <c r="Q70" i="71"/>
  <c r="Q69" i="71" s="1"/>
  <c r="C40" i="71"/>
  <c r="J39" i="15"/>
  <c r="J40" i="15" s="1"/>
  <c r="C70" i="15"/>
  <c r="Q70" i="70"/>
  <c r="Q69" i="70" s="1"/>
  <c r="C40" i="70"/>
  <c r="I54" i="39"/>
  <c r="J54" i="39" s="1"/>
  <c r="I53" i="39"/>
  <c r="J53" i="39" s="1"/>
  <c r="L51" i="70"/>
  <c r="L51" i="15"/>
  <c r="L51" i="71"/>
  <c r="B5" i="44" l="1"/>
  <c r="B3" i="44"/>
  <c r="Q68" i="70"/>
  <c r="Q68" i="15"/>
  <c r="Q68" i="71"/>
  <c r="Q66" i="70"/>
  <c r="Q76" i="70" s="1"/>
  <c r="Q48" i="70"/>
  <c r="Q54" i="70" s="1"/>
  <c r="B2" i="70"/>
  <c r="Q57" i="70"/>
  <c r="Q63" i="70" s="1"/>
  <c r="C43" i="70"/>
  <c r="J42" i="70"/>
  <c r="J43" i="70" s="1"/>
  <c r="C46" i="71"/>
  <c r="C43" i="71"/>
  <c r="Q66" i="71"/>
  <c r="Q76" i="71" s="1"/>
  <c r="Q48" i="71"/>
  <c r="Q54" i="71" s="1"/>
  <c r="B2" i="71"/>
  <c r="Q57" i="71"/>
  <c r="Q63" i="71" s="1"/>
  <c r="J42" i="71"/>
  <c r="J43" i="71" s="1"/>
  <c r="C49" i="39"/>
  <c r="C50" i="39"/>
  <c r="C46" i="70"/>
  <c r="Q57" i="15"/>
  <c r="Q63" i="15" s="1"/>
  <c r="C43" i="15"/>
  <c r="Q66" i="15"/>
  <c r="Q76" i="15" s="1"/>
  <c r="Q48" i="15"/>
  <c r="Q54" i="15" s="1"/>
  <c r="B2" i="15"/>
  <c r="J42" i="15"/>
  <c r="J43" i="15" s="1"/>
  <c r="E54" i="39"/>
  <c r="F54" i="39" s="1"/>
  <c r="E53" i="39"/>
  <c r="F53" i="39" s="1"/>
  <c r="D10" i="12" l="1"/>
  <c r="B3" i="15"/>
  <c r="D8" i="12" s="1"/>
  <c r="M10" i="12" s="1"/>
  <c r="B66" i="39"/>
  <c r="F66" i="39" s="1"/>
  <c r="B64" i="39"/>
  <c r="F64" i="39" s="1"/>
  <c r="B61" i="39"/>
  <c r="F61" i="39" s="1"/>
  <c r="B62" i="39"/>
  <c r="F62" i="39" s="1"/>
  <c r="B58" i="39"/>
  <c r="F58" i="39" s="1"/>
  <c r="B67" i="39"/>
  <c r="F67" i="39" s="1"/>
  <c r="B65" i="39"/>
  <c r="F65" i="39" s="1"/>
  <c r="B63" i="39"/>
  <c r="F63" i="39" s="1"/>
  <c r="B59" i="39"/>
  <c r="F59" i="39" s="1"/>
  <c r="B60" i="39"/>
  <c r="F60" i="39" s="1"/>
  <c r="B3" i="71"/>
  <c r="F8" i="12" s="1"/>
  <c r="O10" i="12" s="1"/>
  <c r="F10" i="12"/>
  <c r="E10" i="12"/>
  <c r="B3" i="70"/>
  <c r="E8" i="12" s="1"/>
  <c r="N10" i="12" s="1"/>
  <c r="F68" i="39" l="1"/>
  <c r="B2" i="39" s="1"/>
  <c r="C6" i="12"/>
  <c r="L5" i="12" s="1"/>
  <c r="D19" i="9"/>
  <c r="L44" i="9" l="1"/>
  <c r="C24" i="12"/>
  <c r="C29" i="12"/>
  <c r="B5" i="39"/>
  <c r="B4" i="39"/>
  <c r="B3" i="39"/>
  <c r="D21" i="9"/>
  <c r="D20" i="9"/>
  <c r="C35" i="12" l="1"/>
  <c r="C33" i="12" s="1"/>
  <c r="C28" i="12"/>
  <c r="C26" i="12" s="1"/>
  <c r="C31" i="12" s="1"/>
  <c r="C30" i="12" s="1"/>
  <c r="C36" i="12" l="1"/>
  <c r="B2" i="12" s="1"/>
  <c r="B3" i="12" s="1"/>
  <c r="C19" i="9"/>
  <c r="C20" i="9"/>
  <c r="B4" i="12" l="1"/>
  <c r="D22" i="9"/>
  <c r="L43" i="9"/>
  <c r="G19" i="9"/>
  <c r="A28" i="9" s="1"/>
  <c r="A29" i="9" s="1"/>
  <c r="B5" i="12"/>
  <c r="G20" i="9"/>
  <c r="C21" i="9"/>
  <c r="G22" i="9" l="1"/>
  <c r="A27" i="9"/>
  <c r="C32" i="9"/>
  <c r="O38" i="9" s="1"/>
  <c r="G21" i="9"/>
  <c r="N43" i="9"/>
  <c r="C42" i="9" l="1"/>
  <c r="N68" i="9" s="1"/>
  <c r="O43" i="9"/>
  <c r="C35" i="9"/>
  <c r="F42" i="9" s="1"/>
  <c r="C34" i="9"/>
  <c r="E42" i="9" s="1"/>
  <c r="P5" i="54" s="1"/>
  <c r="B46" i="63" s="1"/>
  <c r="C33" i="9"/>
  <c r="N38" i="9" s="1"/>
  <c r="K28" i="9" s="1"/>
  <c r="K26" i="9"/>
  <c r="K25" i="9"/>
  <c r="R5" i="54" l="1"/>
  <c r="B48" i="63" s="1"/>
  <c r="D42" i="9"/>
  <c r="Q5" i="54" s="1"/>
  <c r="B47" i="63" s="1"/>
  <c r="D63" i="9"/>
  <c r="C82" i="9" s="1"/>
  <c r="C81" i="9" s="1"/>
  <c r="C85" i="9" s="1"/>
  <c r="C86" i="9" s="1"/>
  <c r="D72" i="9" s="1"/>
  <c r="C44" i="9"/>
  <c r="N69" i="9" s="1"/>
  <c r="D14" i="66"/>
  <c r="E14" i="66" s="1"/>
  <c r="M38" i="9"/>
  <c r="K27" i="9" s="1"/>
  <c r="C103" i="9" l="1"/>
  <c r="F14" i="66"/>
  <c r="C90" i="9"/>
  <c r="D71" i="9"/>
  <c r="D66" i="9" s="1"/>
  <c r="N72" i="9" s="1"/>
  <c r="D77" i="9"/>
  <c r="N75" i="9" s="1"/>
  <c r="D70" i="9"/>
  <c r="C96" i="9"/>
  <c r="C91" i="9" s="1"/>
  <c r="C97" i="9" s="1"/>
  <c r="C111" i="9"/>
  <c r="C104" i="9" s="1"/>
  <c r="B5" i="66"/>
  <c r="D5" i="66" s="1"/>
  <c r="E44" i="9"/>
  <c r="G14" i="66"/>
  <c r="B6" i="66" s="1"/>
  <c r="C6" i="66" s="1"/>
  <c r="O39" i="9"/>
  <c r="K29" i="9" s="1"/>
  <c r="K30" i="9" s="1"/>
  <c r="F44" i="9"/>
  <c r="D44" i="9"/>
  <c r="D6" i="66"/>
  <c r="R6" i="54"/>
  <c r="B50" i="63" s="1"/>
  <c r="C5" i="66"/>
  <c r="M87" i="9"/>
  <c r="N87" i="9" s="1"/>
  <c r="M85" i="9"/>
  <c r="N85" i="9" s="1"/>
  <c r="M83" i="9"/>
  <c r="N83" i="9" s="1"/>
  <c r="M88" i="9"/>
  <c r="N88" i="9" s="1"/>
  <c r="M86" i="9"/>
  <c r="N86" i="9" s="1"/>
  <c r="M84" i="9"/>
  <c r="N84" i="9" s="1"/>
  <c r="C113" i="9"/>
  <c r="C98" i="9" l="1"/>
  <c r="E98" i="9" s="1"/>
  <c r="E99" i="9" s="1"/>
  <c r="C114" i="9"/>
  <c r="E114" i="9" s="1"/>
  <c r="E115" i="9" s="1"/>
  <c r="N89" i="9"/>
  <c r="O89"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<sst xmlns="http://schemas.openxmlformats.org/spreadsheetml/2006/main" count="8197" uniqueCount="2450">
  <si>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</si>
  <si>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</si>
  <si>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</si>
  <si>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</si>
  <si>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</si>
  <si>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</si>
  <si>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</si>
  <si>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</si>
  <si>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</si>
  <si>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</si>
  <si>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</si>
  <si>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</si>
  <si>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</si>
  <si>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</si>
  <si>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</si>
  <si>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</si>
  <si>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</si>
  <si>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</si>
  <si>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</si>
  <si>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</si>
  <si>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</si>
  <si>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</si>
  <si>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</si>
  <si>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</si>
  <si>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</si>
  <si>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</si>
  <si>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</si>
  <si>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</si>
  <si>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</si>
  <si>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</si>
  <si>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</si>
  <si>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</si>
  <si>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</si>
  <si>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</si>
  <si>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</si>
  <si>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</si>
  <si>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</si>
  <si>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</si>
  <si>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</si>
  <si>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</si>
  <si>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</si>
  <si>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</si>
  <si>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</si>
  <si>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</si>
  <si>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</si>
  <si>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</si>
  <si>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</si>
  <si>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</si>
  <si>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</si>
  <si>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</si>
  <si>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</si>
  <si>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</si>
  <si>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</si>
  <si>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</si>
  <si>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</si>
  <si>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</si>
  <si>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</si>
  <si>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</si>
  <si>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</si>
  <si>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</si>
  <si>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</si>
  <si>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</si>
  <si>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</si>
  <si>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</si>
  <si>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</si>
  <si>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</si>
  <si>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</si>
  <si>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</si>
  <si>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</si>
  <si>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</si>
  <si>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</si>
  <si>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</si>
  <si>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</si>
  <si>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</si>
  <si>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</si>
  <si>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</si>
  <si>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</si>
  <si>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</si>
  <si>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</si>
  <si>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</si>
  <si>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</si>
  <si>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</si>
  <si>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</si>
  <si>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</si>
  <si>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</si>
  <si>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</si>
  <si>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</si>
  <si>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</si>
  <si>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</si>
  <si>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</si>
  <si>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</si>
  <si>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</si>
  <si>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</si>
  <si>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</si>
  <si>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</si>
  <si>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</si>
  <si>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</si>
  <si>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</si>
  <si>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</si>
  <si>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</si>
  <si>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</si>
  <si>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</si>
  <si>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</si>
  <si>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</si>
  <si>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</si>
  <si>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</si>
  <si>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</si>
  <si>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</si>
  <si>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</si>
  <si>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</si>
  <si>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</si>
  <si>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</si>
  <si>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</si>
  <si>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</si>
  <si>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</si>
  <si>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</si>
  <si>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</si>
  <si>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</si>
  <si>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</si>
  <si>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</si>
  <si>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</si>
  <si>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</si>
  <si>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</si>
  <si>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</si>
  <si>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</si>
  <si>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</si>
  <si>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</si>
  <si>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</si>
  <si>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</si>
  <si>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</si>
  <si>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</si>
  <si>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</si>
  <si>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</si>
  <si>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</si>
  <si>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</si>
  <si>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</si>
  <si>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</si>
  <si>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</si>
  <si>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</si>
  <si>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</si>
  <si>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</si>
  <si>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</si>
  <si>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</si>
  <si>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</si>
  <si>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</si>
  <si>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</si>
  <si>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</si>
  <si>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</si>
  <si>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</si>
  <si>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</si>
  <si>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</si>
  <si>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</si>
  <si>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</si>
  <si>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</si>
  <si>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</si>
  <si>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</si>
  <si>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</si>
  <si>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</si>
  <si>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</si>
  <si>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</si>
  <si>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</si>
  <si>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</si>
  <si>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</si>
  <si>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</si>
  <si>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</si>
  <si>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</si>
  <si>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</si>
  <si>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</si>
  <si>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</si>
  <si>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</si>
  <si>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</si>
  <si>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</si>
  <si>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</si>
  <si>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</si>
  <si>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</si>
  <si>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</si>
  <si>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</si>
  <si>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</si>
  <si>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</si>
  <si>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</si>
  <si>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</si>
  <si>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</si>
  <si>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</si>
  <si>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</si>
  <si>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</si>
  <si>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</si>
  <si>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</si>
  <si>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</si>
  <si>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</si>
  <si>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</si>
  <si>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</si>
  <si>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</si>
  <si>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</si>
  <si>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</si>
  <si>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</si>
  <si>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</si>
  <si>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</si>
  <si>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</si>
  <si>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</si>
  <si>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</si>
  <si>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</si>
  <si>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</si>
  <si>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</si>
  <si>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</si>
  <si>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</si>
  <si>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</si>
  <si>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</si>
  <si>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</si>
  <si>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</si>
  <si>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</si>
  <si>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</si>
  <si>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</si>
  <si>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</si>
  <si>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</si>
  <si>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</si>
  <si>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</si>
  <si>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</si>
  <si>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</si>
  <si>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</si>
  <si>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</si>
  <si>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</si>
  <si>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</si>
  <si>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</si>
  <si>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</si>
  <si>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</si>
  <si>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</si>
  <si>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</si>
  <si>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</si>
  <si>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</si>
  <si>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</si>
  <si>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</si>
  <si>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</si>
  <si>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</si>
  <si>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</si>
  <si>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</si>
  <si>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</si>
  <si>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</si>
  <si>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</si>
  <si>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</si>
  <si>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</si>
  <si>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</si>
  <si>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</si>
  <si>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</si>
  <si>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</si>
  <si>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</si>
  <si>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</si>
  <si>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</si>
  <si>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</si>
  <si>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</si>
  <si>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</si>
  <si>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</si>
  <si>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</si>
  <si>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</si>
  <si>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</si>
  <si>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</si>
  <si>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</si>
  <si>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</si>
  <si>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</si>
  <si>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</si>
  <si>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</si>
  <si>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</si>
  <si>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</si>
  <si>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</si>
  <si>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</si>
  <si>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</si>
  <si>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</si>
  <si>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</si>
  <si>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</si>
  <si>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</si>
  <si>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</si>
  <si>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</si>
  <si>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</si>
  <si>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</si>
  <si>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</si>
  <si>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</si>
  <si>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</si>
  <si>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</si>
  <si>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</si>
  <si>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</si>
  <si>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</si>
  <si>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</si>
  <si>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</si>
  <si>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</si>
  <si>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</si>
  <si>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</si>
  <si>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</si>
  <si>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</si>
  <si>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</si>
  <si>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</si>
  <si>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</si>
  <si>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</si>
  <si>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</si>
  <si>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</si>
  <si>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</si>
  <si>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</si>
  <si>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</si>
  <si>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</si>
  <si>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</si>
  <si>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t>不动产收益法</t>
  </si>
  <si>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</si>
  <si>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</si>
  <si>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</si>
  <si>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</si>
  <si>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</si>
  <si>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</si>
  <si>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</si>
  <si>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</si>
  <si>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</si>
  <si>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</si>
  <si>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</si>
  <si>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</si>
  <si>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</si>
  <si>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</si>
  <si>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</si>
  <si>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</si>
  <si>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</si>
  <si>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</si>
  <si>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</si>
  <si>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</si>
  <si>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</si>
  <si>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</si>
  <si>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</si>
  <si>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</si>
  <si>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</si>
  <si>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</si>
  <si>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</si>
  <si>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</si>
  <si>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</si>
  <si>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</si>
  <si>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不动产收益法办公</t>
  </si>
  <si>
    <r>
      <rPr>
        <sz val="11"/>
        <color indexed="8"/>
        <rFont val="仿宋_GB2312"/>
        <family val="3"/>
        <charset val="134"/>
      </rPr>
      <t>戊类库房</t>
    </r>
  </si>
  <si>
    <t>不动产收益法车库</t>
  </si>
  <si>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</si>
  <si>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</si>
  <si>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</si>
  <si>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</si>
  <si>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</si>
  <si>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</si>
  <si>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</si>
  <si>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</si>
  <si>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</si>
  <si>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</si>
  <si>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</si>
  <si>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</si>
  <si>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</si>
  <si>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</si>
  <si>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</si>
  <si>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</si>
  <si>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</si>
  <si>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</si>
  <si>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</si>
  <si>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</si>
  <si>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</si>
  <si>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</si>
  <si>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</si>
  <si>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</si>
  <si>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</si>
  <si>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</si>
  <si>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苏州国展商业广场开发有限公司</t>
  </si>
  <si>
    <r>
      <rPr>
        <sz val="12"/>
        <color indexed="8"/>
        <rFont val="仿宋_GB2312"/>
        <family val="3"/>
        <charset val="134"/>
      </rPr>
      <t>金融机构</t>
    </r>
    <r>
      <rPr>
        <sz val="10"/>
        <color indexed="8"/>
        <rFont val="仿宋_GB2312"/>
        <family val="3"/>
        <charset val="134"/>
      </rPr>
      <t>(贷款方)</t>
    </r>
  </si>
  <si>
    <t>民生信托</t>
  </si>
  <si>
    <t>借款方</t>
  </si>
  <si>
    <t>抵押结果包含：</t>
  </si>
  <si>
    <t>价值类型</t>
  </si>
  <si>
    <t>项目所在城市</t>
  </si>
  <si>
    <t>其他：</t>
  </si>
  <si>
    <t>江苏省苏州市姑苏区</t>
  </si>
  <si>
    <t>坐落</t>
  </si>
  <si>
    <t>金门路100-1号（北）</t>
  </si>
  <si>
    <t>不动产权利人</t>
  </si>
  <si>
    <t>企业</t>
  </si>
  <si>
    <t>证载土地用途</t>
  </si>
  <si>
    <t>城镇住宅用地、其他商服用地</t>
  </si>
  <si>
    <t>依据</t>
  </si>
  <si>
    <t>《不动产权证书》[苏（2016）苏州市不动产权第8030236号]</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</si>
  <si>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</si>
  <si>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</si>
  <si>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</si>
  <si>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</si>
  <si>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</si>
  <si>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</si>
  <si>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</si>
  <si>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</si>
  <si>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</si>
  <si>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</si>
  <si>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</si>
  <si>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</si>
  <si>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</si>
  <si>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</si>
  <si>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</si>
  <si>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</si>
  <si>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</si>
  <si>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</si>
  <si>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</si>
  <si>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</si>
  <si>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《国有土地使用证》[]</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</si>
  <si>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</si>
  <si>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</si>
  <si>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</si>
  <si>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</si>
  <si>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</si>
  <si>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</si>
  <si>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</si>
  <si>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</si>
  <si>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</si>
  <si>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</si>
  <si>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</si>
  <si>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</si>
  <si>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</si>
  <si>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</si>
  <si>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</si>
  <si>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</si>
  <si>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</si>
  <si>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</si>
  <si>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</si>
  <si>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</si>
  <si>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</si>
  <si>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</si>
  <si>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</si>
  <si>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</si>
  <si>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</si>
  <si>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</si>
  <si>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</si>
  <si>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</si>
  <si>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</si>
  <si>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</si>
  <si>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</si>
  <si>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</si>
  <si>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</si>
  <si>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</si>
  <si>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</si>
  <si>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</si>
  <si>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</si>
  <si>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</si>
  <si>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</si>
  <si>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</si>
  <si>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</si>
  <si>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</si>
  <si>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</si>
  <si>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</si>
  <si>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</si>
  <si>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</si>
  <si>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</si>
  <si>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</si>
  <si>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</si>
  <si>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</si>
  <si>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</si>
  <si>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</si>
  <si>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</si>
  <si>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</si>
  <si>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</si>
  <si>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</si>
  <si>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</si>
  <si>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</si>
  <si>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</si>
  <si>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</si>
  <si>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</si>
  <si>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</si>
  <si>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</si>
  <si>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</si>
  <si>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</si>
  <si>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</si>
  <si>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</si>
  <si>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</si>
  <si>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</si>
  <si>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</si>
  <si>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</si>
  <si>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</si>
  <si>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</si>
  <si>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</si>
  <si>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</si>
  <si>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</si>
  <si>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</si>
  <si>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</si>
  <si>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</si>
  <si>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</si>
  <si>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</si>
  <si>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</si>
  <si>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</si>
  <si>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</si>
  <si>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</si>
  <si>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</si>
  <si>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</si>
  <si>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</si>
  <si>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</si>
  <si>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</si>
  <si>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</si>
  <si>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</si>
  <si>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办公楼</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</si>
  <si>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</si>
  <si>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</si>
  <si>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</si>
  <si>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</si>
  <si>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</si>
  <si>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</si>
  <si>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</si>
  <si>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</si>
  <si>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</si>
  <si>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</si>
  <si>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</si>
  <si>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</si>
  <si>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</si>
  <si>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</si>
  <si>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</si>
  <si>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</si>
  <si>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</si>
  <si>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</si>
  <si>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</si>
  <si>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</si>
  <si>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</si>
  <si>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</si>
  <si>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</si>
  <si>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</si>
  <si>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</si>
  <si>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</si>
  <si>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</si>
  <si>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</si>
  <si>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</si>
  <si>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</si>
  <si>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</si>
  <si>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</si>
  <si>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</si>
  <si>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</si>
  <si>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</si>
  <si>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</si>
  <si>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</si>
  <si>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</si>
  <si>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</si>
  <si>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</si>
  <si>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</si>
  <si>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</si>
  <si>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</si>
  <si>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</si>
  <si>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</si>
  <si>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</si>
  <si>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</si>
  <si>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</si>
  <si>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</si>
  <si>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</si>
  <si>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</si>
  <si>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</si>
  <si>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</si>
  <si>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</si>
  <si>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</si>
  <si>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</si>
  <si>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</si>
  <si>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</si>
  <si>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</si>
  <si>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</si>
  <si>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</si>
  <si>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</si>
  <si>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</si>
  <si>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</si>
  <si>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</si>
  <si>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</si>
  <si>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</si>
  <si>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</si>
  <si>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</si>
  <si>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</si>
  <si>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</si>
  <si>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</si>
  <si>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</si>
  <si>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</si>
  <si>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</si>
  <si>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</si>
  <si>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</si>
  <si>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</si>
  <si>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</si>
  <si>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</si>
  <si>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</si>
  <si>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</si>
  <si>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</si>
  <si>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</si>
  <si>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</si>
  <si>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</si>
  <si>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</si>
  <si>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</si>
  <si>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</si>
  <si>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</si>
  <si>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</si>
  <si>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</si>
  <si>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</si>
  <si>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</si>
  <si>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</si>
  <si>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</si>
  <si>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</si>
  <si>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</si>
  <si>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</si>
  <si>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</si>
  <si>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</si>
  <si>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</si>
  <si>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</si>
  <si>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</si>
  <si>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</si>
  <si>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</si>
  <si>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</si>
  <si>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</si>
  <si>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</si>
  <si>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</si>
  <si>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</si>
  <si>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</si>
  <si>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</si>
  <si>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</si>
  <si>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</si>
  <si>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</si>
  <si>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</si>
  <si>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</si>
  <si>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</si>
  <si>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</si>
  <si>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</si>
  <si>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</si>
  <si>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</si>
  <si>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</si>
  <si>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</si>
  <si>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</si>
  <si>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</si>
  <si>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</si>
  <si>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</si>
  <si>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</si>
  <si>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</si>
  <si>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</si>
  <si>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</si>
  <si>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</si>
  <si>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</si>
  <si>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</si>
  <si>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</si>
  <si>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</si>
  <si>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</si>
  <si>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</si>
  <si>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</si>
  <si>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</si>
  <si>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</si>
  <si>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</si>
  <si>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</si>
  <si>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</si>
  <si>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</si>
  <si>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</si>
  <si>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</si>
  <si>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</si>
  <si>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</si>
  <si>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</si>
  <si>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</si>
  <si>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</si>
  <si>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</si>
  <si>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</si>
  <si>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</si>
  <si>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</si>
  <si>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</si>
  <si>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</si>
  <si>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</si>
  <si>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</si>
  <si>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</si>
  <si>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</si>
  <si>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</si>
  <si>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</si>
  <si>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</si>
  <si>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</si>
  <si>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</si>
  <si>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</si>
  <si>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</si>
  <si>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</si>
  <si>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</si>
  <si>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</si>
  <si>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</si>
  <si>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</si>
  <si>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</si>
  <si>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</si>
  <si>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好</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</si>
  <si>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</si>
  <si>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</si>
  <si>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</si>
  <si>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</si>
  <si>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</si>
  <si>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</si>
  <si>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</si>
  <si>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</si>
  <si>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</si>
  <si>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</si>
  <si>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</si>
  <si>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</si>
  <si>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</si>
  <si>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</si>
  <si>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</si>
  <si>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</si>
  <si>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</si>
  <si>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</si>
  <si>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</si>
  <si>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</si>
  <si>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</si>
  <si>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</si>
  <si>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</si>
  <si>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</si>
  <si>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</si>
  <si>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</si>
  <si>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</si>
  <si>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</si>
  <si>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</si>
  <si>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</si>
  <si>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</si>
  <si>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</si>
  <si>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</si>
  <si>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</si>
  <si>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</si>
  <si>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</si>
  <si>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</si>
  <si>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</si>
  <si>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</si>
  <si>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</si>
  <si>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</si>
  <si>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</si>
  <si>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</si>
  <si>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</si>
  <si>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</si>
  <si>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</si>
  <si>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</si>
  <si>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</si>
  <si>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</si>
  <si>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</si>
  <si>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</si>
  <si>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</si>
  <si>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</si>
  <si>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</si>
  <si>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</si>
  <si>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</si>
  <si>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</si>
  <si>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</si>
  <si>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</si>
  <si>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</si>
  <si>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</si>
  <si>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</si>
  <si>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</si>
  <si>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</si>
  <si>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</si>
  <si>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</si>
  <si>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</si>
  <si>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</si>
  <si>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</si>
  <si>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</si>
  <si>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</si>
  <si>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</si>
  <si>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</si>
  <si>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</si>
  <si>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</si>
  <si>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</si>
  <si>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</si>
  <si>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</si>
  <si>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</si>
  <si>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</si>
  <si>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</si>
  <si>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</si>
  <si>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</si>
  <si>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</si>
  <si>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</si>
  <si>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</si>
  <si>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</si>
  <si>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</si>
  <si>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</si>
  <si>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</si>
  <si>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</si>
  <si>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</si>
  <si>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</si>
  <si>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</si>
  <si>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</si>
  <si>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</si>
  <si>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</si>
  <si>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</si>
  <si>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</si>
  <si>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</si>
  <si>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</si>
  <si>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</si>
  <si>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</si>
  <si>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</si>
  <si>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</si>
  <si>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</si>
  <si>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</si>
  <si>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</si>
  <si>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</si>
  <si>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</si>
  <si>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</si>
  <si>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</si>
  <si>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</si>
  <si>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</si>
  <si>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</si>
  <si>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</si>
  <si>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</si>
  <si>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</si>
  <si>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</si>
  <si>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</si>
  <si>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</si>
  <si>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</si>
  <si>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</si>
  <si>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</si>
  <si>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</si>
  <si>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</si>
  <si>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</si>
  <si>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</si>
  <si>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</si>
  <si>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</si>
  <si>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</si>
  <si>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</si>
  <si>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</si>
  <si>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</si>
  <si>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</si>
  <si>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</si>
  <si>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</si>
  <si>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</si>
  <si>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</si>
  <si>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</si>
  <si>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</si>
  <si>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</si>
  <si>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</si>
  <si>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</si>
  <si>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</si>
  <si>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</si>
  <si>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</si>
  <si>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</si>
  <si>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</si>
  <si>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</si>
  <si>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</si>
  <si>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</si>
  <si>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</si>
  <si>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</si>
  <si>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</si>
  <si>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</si>
  <si>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</si>
  <si>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</si>
  <si>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</si>
  <si>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</si>
  <si>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</si>
  <si>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</si>
  <si>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</si>
  <si>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</si>
  <si>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</si>
  <si>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</si>
  <si>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</si>
  <si>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</si>
  <si>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</si>
  <si>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</si>
  <si>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</si>
  <si>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</si>
  <si>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</si>
  <si>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</si>
  <si>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</si>
  <si>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</si>
  <si>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</si>
  <si>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</si>
  <si>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</si>
  <si>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</si>
  <si>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</si>
  <si>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</si>
  <si>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</si>
  <si>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</si>
  <si>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</si>
  <si>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</si>
  <si>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</si>
  <si>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</si>
  <si>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</si>
  <si>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</si>
  <si>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</si>
  <si>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</si>
  <si>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</si>
  <si>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</si>
  <si>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</si>
  <si>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</si>
  <si>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</si>
  <si>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</si>
  <si>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</si>
  <si>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</si>
  <si>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</si>
  <si>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</si>
  <si>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</si>
  <si>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</si>
  <si>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</si>
  <si>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</si>
  <si>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</si>
  <si>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</si>
  <si>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</si>
  <si>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</si>
  <si>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</si>
  <si>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</si>
  <si>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</si>
  <si>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</si>
  <si>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</si>
  <si>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</si>
  <si>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</si>
  <si>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</si>
  <si>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</si>
  <si>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</si>
  <si>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</si>
  <si>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</si>
  <si>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</si>
  <si>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</si>
  <si>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</si>
  <si>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</si>
  <si>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</si>
  <si>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</si>
  <si>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</si>
  <si>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</si>
  <si>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</si>
  <si>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</si>
  <si>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</si>
  <si>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</si>
  <si>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</si>
  <si>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</si>
  <si>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</si>
  <si>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</si>
  <si>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</si>
  <si>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</si>
  <si>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</si>
  <si>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</si>
  <si>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</si>
  <si>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</si>
  <si>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</si>
  <si>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</si>
  <si>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</si>
  <si>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</si>
  <si>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</si>
  <si>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</si>
  <si>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</si>
  <si>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</si>
  <si>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</si>
  <si>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</si>
  <si>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</si>
  <si>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</si>
  <si>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</si>
  <si>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</si>
  <si>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</si>
  <si>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</si>
  <si>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</si>
  <si>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</si>
  <si>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</si>
  <si>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</si>
  <si>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</si>
  <si>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</si>
  <si>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</si>
  <si>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</si>
  <si>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</si>
  <si>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商住</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</si>
  <si>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</si>
  <si>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</si>
  <si>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</si>
  <si>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</si>
  <si>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</si>
  <si>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</si>
  <si>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</si>
  <si>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</si>
  <si>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</si>
  <si>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r>
      <rPr>
        <sz val="11"/>
        <color indexed="8"/>
        <rFont val="仿宋_GB2312"/>
        <family val="3"/>
        <charset val="134"/>
      </rPr>
      <t>自然及人文环境状况</t>
    </r>
  </si>
  <si>
    <t>多面临街</t>
  </si>
  <si>
    <t>双面临街</t>
  </si>
  <si>
    <t>单面临街</t>
  </si>
  <si>
    <r>
      <rPr>
        <sz val="11"/>
        <color indexed="8"/>
        <rFont val="仿宋_GB2312"/>
        <family val="3"/>
        <charset val="134"/>
      </rPr>
      <t>毗邻道路的类型与等级</t>
    </r>
  </si>
  <si>
    <t>城市次干道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</si>
  <si>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</si>
  <si>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</si>
  <si>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</si>
  <si>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</si>
  <si>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</si>
  <si>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</si>
  <si>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不规则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</si>
  <si>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</si>
  <si>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</si>
  <si>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</si>
  <si>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</si>
  <si>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</si>
  <si>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</si>
  <si>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</si>
  <si>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</si>
  <si>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</si>
  <si>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</si>
  <si>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</si>
  <si>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</si>
  <si>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</si>
  <si>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</si>
  <si>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</si>
  <si>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</si>
  <si>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</si>
  <si>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</si>
  <si>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</si>
  <si>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</si>
  <si>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</si>
  <si>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</si>
  <si>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</si>
  <si>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</si>
  <si>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</si>
  <si>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</si>
  <si>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</si>
  <si>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</si>
  <si>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</si>
  <si>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</si>
  <si>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</si>
  <si>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</si>
  <si>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</si>
  <si>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</si>
  <si>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</si>
  <si>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</si>
  <si>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</si>
  <si>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</si>
  <si>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</si>
  <si>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</si>
  <si>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</si>
  <si>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</si>
  <si>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</si>
  <si>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</si>
  <si>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</si>
  <si>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</si>
  <si>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城市主干道</t>
  </si>
  <si>
    <t>支路</t>
  </si>
  <si>
    <r>
      <rPr>
        <b/>
        <sz val="11"/>
        <rFont val="仿宋_GB2312"/>
        <family val="3"/>
        <charset val="134"/>
      </rPr>
      <t>实物状况</t>
    </r>
  </si>
  <si>
    <t>规则</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</si>
  <si>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</si>
  <si>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</si>
  <si>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</si>
  <si>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</si>
  <si>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</si>
  <si>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</si>
  <si>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</si>
  <si>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</si>
  <si>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</si>
  <si>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</si>
  <si>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</si>
  <si>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</si>
  <si>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</si>
  <si>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</si>
  <si>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</si>
  <si>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</si>
  <si>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</si>
  <si>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</si>
  <si>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</si>
  <si>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</si>
  <si>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</si>
  <si>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</si>
  <si>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</si>
  <si>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</si>
  <si>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</si>
  <si>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</si>
  <si>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</si>
  <si>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</si>
  <si>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</si>
  <si>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</si>
  <si>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</si>
  <si>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</si>
  <si>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</si>
  <si>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</si>
  <si>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</si>
  <si>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</si>
  <si>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</si>
  <si>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</si>
  <si>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</si>
  <si>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</si>
  <si>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</si>
  <si>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</si>
  <si>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</si>
  <si>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</si>
  <si>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</si>
  <si>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</si>
  <si>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</si>
  <si>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</si>
  <si>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</si>
  <si>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</si>
  <si>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</si>
  <si>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</si>
  <si>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</si>
  <si>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</si>
  <si>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</si>
  <si>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</si>
  <si>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</si>
  <si>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</si>
  <si>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</si>
  <si>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</si>
  <si>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</si>
  <si>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</si>
  <si>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</si>
  <si>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</si>
  <si>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</si>
  <si>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</si>
  <si>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</si>
  <si>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</si>
  <si>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</si>
  <si>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</si>
  <si>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</si>
  <si>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</si>
  <si>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</si>
  <si>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</si>
  <si>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</si>
  <si>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</si>
  <si>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</si>
  <si>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</si>
  <si>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</si>
  <si>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</si>
  <si>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</si>
  <si>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</si>
  <si>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</si>
  <si>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</si>
  <si>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</si>
  <si>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</si>
  <si>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</si>
  <si>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</si>
  <si>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</si>
  <si>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</si>
  <si>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</si>
  <si>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</si>
  <si>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</si>
  <si>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</si>
  <si>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</si>
  <si>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</si>
  <si>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</si>
  <si>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</si>
  <si>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</si>
  <si>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</si>
  <si>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</si>
  <si>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</si>
  <si>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</si>
  <si>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</si>
  <si>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</si>
  <si>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</si>
  <si>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</si>
  <si>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</si>
  <si>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</si>
  <si>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</si>
  <si>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</si>
  <si>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</si>
  <si>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</si>
  <si>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</si>
  <si>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</si>
  <si>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</si>
  <si>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</si>
  <si>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</si>
  <si>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</si>
  <si>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</si>
  <si>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</si>
  <si>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</si>
  <si>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</si>
  <si>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</si>
  <si>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</si>
  <si>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</si>
  <si>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</si>
  <si>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</si>
  <si>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</si>
  <si>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</si>
  <si>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</si>
  <si>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</si>
  <si>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</si>
  <si>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</si>
  <si>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</si>
  <si>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</si>
  <si>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</si>
  <si>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</si>
  <si>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</si>
  <si>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</si>
  <si>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</si>
  <si>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</si>
  <si>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</si>
  <si>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</si>
  <si>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</si>
  <si>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</si>
  <si>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</si>
  <si>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</si>
  <si>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</si>
  <si>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</si>
  <si>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</si>
  <si>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</si>
  <si>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</si>
  <si>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</si>
  <si>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</si>
  <si>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</si>
  <si>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</si>
  <si>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</si>
  <si>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</si>
  <si>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</si>
  <si>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</si>
  <si>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</si>
  <si>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</si>
  <si>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</si>
  <si>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</si>
  <si>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</si>
  <si>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</si>
  <si>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</si>
  <si>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</si>
  <si>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</si>
  <si>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</si>
  <si>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</si>
  <si>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</si>
  <si>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</si>
  <si>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</si>
  <si>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</si>
  <si>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</si>
  <si>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</si>
  <si>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</si>
  <si>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</si>
  <si>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</si>
  <si>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</si>
  <si>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</si>
  <si>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</si>
  <si>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</si>
  <si>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</si>
  <si>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</si>
  <si>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</si>
  <si>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</si>
  <si>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</si>
  <si>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</si>
  <si>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</si>
  <si>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</si>
  <si>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</si>
  <si>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</si>
  <si>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</si>
  <si>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</si>
  <si>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</si>
  <si>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</si>
  <si>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</si>
  <si>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</si>
  <si>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</si>
  <si>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</si>
  <si>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</si>
  <si>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</si>
  <si>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</si>
  <si>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</si>
  <si>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</si>
  <si>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</si>
  <si>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</si>
  <si>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</si>
  <si>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</si>
  <si>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</si>
  <si>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</si>
  <si>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</si>
  <si>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</si>
  <si>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</si>
  <si>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</si>
  <si>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</si>
  <si>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</si>
  <si>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</si>
  <si>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</si>
  <si>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</si>
  <si>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</si>
  <si>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</si>
  <si>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</si>
  <si>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</si>
  <si>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</si>
  <si>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</si>
  <si>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</si>
  <si>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</si>
  <si>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</si>
  <si>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</si>
  <si>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</si>
  <si>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</si>
  <si>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</si>
  <si>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</si>
  <si>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</si>
  <si>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</si>
  <si>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</si>
  <si>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</si>
  <si>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</si>
  <si>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</si>
  <si>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</si>
  <si>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</si>
  <si>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</si>
  <si>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</si>
  <si>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</si>
  <si>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</si>
  <si>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</si>
  <si>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</si>
  <si>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</si>
  <si>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</si>
  <si>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</si>
  <si>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</si>
  <si>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</si>
  <si>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</si>
  <si>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</si>
  <si>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</si>
  <si>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</si>
  <si>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</si>
  <si>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</si>
  <si>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</si>
  <si>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</si>
  <si>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海胥澜庭</t>
  </si>
  <si>
    <t>首开龙湖天赋</t>
  </si>
  <si>
    <t>姑苏樾</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</si>
  <si>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</si>
  <si>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</si>
  <si>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</si>
  <si>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</si>
  <si>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</si>
  <si>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</si>
  <si>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超高层</t>
  </si>
  <si>
    <t>高层</t>
  </si>
  <si>
    <t>洋房</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</si>
  <si>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</si>
  <si>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</si>
  <si>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</si>
  <si>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</si>
  <si>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</si>
  <si>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</si>
  <si>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</si>
  <si>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</si>
  <si>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</si>
  <si>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</si>
  <si>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</si>
  <si>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</si>
  <si>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</si>
  <si>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</si>
  <si>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</si>
  <si>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</si>
  <si>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</si>
  <si>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</si>
  <si>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</si>
  <si>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</si>
  <si>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</si>
  <si>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</si>
  <si>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</si>
  <si>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</si>
  <si>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</si>
  <si>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</si>
  <si>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</si>
  <si>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</si>
  <si>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</si>
  <si>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</si>
  <si>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</si>
  <si>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</si>
  <si>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</si>
  <si>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</si>
  <si>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</si>
  <si>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</si>
  <si>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</si>
  <si>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</si>
  <si>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</si>
  <si>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</si>
  <si>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</si>
  <si>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</si>
  <si>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</si>
  <si>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</si>
  <si>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</si>
  <si>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</si>
  <si>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</si>
  <si>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</si>
  <si>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</si>
  <si>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</si>
  <si>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</si>
  <si>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</si>
  <si>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</si>
  <si>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</si>
  <si>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</si>
  <si>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</si>
  <si>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</si>
  <si>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</si>
  <si>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</si>
  <si>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</si>
  <si>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自定义</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</si>
  <si>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</si>
  <si>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</si>
  <si>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</si>
  <si>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</si>
  <si>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</si>
  <si>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</si>
  <si>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</si>
  <si>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</si>
  <si>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</si>
  <si>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</si>
  <si>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</si>
  <si>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</si>
  <si>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</si>
  <si>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</si>
  <si>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</si>
  <si>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</si>
  <si>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</si>
  <si>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</si>
  <si>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</si>
  <si>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</si>
  <si>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</si>
  <si>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</si>
  <si>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</si>
  <si>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</si>
  <si>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</si>
  <si>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</si>
  <si>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</si>
  <si>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</si>
  <si>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</si>
  <si>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</si>
  <si>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</si>
  <si>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</si>
  <si>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</si>
  <si>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</si>
  <si>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</si>
  <si>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</si>
  <si>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</si>
  <si>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</si>
  <si>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</si>
  <si>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</si>
  <si>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</si>
  <si>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</si>
  <si>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</si>
  <si>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</si>
  <si>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</si>
  <si>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</si>
  <si>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</si>
  <si>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</si>
  <si>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</si>
  <si>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</si>
  <si>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</si>
  <si>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</si>
  <si>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</si>
  <si>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</si>
  <si>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</si>
  <si>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</si>
  <si>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</si>
  <si>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</si>
  <si>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</si>
  <si>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</si>
  <si>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</si>
  <si>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</si>
  <si>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</si>
  <si>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</si>
  <si>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</si>
  <si>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</si>
  <si>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</si>
  <si>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</si>
  <si>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</si>
  <si>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</si>
  <si>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</si>
  <si>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</si>
  <si>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</si>
  <si>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</si>
  <si>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</si>
  <si>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</si>
  <si>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</si>
  <si>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</si>
  <si>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</si>
  <si>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</si>
  <si>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</si>
  <si>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</si>
  <si>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</si>
  <si>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</si>
  <si>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</si>
  <si>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</si>
  <si>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</si>
  <si>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</si>
  <si>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</si>
  <si>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</si>
  <si>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</si>
  <si>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</si>
  <si>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</si>
  <si>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序号</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</si>
  <si>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</si>
  <si>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</si>
  <si>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</si>
  <si>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</si>
  <si>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</si>
  <si>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</si>
  <si>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</si>
  <si>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</si>
  <si>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</si>
  <si>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</si>
  <si>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</si>
  <si>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</si>
  <si>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</si>
  <si>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</si>
  <si>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</si>
  <si>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</si>
  <si>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</si>
  <si>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</si>
  <si>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</si>
  <si>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</si>
  <si>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</si>
  <si>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</si>
  <si>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</si>
  <si>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</si>
  <si>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</si>
  <si>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</si>
  <si>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</si>
  <si>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</si>
  <si>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</si>
  <si>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</si>
  <si>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</si>
  <si>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</si>
  <si>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</si>
  <si>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</si>
  <si>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</si>
  <si>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</si>
  <si>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</si>
  <si>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</si>
  <si>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</si>
  <si>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</si>
  <si>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</si>
  <si>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</si>
  <si>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</si>
  <si>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</si>
  <si>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</si>
  <si>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</si>
  <si>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</si>
  <si>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</si>
  <si>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</si>
  <si>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</si>
  <si>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</si>
  <si>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</si>
  <si>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</si>
  <si>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</si>
  <si>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</si>
  <si>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</si>
  <si>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</si>
  <si>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</si>
  <si>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</si>
  <si>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</si>
  <si>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</si>
  <si>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</si>
  <si>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</si>
  <si>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</si>
  <si>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</si>
  <si>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</si>
  <si>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</si>
  <si>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</si>
  <si>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</si>
  <si>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</si>
  <si>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</si>
  <si>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</si>
  <si>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地块名称</t>
  </si>
  <si>
    <t>城市</t>
  </si>
  <si>
    <t>用地性质</t>
  </si>
  <si>
    <t>土地位置</t>
  </si>
  <si>
    <t>出让方式</t>
  </si>
  <si>
    <t>建设用地面积(㎡)</t>
  </si>
  <si>
    <t>规划建筑面积(㎡)</t>
  </si>
  <si>
    <t>配建自住房情况</t>
  </si>
  <si>
    <t>推出特殊政策</t>
  </si>
  <si>
    <t>成交特殊政策</t>
  </si>
  <si>
    <t>配建养老设施面积情况</t>
  </si>
  <si>
    <t>成交日期</t>
  </si>
  <si>
    <t>起始价(万元)</t>
  </si>
  <si>
    <t>成交价(万元)</t>
  </si>
  <si>
    <t>推出楼面价(元/㎡)</t>
  </si>
  <si>
    <t>成交楼面价(元/㎡)</t>
  </si>
  <si>
    <t>成交地面价</t>
  </si>
  <si>
    <t>溢价率</t>
  </si>
  <si>
    <t>竞报整体自持比例(%)</t>
  </si>
  <si>
    <t>竞报商品住房自持比例(%)</t>
  </si>
  <si>
    <t>竞报商办部分自持比例(%)</t>
  </si>
  <si>
    <t>土地星级</t>
  </si>
  <si>
    <t>姑苏区彩香路东、金门路南</t>
  </si>
  <si>
    <t>苏州市</t>
  </si>
  <si>
    <t>综合用地(含住宅)</t>
  </si>
  <si>
    <t>挂牌</t>
  </si>
  <si>
    <t>住宅≤1.2商服交通＜3.0</t>
  </si>
  <si>
    <t>--</t>
  </si>
  <si>
    <t>一次性报价</t>
  </si>
  <si>
    <t>2019-04-24</t>
  </si>
  <si>
    <t>5星</t>
  </si>
  <si>
    <t>姑苏区民清路以东、日益路以北</t>
  </si>
  <si>
    <t>住宅用地</t>
  </si>
  <si>
    <t>≤2.5</t>
  </si>
  <si>
    <t>2019-02-22</t>
  </si>
  <si>
    <t>4星</t>
  </si>
  <si>
    <r>
      <rPr>
        <sz val="10"/>
        <rFont val="宋体"/>
        <family val="3"/>
        <charset val="134"/>
      </rPr>
      <t>姑苏区友新高架以东</t>
    </r>
    <r>
      <rPr>
        <sz val="10"/>
        <rFont val="Arial"/>
        <family val="2"/>
      </rPr>
      <t>,</t>
    </r>
    <r>
      <rPr>
        <sz val="10"/>
        <rFont val="宋体"/>
        <family val="3"/>
        <charset val="134"/>
      </rPr>
      <t>吴中西路以北</t>
    </r>
  </si>
  <si>
    <t>姑苏区友新高架以东,吴中西路以北</t>
  </si>
  <si>
    <t>地块一≤0.8地块二按照批准方案</t>
  </si>
  <si>
    <t>姑苏区平门塘以西、日益路以南</t>
  </si>
  <si>
    <t>地块一≤2.2地块二≤2.0</t>
  </si>
  <si>
    <t>姑苏区玻纤路北、虎丘路西</t>
  </si>
  <si>
    <t>＞1且≤1.1</t>
  </si>
  <si>
    <t>2018-02-01</t>
  </si>
  <si>
    <t>姑苏区缘园路西、倪家桥小区南</t>
  </si>
  <si>
    <t>姑苏区玻纤路两侧、缘园路西</t>
  </si>
  <si>
    <t>＞1且≤1.3</t>
  </si>
  <si>
    <t>姑苏区西环路西、酒厂路北</t>
  </si>
  <si>
    <t>＞1且≤1.8</t>
  </si>
  <si>
    <t>2018-01-08</t>
  </si>
  <si>
    <t>姑苏区解放西路以西、酒厂路以南</t>
  </si>
  <si>
    <t>姑苏区永方路以东、合兴路以南地块</t>
  </si>
  <si>
    <t>＞1且≤2.5</t>
  </si>
  <si>
    <t>姑苏区北园路南、档案馆东</t>
  </si>
  <si>
    <t>≤0.6</t>
  </si>
  <si>
    <t>姑苏区友新路西、南环西路北</t>
  </si>
  <si>
    <t>2017-11-16</t>
  </si>
  <si>
    <t>姑苏区城北西路南、虎金路西</t>
  </si>
  <si>
    <t>≤0.7</t>
  </si>
  <si>
    <t>2017-09-05</t>
  </si>
  <si>
    <t>3星</t>
  </si>
  <si>
    <t>姑苏区城北西路南、上林路东</t>
  </si>
  <si>
    <t>姑苏区北环路南、玖园小区东</t>
  </si>
  <si>
    <t>1≤且≤1.05</t>
  </si>
  <si>
    <t>2017-06-12</t>
  </si>
  <si>
    <t>姑苏区劳动路以南、华亭路以西</t>
  </si>
  <si>
    <t>地块一≤3.0、地块二≤2.0</t>
  </si>
  <si>
    <t>2017-02-15</t>
  </si>
  <si>
    <t>姑苏区干将东路北、仓街东</t>
  </si>
  <si>
    <t>地块一原三监地块,地块二原振亚丝织厂地块</t>
  </si>
  <si>
    <t>参照图则对应地块要求</t>
  </si>
  <si>
    <t>2016-09-22</t>
  </si>
  <si>
    <t>姑苏区西园路北、运河路东</t>
  </si>
  <si>
    <t>≤1.1</t>
  </si>
  <si>
    <t>姑苏区人民路东、东二路南</t>
  </si>
  <si>
    <t>商服≤1.7、城镇住宅≤0.7</t>
  </si>
  <si>
    <t>姑苏区景德路南、阊胥路东</t>
  </si>
  <si>
    <t>容＜1.0</t>
  </si>
  <si>
    <t>2016-04-07</t>
  </si>
  <si>
    <t>姑苏区胥江路南、交通局大楼东</t>
  </si>
  <si>
    <t>1＜容≤1.80</t>
  </si>
  <si>
    <t>姑苏区虎丘路西、硕房庄路两侧</t>
  </si>
  <si>
    <t>1.10≤容≤1.60</t>
  </si>
  <si>
    <t>地价增长率</t>
  </si>
  <si>
    <t>2018-1</t>
  </si>
  <si>
    <t>2018-2</t>
  </si>
  <si>
    <t>2018-3</t>
  </si>
  <si>
    <t>2018-4</t>
  </si>
  <si>
    <t>2019-1</t>
  </si>
  <si>
    <t>带装修的</t>
  </si>
  <si>
    <t>精装洋房</t>
  </si>
  <si>
    <t>证载</t>
  </si>
  <si>
    <t>面积占比</t>
  </si>
  <si>
    <t>计算面积</t>
  </si>
  <si>
    <t>计容建筑面积</t>
  </si>
  <si>
    <t>地上车库设备</t>
  </si>
  <si>
    <t>另有地上停车楼</t>
  </si>
  <si>
    <t>地下空间</t>
  </si>
  <si>
    <t>实际容积率</t>
  </si>
  <si>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</si>
  <si>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</si>
  <si>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</si>
  <si>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</si>
  <si>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</si>
  <si>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</si>
  <si>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</si>
  <si>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</si>
  <si>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</si>
  <si>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</si>
  <si>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</si>
  <si>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</si>
  <si>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</si>
  <si>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</si>
  <si>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</si>
  <si>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</si>
  <si>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</si>
  <si>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</si>
  <si>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</si>
  <si>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</si>
  <si>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</si>
  <si>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</si>
  <si>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</si>
  <si>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</si>
  <si>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</si>
  <si>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</si>
  <si>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</si>
  <si>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</si>
  <si>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</si>
  <si>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</si>
  <si>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</si>
  <si>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</si>
  <si>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</si>
  <si>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</si>
  <si>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</si>
  <si>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</si>
  <si>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</si>
  <si>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</si>
  <si>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</si>
  <si>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</si>
  <si>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</si>
  <si>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</si>
  <si>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</si>
  <si>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</si>
  <si>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</si>
  <si>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</si>
  <si>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</si>
  <si>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</si>
  <si>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</si>
  <si>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</si>
  <si>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</si>
  <si>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</si>
  <si>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</si>
  <si>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</si>
  <si>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</si>
  <si>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</si>
  <si>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</si>
  <si>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</si>
  <si>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</si>
  <si>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</si>
  <si>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</si>
  <si>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</si>
  <si>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</si>
  <si>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</si>
  <si>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</si>
  <si>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</si>
  <si>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</si>
  <si>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</si>
  <si>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</si>
  <si>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</si>
  <si>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</si>
  <si>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</si>
  <si>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</si>
  <si>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</si>
  <si>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</si>
  <si>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</si>
  <si>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</si>
  <si>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</si>
  <si>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</si>
  <si>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</si>
  <si>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</si>
  <si>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</si>
  <si>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</si>
  <si>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</si>
  <si>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</si>
  <si>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</si>
  <si>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</si>
  <si>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</si>
  <si>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</si>
  <si>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</si>
  <si>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</si>
  <si>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</si>
  <si>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</si>
  <si>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</si>
  <si>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</si>
  <si>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</si>
  <si>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</si>
  <si>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</si>
  <si>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</si>
  <si>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</si>
  <si>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</si>
  <si>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</si>
  <si>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</si>
  <si>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</si>
  <si>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</si>
  <si>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</si>
  <si>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</si>
  <si>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</si>
  <si>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</si>
  <si>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</si>
  <si>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</si>
  <si>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</si>
  <si>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</si>
  <si>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</si>
  <si>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</si>
  <si>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</si>
  <si>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</si>
  <si>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</si>
  <si>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</si>
  <si>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</si>
  <si>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</si>
  <si>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</si>
  <si>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</si>
  <si>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</si>
  <si>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</si>
  <si>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</si>
  <si>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</si>
  <si>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</si>
  <si>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</si>
  <si>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</si>
  <si>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</si>
  <si>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</si>
  <si>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</si>
  <si>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</si>
  <si>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</si>
  <si>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</si>
  <si>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</si>
  <si>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</si>
  <si>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</si>
  <si>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</si>
  <si>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</si>
  <si>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</si>
  <si>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</si>
  <si>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</si>
  <si>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</si>
  <si>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</si>
  <si>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</si>
  <si>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</si>
  <si>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</si>
  <si>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</si>
  <si>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</si>
  <si>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</si>
  <si>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</si>
  <si>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</si>
  <si>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</si>
  <si>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</si>
  <si>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</si>
  <si>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</si>
  <si>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</si>
  <si>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</si>
  <si>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</si>
  <si>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</si>
  <si>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</si>
  <si>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</si>
  <si>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</si>
  <si>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</si>
  <si>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</si>
  <si>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</si>
  <si>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</si>
  <si>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</si>
  <si>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</si>
  <si>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</si>
  <si>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</si>
  <si>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</si>
  <si>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</si>
  <si>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</si>
  <si>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</si>
  <si>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</si>
  <si>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</si>
  <si>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</si>
  <si>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</si>
  <si>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</si>
  <si>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</si>
  <si>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</si>
  <si>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</si>
  <si>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</si>
  <si>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</si>
  <si>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</si>
  <si>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</si>
  <si>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</si>
  <si>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</si>
  <si>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</si>
  <si>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</si>
  <si>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</si>
  <si>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</si>
  <si>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</si>
  <si>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</si>
  <si>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</si>
  <si>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</si>
  <si>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</si>
  <si>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</si>
  <si>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</si>
  <si>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</si>
  <si>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</si>
  <si>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</si>
  <si>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</si>
  <si>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</si>
  <si>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</si>
  <si>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</si>
  <si>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</si>
  <si>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</si>
  <si>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</si>
  <si>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</si>
  <si>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</si>
  <si>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</si>
  <si>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</si>
  <si>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</si>
  <si>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</si>
  <si>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</si>
  <si>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</si>
  <si>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</si>
  <si>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</si>
  <si>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</si>
  <si>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</si>
  <si>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</si>
  <si>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</si>
  <si>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</si>
  <si>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</si>
  <si>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</si>
  <si>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</si>
  <si>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</si>
  <si>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</si>
  <si>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</si>
  <si>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</si>
  <si>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</si>
  <si>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</si>
  <si>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</si>
  <si>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</si>
  <si>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</si>
  <si>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</si>
  <si>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</si>
  <si>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</si>
  <si>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</si>
  <si>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</si>
  <si>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</si>
  <si>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</si>
  <si>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</si>
  <si>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</si>
  <si>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</si>
  <si>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</si>
  <si>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</si>
  <si>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</si>
  <si>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</si>
  <si>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</si>
  <si>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</si>
  <si>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</si>
  <si>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</si>
  <si>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</si>
  <si>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</si>
  <si>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</si>
  <si>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</si>
  <si>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</si>
  <si>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</si>
  <si>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</si>
  <si>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</si>
  <si>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</si>
  <si>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</si>
  <si>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</si>
  <si>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</si>
  <si>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</si>
  <si>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</si>
  <si>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</si>
  <si>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</si>
  <si>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</si>
  <si>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</si>
  <si>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</si>
  <si>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</si>
  <si>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</si>
  <si>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</si>
  <si>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</si>
  <si>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</si>
  <si>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</si>
  <si>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</si>
  <si>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</si>
  <si>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</si>
  <si>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</si>
  <si>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</si>
  <si>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</si>
  <si>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</si>
  <si>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</si>
  <si>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</si>
  <si>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</si>
  <si>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</si>
  <si>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</si>
  <si>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</si>
  <si>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</si>
  <si>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</si>
  <si>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</si>
  <si>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</si>
  <si>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</si>
  <si>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</si>
  <si>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</si>
  <si>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</si>
  <si>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</si>
  <si>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</si>
  <si>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</si>
  <si>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</si>
  <si>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</si>
  <si>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</si>
  <si>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</si>
  <si>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</si>
  <si>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</si>
  <si>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</si>
  <si>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</si>
  <si>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</si>
  <si>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</si>
  <si>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</si>
  <si>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</si>
  <si>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</si>
  <si>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</si>
  <si>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</si>
  <si>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</si>
  <si>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</si>
  <si>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</si>
  <si>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</si>
  <si>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</si>
  <si>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</si>
  <si>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</si>
  <si>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</si>
  <si>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</si>
  <si>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</si>
  <si>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</si>
  <si>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</si>
  <si>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</si>
  <si>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</si>
  <si>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</si>
  <si>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</si>
  <si>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</si>
  <si>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</si>
  <si>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</si>
  <si>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</si>
  <si>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</si>
  <si>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</si>
  <si>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</si>
  <si>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</si>
  <si>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</si>
  <si>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</si>
  <si>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</si>
  <si>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</si>
  <si>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</si>
  <si>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</si>
  <si>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</si>
  <si>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</si>
  <si>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</si>
  <si>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</si>
  <si>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</si>
  <si>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</si>
  <si>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</si>
  <si>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</si>
  <si>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</si>
  <si>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</si>
  <si>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</si>
  <si>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</si>
  <si>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</si>
  <si>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</si>
  <si>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</si>
  <si>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</si>
  <si>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</si>
  <si>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</si>
  <si>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</si>
  <si>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</si>
  <si>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</si>
  <si>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</si>
  <si>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</si>
  <si>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</si>
  <si>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</si>
  <si>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</si>
  <si>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</si>
  <si>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</si>
  <si>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</si>
  <si>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</si>
  <si>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</si>
  <si>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</si>
  <si>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</si>
  <si>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</si>
  <si>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</si>
  <si>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</si>
  <si>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</si>
  <si>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</si>
  <si>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</si>
  <si>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</si>
  <si>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</si>
  <si>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</si>
  <si>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</si>
  <si>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</si>
  <si>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</si>
  <si>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</si>
  <si>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</si>
  <si>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</si>
  <si>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</si>
  <si>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</si>
  <si>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</si>
  <si>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</si>
  <si>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</si>
  <si>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</si>
  <si>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</si>
  <si>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</si>
  <si>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</si>
  <si>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</si>
  <si>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</si>
  <si>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</si>
  <si>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</si>
  <si>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</si>
  <si>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</si>
  <si>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</si>
  <si>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</si>
  <si>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</si>
  <si>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</si>
  <si>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</si>
  <si>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</si>
  <si>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</si>
  <si>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</si>
  <si>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</si>
  <si>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</si>
  <si>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</si>
  <si>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</si>
  <si>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</si>
  <si>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</si>
  <si>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</si>
  <si>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</si>
  <si>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</si>
  <si>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</si>
  <si>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</si>
  <si>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</si>
  <si>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</si>
  <si>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</si>
  <si>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</si>
  <si>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</si>
  <si>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</si>
  <si>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</si>
  <si>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</si>
  <si>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</si>
  <si>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</si>
  <si>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</si>
  <si>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</si>
  <si>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</si>
  <si>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</si>
  <si>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</si>
  <si>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</si>
  <si>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</si>
  <si>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</si>
  <si>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</si>
  <si>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</si>
  <si>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</si>
  <si>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</si>
  <si>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</si>
  <si>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</si>
  <si>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</si>
  <si>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</si>
  <si>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</si>
  <si>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</si>
  <si>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</si>
  <si>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</si>
  <si>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</si>
  <si>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</si>
  <si>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</si>
  <si>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</si>
  <si>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</si>
  <si>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</si>
  <si>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</si>
  <si>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</si>
  <si>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</si>
  <si>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</si>
  <si>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</si>
  <si>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</si>
  <si>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</si>
  <si>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</si>
  <si>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</si>
  <si>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</si>
  <si>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</si>
  <si>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</si>
  <si>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</si>
  <si>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</si>
  <si>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</si>
  <si>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</si>
  <si>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</si>
  <si>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</si>
  <si>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</si>
  <si>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</si>
  <si>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</si>
  <si>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</si>
  <si>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</si>
  <si>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</si>
  <si>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</si>
  <si>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</si>
  <si>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</si>
  <si>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</si>
  <si>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</si>
  <si>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</si>
  <si>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</si>
  <si>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</si>
  <si>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</si>
  <si>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</si>
  <si>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</si>
  <si>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</si>
  <si>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</si>
  <si>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</si>
  <si>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</si>
  <si>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</si>
  <si>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</si>
  <si>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</si>
  <si>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</si>
  <si>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</si>
  <si>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</si>
  <si>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</si>
  <si>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</si>
  <si>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</si>
  <si>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</si>
  <si>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</si>
  <si>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</si>
  <si>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</si>
  <si>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</si>
  <si>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</si>
  <si>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</si>
  <si>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</si>
  <si>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</si>
  <si>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</si>
  <si>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</si>
  <si>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</si>
  <si>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</si>
  <si>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</si>
  <si>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</si>
  <si>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</si>
  <si>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</si>
  <si>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</si>
  <si>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</si>
  <si>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</si>
  <si>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</si>
  <si>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</si>
  <si>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</si>
  <si>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</si>
  <si>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</si>
  <si>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</si>
  <si>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</si>
  <si>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</si>
  <si>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</si>
  <si>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</si>
  <si>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</si>
  <si>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</si>
  <si>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</si>
  <si>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</si>
  <si>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</si>
  <si>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</si>
  <si>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</si>
  <si>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</si>
  <si>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</si>
  <si>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</si>
  <si>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</si>
  <si>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</si>
  <si>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</si>
  <si>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</si>
  <si>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</si>
  <si>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t>按房产原值计税</t>
  </si>
  <si>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</si>
  <si>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</si>
  <si>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</si>
  <si>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</si>
  <si>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</si>
  <si>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</si>
  <si>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</si>
  <si>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</si>
  <si>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</si>
  <si>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</si>
  <si>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</si>
  <si>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</si>
  <si>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</si>
  <si>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</si>
  <si>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</si>
  <si>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</si>
  <si>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</si>
  <si>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</si>
  <si>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</si>
  <si>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</si>
  <si>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</si>
  <si>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</si>
  <si>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</si>
  <si>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</si>
  <si>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</si>
  <si>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</si>
  <si>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</si>
  <si>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</si>
  <si>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</si>
  <si>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</si>
  <si>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</si>
  <si>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</si>
  <si>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</si>
  <si>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</si>
  <si>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</si>
  <si>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</si>
  <si>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</si>
  <si>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</si>
  <si>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</si>
  <si>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</si>
  <si>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</si>
  <si>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</si>
  <si>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</si>
  <si>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</si>
  <si>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</si>
  <si>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</si>
  <si>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</si>
  <si>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</si>
  <si>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</si>
  <si>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</si>
  <si>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</si>
  <si>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</si>
  <si>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</si>
  <si>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</si>
  <si>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</si>
  <si>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</si>
  <si>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</si>
  <si>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</si>
  <si>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</si>
  <si>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</si>
  <si>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</si>
  <si>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</si>
  <si>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</si>
  <si>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</si>
  <si>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</si>
  <si>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</si>
  <si>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</si>
  <si>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</si>
  <si>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</si>
  <si>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</si>
  <si>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</si>
  <si>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</si>
  <si>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</si>
  <si>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</si>
  <si>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</si>
  <si>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</si>
  <si>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</si>
  <si>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</si>
  <si>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</si>
  <si>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</si>
  <si>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</si>
  <si>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</si>
  <si>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</si>
  <si>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</si>
  <si>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</si>
  <si>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</si>
  <si>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</si>
  <si>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</si>
  <si>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</si>
  <si>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</si>
  <si>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</si>
  <si>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</si>
  <si>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</si>
  <si>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</si>
  <si>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</si>
  <si>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</si>
  <si>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</si>
  <si>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</si>
  <si>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</si>
  <si>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</si>
  <si>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</si>
  <si>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</si>
  <si>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</si>
  <si>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</si>
  <si>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</si>
  <si>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</si>
  <si>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</si>
  <si>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</si>
  <si>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</si>
  <si>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</si>
  <si>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</si>
  <si>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</si>
  <si>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</si>
  <si>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</si>
  <si>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</si>
  <si>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</si>
  <si>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</si>
  <si>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</si>
  <si>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</si>
  <si>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</si>
  <si>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</si>
  <si>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</si>
  <si>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</si>
  <si>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</si>
  <si>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</si>
  <si>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</si>
  <si>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</si>
  <si>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</si>
  <si>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</si>
  <si>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</si>
  <si>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</si>
  <si>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</si>
  <si>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</si>
  <si>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</si>
  <si>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</si>
  <si>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</si>
  <si>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</si>
  <si>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</si>
  <si>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</si>
  <si>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</si>
  <si>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</si>
  <si>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</si>
  <si>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</si>
  <si>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</si>
  <si>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</si>
  <si>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</si>
  <si>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</si>
  <si>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</si>
  <si>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</si>
  <si>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</si>
  <si>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</si>
  <si>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</si>
  <si>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</si>
  <si>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</si>
  <si>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</si>
  <si>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</si>
  <si>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</si>
  <si>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</si>
  <si>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</si>
  <si>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</si>
  <si>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</si>
  <si>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</si>
  <si>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</si>
  <si>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</si>
  <si>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</si>
  <si>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</si>
  <si>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</si>
  <si>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</si>
  <si>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</si>
  <si>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</si>
  <si>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</si>
  <si>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</si>
  <si>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</si>
  <si>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</si>
  <si>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</si>
  <si>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</si>
  <si>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</si>
  <si>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</si>
  <si>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</si>
  <si>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</si>
  <si>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</si>
  <si>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</si>
  <si>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</si>
  <si>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</si>
  <si>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</si>
  <si>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</si>
  <si>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</si>
  <si>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</si>
  <si>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</si>
  <si>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</si>
  <si>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</si>
  <si>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</si>
  <si>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</si>
  <si>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</si>
  <si>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</si>
  <si>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</si>
  <si>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</si>
  <si>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</si>
  <si>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</si>
  <si>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</si>
  <si>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</si>
  <si>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</si>
  <si>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</si>
  <si>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</si>
  <si>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</si>
  <si>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</si>
  <si>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</si>
  <si>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</si>
  <si>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</si>
  <si>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</si>
  <si>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</si>
  <si>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</si>
  <si>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</si>
  <si>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</si>
  <si>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</si>
  <si>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</si>
  <si>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</si>
  <si>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</si>
  <si>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</si>
  <si>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</si>
  <si>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</si>
  <si>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</si>
  <si>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</si>
  <si>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</si>
  <si>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</si>
  <si>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</si>
  <si>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</si>
  <si>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</si>
  <si>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</si>
  <si>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</si>
  <si>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</si>
  <si>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</si>
  <si>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</si>
  <si>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</si>
  <si>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</si>
  <si>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</si>
  <si>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</si>
  <si>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</si>
  <si>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</si>
  <si>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</si>
  <si>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</si>
  <si>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</si>
  <si>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</si>
  <si>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</si>
  <si>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</si>
  <si>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</si>
  <si>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</si>
  <si>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</si>
  <si>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</si>
  <si>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</si>
  <si>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</si>
  <si>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</si>
  <si>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</si>
  <si>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</si>
  <si>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</si>
  <si>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</si>
  <si>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</si>
  <si>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</si>
  <si>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</si>
  <si>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</si>
  <si>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1"/>
        <rFont val="仿宋_GB2312"/>
        <family val="3"/>
        <charset val="134"/>
      </rPr>
      <t>估价对象名称</t>
    </r>
  </si>
  <si>
    <r>
      <rPr>
        <sz val="11"/>
        <rFont val="仿宋_GB2312"/>
        <family val="3"/>
        <charset val="134"/>
      </rPr>
      <t>项目位置</t>
    </r>
  </si>
  <si>
    <t>超高层</t>
    <phoneticPr fontId="231" type="noConversion"/>
  </si>
  <si>
    <t>洋房</t>
    <phoneticPr fontId="231" type="noConversion"/>
  </si>
  <si>
    <t>三通</t>
    <phoneticPr fontId="231" type="noConversion"/>
  </si>
  <si>
    <t>钢混</t>
    <phoneticPr fontId="231" type="noConversion"/>
  </si>
  <si>
    <t>高档</t>
  </si>
  <si>
    <t>高档</t>
    <phoneticPr fontId="231" type="noConversion"/>
  </si>
  <si>
    <t>中档</t>
  </si>
  <si>
    <t>中档</t>
    <phoneticPr fontId="231" type="noConversion"/>
  </si>
  <si>
    <t>抵档</t>
    <phoneticPr fontId="231" type="noConversion"/>
  </si>
  <si>
    <t>专业物业</t>
  </si>
  <si>
    <t>专业物业</t>
    <phoneticPr fontId="231" type="noConversion"/>
  </si>
  <si>
    <t>普通物业</t>
  </si>
  <si>
    <t>普通物业</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</si>
</sst>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_);[Red]\(0.0\)"/>
    <numFmt numFmtId="177" formatCode="0_ "/>
    <numFmt numFmtId="178" formatCode="0.000_);[Red]\(0.000\)"/>
    <numFmt numFmtId="179" formatCode="yyyy/m/d;@"/>
    <numFmt numFmtId="180" formatCode="0.0000_ "/>
    <numFmt numFmtId="181" formatCode="0.00_ "/>
    <numFmt numFmtId="182" formatCode="0_);[Red]\(0\)"/>
    <numFmt numFmtId="183" formatCode="0.0%"/>
    <numFmt numFmtId="184" formatCode="&quot;￥&quot;#,##0.00;[Red]\-&quot;￥&quot;#,##0.00"/>
    <numFmt numFmtId="185" formatCode="yyyy&quot;年&quot;m&quot;月&quot;d&quot;日&quot;;@"/>
    <numFmt numFmtId="186" formatCode="0.00_);[Red]\(0.00\)"/>
    <numFmt numFmtId="187" formatCode="yyyy&quot;年&quot;m&quot;月&quot;;@"/>
    <numFmt numFmtId="188" formatCode="0.0_ "/>
    <numFmt numFmtId="189" formatCode="0.000_ "/>
    <numFmt numFmtId="190" formatCode="[$-F800]dddd\,\ mmmm\ dd\,\ yyyy"/>
    <numFmt numFmtId="191" formatCode="0.000%"/>
    <numFmt numFmtId="192" formatCode="0_ ;[Red]\-0\ "/>
    <numFmt numFmtId="193" formatCode="0;_쐀"/>
    <numFmt numFmtId="194" formatCode="[DBNum1][$-804]General"/>
  </numFmts>
  <fonts count="23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b/>
      <sz val="20"/>
      <name val="Arial"/>
      <family val="2"/>
    </font>
    <font>
      <sz val="12"/>
      <color indexed="8"/>
      <name val="Arial"/>
      <family val="2"/>
    </font>
    <font>
      <b/>
      <sz val="10"/>
      <color indexed="8"/>
      <name val="仿宋_GB2312"/>
      <family val="3"/>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1"/>
      <color theme="1"/>
      <name val="微软雅黑"/>
      <family val="2"/>
      <charset val="134"/>
    </font>
    <font>
      <sz val="10"/>
      <color indexed="8"/>
      <name val="宋体"/>
      <family val="3"/>
      <charset val="134"/>
    </font>
    <font>
      <b/>
      <sz val="11"/>
      <color rgb="FFFF0000"/>
      <name val="宋体"/>
      <family val="3"/>
      <charset val="134"/>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indexed="8"/>
      <name val="宋体"/>
      <family val="3"/>
      <charset val="134"/>
    </font>
    <font>
      <sz val="11"/>
      <color indexed="8"/>
      <name val="Arial"/>
      <family val="2"/>
    </font>
    <font>
      <sz val="11"/>
      <color rgb="FFFF0000"/>
      <name val="仿宋_GB2312"/>
      <family val="3"/>
      <charset val="134"/>
    </font>
    <font>
      <sz val="12"/>
      <name val="仿宋_GB2312"/>
      <family val="3"/>
      <charset val="134"/>
    </font>
    <font>
      <sz val="11"/>
      <color rgb="FFFF0000"/>
      <name val="楷体_GB2312"/>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sz val="11"/>
      <name val="宋体"/>
      <family val="3"/>
      <charset val="134"/>
    </font>
    <font>
      <sz val="11"/>
      <color indexed="8"/>
      <name val="仿宋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1"/>
      <color rgb="FF000000"/>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sz val="10"/>
      <color rgb="FF70707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485"/>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230" fillId="0" borderId="0"/>
    <xf numFmtId="9" fontId="58" fillId="0" borderId="0" applyFont="0" applyFill="0" applyBorder="0" applyAlignment="0" applyProtection="0">
      <alignment vertical="center"/>
    </xf>
    <xf numFmtId="0" fontId="83" fillId="0" borderId="0">
      <alignment vertical="center"/>
    </xf>
    <xf numFmtId="0" fontId="83" fillId="0" borderId="0">
      <alignment vertical="center"/>
    </xf>
    <xf numFmtId="0" fontId="230" fillId="0" borderId="0"/>
    <xf numFmtId="0" fontId="230" fillId="0" borderId="0">
      <alignment vertical="center"/>
    </xf>
    <xf numFmtId="0" fontId="230" fillId="0" borderId="0">
      <alignment vertical="center"/>
    </xf>
    <xf numFmtId="0" fontId="83" fillId="0" borderId="0">
      <alignment vertical="center"/>
    </xf>
    <xf numFmtId="0" fontId="230" fillId="0" borderId="0">
      <alignment vertical="center"/>
    </xf>
    <xf numFmtId="0" fontId="230" fillId="0" borderId="0">
      <alignment vertical="center"/>
    </xf>
    <xf numFmtId="0" fontId="17" fillId="0" borderId="0"/>
    <xf numFmtId="0" fontId="230" fillId="0" borderId="0">
      <alignment vertical="center"/>
    </xf>
    <xf numFmtId="0" fontId="230" fillId="0" borderId="0"/>
    <xf numFmtId="0" fontId="58" fillId="0" borderId="0"/>
    <xf numFmtId="0" fontId="230" fillId="0" borderId="0">
      <alignment vertical="center"/>
    </xf>
    <xf numFmtId="0" fontId="230" fillId="0" borderId="0">
      <alignment vertical="center"/>
    </xf>
  </cellStyleXfs>
  <cellXfs count="3480">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9"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1"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6"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2"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5"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5"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5"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7" fontId="27" fillId="2" borderId="56" xfId="0" applyNumberFormat="1"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6"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6"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6"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76"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76" fontId="31" fillId="2" borderId="11" xfId="0" applyNumberFormat="1" applyFont="1" applyFill="1" applyBorder="1" applyAlignment="1" applyProtection="1">
      <alignment horizontal="center" vertical="center" wrapText="1"/>
    </xf>
    <xf numFmtId="17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6"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76"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76"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78"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7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6"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6"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2" fillId="3" borderId="14" xfId="12" applyFont="1" applyFill="1" applyBorder="1" applyAlignment="1" applyProtection="1">
      <alignment vertical="center"/>
      <protection locked="0"/>
    </xf>
    <xf numFmtId="0" fontId="53" fillId="2" borderId="10" xfId="12" applyFont="1" applyFill="1" applyBorder="1" applyAlignment="1" applyProtection="1">
      <alignment vertical="center"/>
    </xf>
    <xf numFmtId="177"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1"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54" fillId="2" borderId="10" xfId="12" applyFont="1" applyFill="1" applyBorder="1" applyAlignment="1" applyProtection="1">
      <alignment vertical="center"/>
    </xf>
    <xf numFmtId="177" fontId="54" fillId="2" borderId="1" xfId="12" applyNumberFormat="1" applyFont="1" applyFill="1" applyBorder="1" applyAlignment="1" applyProtection="1">
      <alignment horizontal="center" vertical="center"/>
    </xf>
    <xf numFmtId="177" fontId="54" fillId="2" borderId="1" xfId="12" applyNumberFormat="1" applyFont="1" applyFill="1" applyBorder="1" applyAlignment="1" applyProtection="1">
      <alignment vertical="center"/>
    </xf>
    <xf numFmtId="0" fontId="55"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1"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60" fillId="0" borderId="0" xfId="4" applyFont="1">
      <alignment vertical="center"/>
    </xf>
    <xf numFmtId="0" fontId="60" fillId="0" borderId="91" xfId="4" applyFont="1" applyBorder="1">
      <alignment vertical="center"/>
    </xf>
    <xf numFmtId="0" fontId="60" fillId="9" borderId="0" xfId="4" applyFont="1" applyFill="1">
      <alignment vertical="center"/>
    </xf>
    <xf numFmtId="0" fontId="60" fillId="0" borderId="0" xfId="4" applyFont="1" applyFill="1">
      <alignment vertical="center"/>
    </xf>
    <xf numFmtId="0" fontId="60" fillId="10" borderId="0" xfId="4" applyFont="1" applyFill="1">
      <alignment vertical="center"/>
    </xf>
    <xf numFmtId="0" fontId="61" fillId="10" borderId="0" xfId="4" applyFont="1" applyFill="1">
      <alignment vertical="center"/>
    </xf>
    <xf numFmtId="0" fontId="62" fillId="3" borderId="0" xfId="4" applyFont="1" applyFill="1">
      <alignment vertical="center"/>
    </xf>
    <xf numFmtId="0" fontId="62" fillId="0" borderId="17" xfId="4" applyFont="1" applyBorder="1">
      <alignment vertical="center"/>
    </xf>
    <xf numFmtId="0" fontId="63" fillId="0" borderId="0" xfId="4" applyFont="1">
      <alignment vertical="center"/>
    </xf>
    <xf numFmtId="0" fontId="62" fillId="0" borderId="0" xfId="4" applyFont="1">
      <alignment vertical="center"/>
    </xf>
    <xf numFmtId="0" fontId="62" fillId="0" borderId="92" xfId="4" applyFont="1" applyBorder="1">
      <alignment vertical="center"/>
    </xf>
    <xf numFmtId="0" fontId="60" fillId="0" borderId="0" xfId="4" applyFont="1" applyAlignment="1">
      <alignment horizontal="center" vertical="center"/>
    </xf>
    <xf numFmtId="0" fontId="65" fillId="2" borderId="91" xfId="7" applyFont="1" applyFill="1" applyBorder="1" applyAlignment="1" applyProtection="1">
      <alignment horizontal="center" vertical="center"/>
    </xf>
    <xf numFmtId="0" fontId="66" fillId="2" borderId="91" xfId="7" applyFont="1" applyFill="1" applyBorder="1" applyAlignment="1" applyProtection="1">
      <alignment horizontal="center" vertical="center"/>
    </xf>
    <xf numFmtId="0" fontId="60" fillId="0" borderId="93" xfId="4" applyFont="1" applyBorder="1" applyAlignment="1">
      <alignment vertical="center"/>
    </xf>
    <xf numFmtId="0" fontId="60" fillId="0" borderId="9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66" fillId="9" borderId="0" xfId="7" applyFont="1" applyFill="1" applyAlignment="1" applyProtection="1">
      <alignment horizontal="center" vertical="center"/>
    </xf>
    <xf numFmtId="0" fontId="60" fillId="9" borderId="92" xfId="4" applyFont="1" applyFill="1" applyBorder="1" applyAlignment="1">
      <alignment horizontal="center" vertical="center"/>
    </xf>
    <xf numFmtId="0" fontId="60"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66" fillId="0" borderId="0" xfId="7" applyFont="1" applyFill="1" applyAlignment="1" applyProtection="1">
      <alignment horizontal="center" vertical="center"/>
    </xf>
    <xf numFmtId="0" fontId="60" fillId="0" borderId="92" xfId="4" applyFont="1" applyFill="1" applyBorder="1" applyAlignment="1">
      <alignment horizontal="center" vertical="center"/>
    </xf>
    <xf numFmtId="0" fontId="60" fillId="0" borderId="0" xfId="4" applyFont="1" applyFill="1" applyBorder="1" applyAlignment="1">
      <alignment horizontal="center" vertical="center"/>
    </xf>
    <xf numFmtId="49" fontId="17" fillId="10" borderId="1" xfId="4" applyNumberFormat="1" applyFont="1" applyFill="1" applyBorder="1" applyAlignment="1" applyProtection="1">
      <alignment horizontal="center" vertical="center" wrapText="1"/>
    </xf>
    <xf numFmtId="182" fontId="61" fillId="10" borderId="0" xfId="4" applyNumberFormat="1" applyFont="1" applyFill="1" applyBorder="1" applyAlignment="1">
      <alignment horizontal="center" vertical="center"/>
    </xf>
    <xf numFmtId="0" fontId="67" fillId="10" borderId="9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2" fontId="62" fillId="0" borderId="0" xfId="4" applyNumberFormat="1" applyFont="1" applyAlignment="1">
      <alignment horizontal="center" vertical="center"/>
    </xf>
    <xf numFmtId="0" fontId="67" fillId="12" borderId="94" xfId="4" applyFont="1" applyFill="1" applyBorder="1" applyAlignment="1" applyProtection="1">
      <alignment horizontal="center" vertical="center" wrapText="1"/>
    </xf>
    <xf numFmtId="182" fontId="60" fillId="11" borderId="97" xfId="8" applyNumberFormat="1" applyFont="1" applyFill="1" applyBorder="1" applyAlignment="1">
      <alignment horizontal="center" vertical="center" wrapText="1"/>
    </xf>
    <xf numFmtId="182" fontId="60" fillId="11" borderId="98" xfId="8" applyNumberFormat="1" applyFont="1" applyFill="1" applyBorder="1" applyAlignment="1">
      <alignment horizontal="center" vertical="center" wrapText="1"/>
    </xf>
    <xf numFmtId="0" fontId="67" fillId="11" borderId="97" xfId="4" applyFont="1" applyFill="1" applyBorder="1" applyAlignment="1" applyProtection="1">
      <alignment horizontal="center" vertical="center" wrapText="1"/>
    </xf>
    <xf numFmtId="0" fontId="67" fillId="11" borderId="94" xfId="4" applyFont="1" applyFill="1" applyBorder="1" applyAlignment="1" applyProtection="1">
      <alignment horizontal="center" vertical="center" wrapText="1"/>
    </xf>
    <xf numFmtId="182" fontId="60" fillId="11" borderId="97" xfId="4" applyNumberFormat="1" applyFont="1" applyFill="1" applyBorder="1" applyAlignment="1">
      <alignment horizontal="center" vertical="center" wrapText="1"/>
    </xf>
    <xf numFmtId="182" fontId="60" fillId="11" borderId="98" xfId="4" applyNumberFormat="1" applyFont="1" applyFill="1" applyBorder="1" applyAlignment="1">
      <alignment horizontal="center" vertical="center" wrapText="1"/>
    </xf>
    <xf numFmtId="0" fontId="67" fillId="11" borderId="102" xfId="4" applyFont="1" applyFill="1" applyBorder="1" applyAlignment="1" applyProtection="1">
      <alignment horizontal="center" vertical="center" wrapText="1"/>
    </xf>
    <xf numFmtId="0" fontId="67" fillId="12" borderId="97" xfId="4" applyFont="1" applyFill="1" applyBorder="1" applyAlignment="1" applyProtection="1">
      <alignment horizontal="center" vertical="center" wrapText="1"/>
    </xf>
    <xf numFmtId="182" fontId="60" fillId="11" borderId="94" xfId="4" applyNumberFormat="1" applyFont="1" applyFill="1" applyBorder="1" applyAlignment="1">
      <alignment horizontal="center" vertical="center" wrapText="1"/>
    </xf>
    <xf numFmtId="182" fontId="60" fillId="11" borderId="103" xfId="4" applyNumberFormat="1" applyFont="1" applyFill="1" applyBorder="1" applyAlignment="1">
      <alignment horizontal="center" vertical="center" wrapText="1"/>
    </xf>
    <xf numFmtId="0" fontId="62" fillId="12" borderId="97"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2" fontId="62" fillId="3" borderId="0" xfId="4" applyNumberFormat="1" applyFont="1" applyFill="1" applyAlignment="1">
      <alignment horizontal="center" vertical="center"/>
    </xf>
    <xf numFmtId="0" fontId="62" fillId="3" borderId="94" xfId="4" applyFont="1" applyFill="1" applyBorder="1" applyAlignment="1" applyProtection="1">
      <alignment horizontal="center" vertical="center" wrapText="1"/>
    </xf>
    <xf numFmtId="0" fontId="62" fillId="11" borderId="102" xfId="4" applyFont="1" applyFill="1" applyBorder="1" applyAlignment="1" applyProtection="1">
      <alignment horizontal="center" vertical="center" wrapText="1"/>
    </xf>
    <xf numFmtId="182" fontId="60" fillId="11" borderId="102" xfId="4" applyNumberFormat="1" applyFont="1" applyFill="1" applyBorder="1" applyAlignment="1">
      <alignment horizontal="center" vertical="center" wrapText="1"/>
    </xf>
    <xf numFmtId="182" fontId="60" fillId="11" borderId="104" xfId="4" applyNumberFormat="1" applyFont="1" applyFill="1" applyBorder="1" applyAlignment="1">
      <alignment horizontal="center" vertical="center" wrapText="1"/>
    </xf>
    <xf numFmtId="182" fontId="62" fillId="10" borderId="0" xfId="4" applyNumberFormat="1" applyFont="1" applyFill="1" applyAlignment="1">
      <alignment horizontal="center" vertical="center"/>
    </xf>
    <xf numFmtId="182" fontId="62" fillId="0" borderId="17" xfId="4" applyNumberFormat="1" applyFont="1" applyBorder="1" applyAlignment="1">
      <alignment horizontal="center" vertical="center"/>
    </xf>
    <xf numFmtId="0" fontId="67" fillId="12" borderId="105" xfId="4" applyFont="1" applyFill="1" applyBorder="1" applyAlignment="1" applyProtection="1">
      <alignment horizontal="center" vertical="center" wrapText="1"/>
    </xf>
    <xf numFmtId="0" fontId="67" fillId="11" borderId="106" xfId="4" applyFont="1" applyFill="1" applyBorder="1" applyAlignment="1" applyProtection="1">
      <alignment horizontal="center" vertical="center" wrapText="1"/>
    </xf>
    <xf numFmtId="0" fontId="61" fillId="9" borderId="0" xfId="8" applyFont="1" applyFill="1" applyBorder="1" applyAlignment="1" applyProtection="1">
      <alignment horizontal="center" vertical="center"/>
      <protection locked="0"/>
    </xf>
    <xf numFmtId="0" fontId="60" fillId="9" borderId="0" xfId="4" applyFont="1" applyFill="1" applyAlignment="1">
      <alignment horizontal="center" vertical="center"/>
    </xf>
    <xf numFmtId="0" fontId="60" fillId="0" borderId="0" xfId="4" applyFont="1" applyFill="1" applyBorder="1" applyAlignment="1" applyProtection="1">
      <alignment horizontal="center" vertical="center"/>
      <protection locked="0"/>
    </xf>
    <xf numFmtId="0" fontId="60" fillId="0" borderId="0" xfId="4" applyFont="1" applyFill="1" applyAlignment="1">
      <alignment horizontal="center" vertical="center"/>
    </xf>
    <xf numFmtId="0" fontId="61" fillId="10" borderId="0" xfId="4" applyFont="1" applyFill="1" applyBorder="1" applyAlignment="1" applyProtection="1">
      <alignment horizontal="center" vertical="center"/>
      <protection locked="0"/>
    </xf>
    <xf numFmtId="10" fontId="61" fillId="10" borderId="107" xfId="4" applyNumberFormat="1" applyFont="1" applyFill="1" applyBorder="1" applyAlignment="1">
      <alignment vertical="center"/>
    </xf>
    <xf numFmtId="0" fontId="67" fillId="11" borderId="97" xfId="8" applyFont="1" applyFill="1" applyBorder="1" applyAlignment="1" applyProtection="1">
      <alignment horizontal="center" vertical="center" wrapText="1"/>
    </xf>
    <xf numFmtId="0" fontId="67" fillId="11" borderId="108" xfId="8" applyFont="1" applyFill="1" applyBorder="1" applyAlignment="1" applyProtection="1">
      <alignment horizontal="center" vertical="center" wrapText="1"/>
    </xf>
    <xf numFmtId="10" fontId="62" fillId="0" borderId="92" xfId="4" applyNumberFormat="1" applyFont="1" applyBorder="1">
      <alignment vertical="center"/>
    </xf>
    <xf numFmtId="10" fontId="62" fillId="0" borderId="0" xfId="4" applyNumberFormat="1" applyFont="1">
      <alignment vertical="center"/>
    </xf>
    <xf numFmtId="0" fontId="67" fillId="12" borderId="109" xfId="4" applyFont="1" applyFill="1" applyBorder="1" applyAlignment="1" applyProtection="1">
      <alignment horizontal="center" vertical="center" wrapText="1"/>
    </xf>
    <xf numFmtId="0" fontId="67" fillId="11" borderId="108" xfId="4" applyFont="1" applyFill="1" applyBorder="1" applyAlignment="1" applyProtection="1">
      <alignment horizontal="center" vertical="center" wrapText="1"/>
    </xf>
    <xf numFmtId="10" fontId="62" fillId="0" borderId="110" xfId="4" applyNumberFormat="1" applyFont="1" applyBorder="1">
      <alignment vertical="center"/>
    </xf>
    <xf numFmtId="10" fontId="62" fillId="0" borderId="54" xfId="4" applyNumberFormat="1" applyFont="1" applyBorder="1">
      <alignment vertical="center"/>
    </xf>
    <xf numFmtId="10" fontId="62" fillId="0" borderId="0" xfId="4" applyNumberFormat="1" applyFont="1" applyBorder="1">
      <alignment vertical="center"/>
    </xf>
    <xf numFmtId="0" fontId="67" fillId="11" borderId="109" xfId="4" applyFont="1" applyFill="1" applyBorder="1" applyAlignment="1" applyProtection="1">
      <alignment horizontal="center" vertical="center" wrapText="1"/>
    </xf>
    <xf numFmtId="10" fontId="62" fillId="0" borderId="107" xfId="4" applyNumberFormat="1" applyFont="1" applyBorder="1">
      <alignment vertical="center"/>
    </xf>
    <xf numFmtId="10" fontId="62" fillId="0" borderId="89" xfId="4" applyNumberFormat="1" applyFont="1" applyBorder="1">
      <alignment vertical="center"/>
    </xf>
    <xf numFmtId="0" fontId="67" fillId="11" borderId="111" xfId="4" applyFont="1" applyFill="1" applyBorder="1" applyAlignment="1" applyProtection="1">
      <alignment horizontal="center" vertical="center" wrapText="1"/>
    </xf>
    <xf numFmtId="0" fontId="67" fillId="12" borderId="108" xfId="4" applyFont="1" applyFill="1" applyBorder="1" applyAlignment="1" applyProtection="1">
      <alignment horizontal="center" vertical="center" wrapText="1"/>
    </xf>
    <xf numFmtId="0" fontId="62" fillId="12" borderId="108" xfId="4" applyFont="1" applyFill="1" applyBorder="1" applyAlignment="1" applyProtection="1">
      <alignment horizontal="center" vertical="center" wrapText="1"/>
    </xf>
    <xf numFmtId="0" fontId="62" fillId="3" borderId="109" xfId="4" applyFont="1" applyFill="1" applyBorder="1" applyAlignment="1" applyProtection="1">
      <alignment horizontal="center" vertical="center" wrapText="1"/>
    </xf>
    <xf numFmtId="10" fontId="62" fillId="3" borderId="92" xfId="4" applyNumberFormat="1" applyFont="1" applyFill="1" applyBorder="1">
      <alignment vertical="center"/>
    </xf>
    <xf numFmtId="10" fontId="62" fillId="3" borderId="0" xfId="4" applyNumberFormat="1" applyFont="1" applyFill="1">
      <alignment vertical="center"/>
    </xf>
    <xf numFmtId="0" fontId="62" fillId="11" borderId="111" xfId="4" applyFont="1" applyFill="1" applyBorder="1" applyAlignment="1" applyProtection="1">
      <alignment horizontal="center" vertical="center" wrapText="1"/>
    </xf>
    <xf numFmtId="0" fontId="67" fillId="12" borderId="112" xfId="4" applyFont="1" applyFill="1" applyBorder="1" applyAlignment="1" applyProtection="1">
      <alignment horizontal="center" vertical="center" wrapText="1"/>
    </xf>
    <xf numFmtId="10" fontId="62" fillId="0" borderId="113" xfId="4" applyNumberFormat="1" applyFont="1" applyBorder="1">
      <alignment vertical="center"/>
    </xf>
    <xf numFmtId="10" fontId="62" fillId="0" borderId="17" xfId="4" applyNumberFormat="1" applyFont="1" applyBorder="1">
      <alignment vertical="center"/>
    </xf>
    <xf numFmtId="0" fontId="67" fillId="11" borderId="114" xfId="4" applyFont="1" applyFill="1" applyBorder="1" applyAlignment="1" applyProtection="1">
      <alignment horizontal="center" vertical="center" wrapText="1"/>
    </xf>
    <xf numFmtId="10" fontId="62" fillId="13" borderId="92" xfId="4" applyNumberFormat="1" applyFont="1" applyFill="1" applyBorder="1">
      <alignment vertical="center"/>
    </xf>
    <xf numFmtId="10" fontId="62" fillId="13" borderId="0" xfId="4" applyNumberFormat="1" applyFont="1" applyFill="1">
      <alignment vertical="center"/>
    </xf>
    <xf numFmtId="10" fontId="62" fillId="13" borderId="107" xfId="4" applyNumberFormat="1" applyFont="1" applyFill="1" applyBorder="1">
      <alignment vertical="center"/>
    </xf>
    <xf numFmtId="10" fontId="62" fillId="13" borderId="89" xfId="4" applyNumberFormat="1" applyFont="1" applyFill="1" applyBorder="1">
      <alignment vertical="center"/>
    </xf>
    <xf numFmtId="0" fontId="60" fillId="0" borderId="91" xfId="4" applyFont="1" applyBorder="1" applyAlignment="1">
      <alignment horizontal="center" vertical="center"/>
    </xf>
    <xf numFmtId="0" fontId="11" fillId="9" borderId="0" xfId="8" applyFont="1" applyFill="1">
      <alignment vertical="center"/>
    </xf>
    <xf numFmtId="0" fontId="62" fillId="9" borderId="0" xfId="4" applyFont="1" applyFill="1" applyAlignment="1">
      <alignment horizontal="center" vertical="center"/>
    </xf>
    <xf numFmtId="0" fontId="60" fillId="0" borderId="0" xfId="8" applyFont="1" applyFill="1">
      <alignment vertical="center"/>
    </xf>
    <xf numFmtId="0" fontId="62" fillId="0" borderId="0" xfId="4" applyFont="1" applyAlignment="1">
      <alignment horizontal="center" vertical="center"/>
    </xf>
    <xf numFmtId="0" fontId="60" fillId="10" borderId="0" xfId="4" applyFont="1" applyFill="1" applyAlignment="1">
      <alignment horizontal="center" vertical="center"/>
    </xf>
    <xf numFmtId="0" fontId="60" fillId="10" borderId="92" xfId="4" applyFont="1" applyFill="1" applyBorder="1" applyAlignment="1">
      <alignment horizontal="center" vertical="center"/>
    </xf>
    <xf numFmtId="0" fontId="63" fillId="3" borderId="0" xfId="8" applyFont="1" applyFill="1">
      <alignment vertical="center"/>
    </xf>
    <xf numFmtId="0" fontId="62" fillId="10" borderId="0" xfId="4" applyFont="1" applyFill="1" applyAlignment="1">
      <alignment horizontal="center" vertical="center"/>
    </xf>
    <xf numFmtId="177" fontId="62" fillId="0" borderId="0" xfId="4" applyNumberFormat="1" applyFont="1">
      <alignment vertical="center"/>
    </xf>
    <xf numFmtId="183" fontId="62" fillId="0" borderId="92" xfId="4" applyNumberFormat="1" applyFont="1" applyBorder="1">
      <alignment vertical="center"/>
    </xf>
    <xf numFmtId="183" fontId="62" fillId="0" borderId="0" xfId="4" applyNumberFormat="1" applyFont="1">
      <alignment vertical="center"/>
    </xf>
    <xf numFmtId="177" fontId="62" fillId="3" borderId="0" xfId="4" applyNumberFormat="1" applyFont="1" applyFill="1">
      <alignment vertical="center"/>
    </xf>
    <xf numFmtId="10" fontId="62" fillId="3" borderId="107" xfId="4" applyNumberFormat="1" applyFont="1" applyFill="1" applyBorder="1">
      <alignment vertical="center"/>
    </xf>
    <xf numFmtId="10" fontId="62" fillId="3" borderId="89" xfId="4" applyNumberFormat="1" applyFont="1" applyFill="1" applyBorder="1">
      <alignment vertical="center"/>
    </xf>
    <xf numFmtId="0" fontId="6" fillId="3" borderId="0" xfId="4" applyFont="1" applyFill="1">
      <alignment vertical="center"/>
    </xf>
    <xf numFmtId="0" fontId="62" fillId="3" borderId="0" xfId="4" applyNumberFormat="1" applyFont="1" applyFill="1" applyAlignment="1">
      <alignment horizontal="center" vertical="center"/>
    </xf>
    <xf numFmtId="14" fontId="62" fillId="0" borderId="0" xfId="4" applyNumberFormat="1" applyFont="1">
      <alignment vertical="center"/>
    </xf>
    <xf numFmtId="0" fontId="62" fillId="0" borderId="0" xfId="4" applyNumberFormat="1" applyFont="1" applyAlignment="1">
      <alignment horizontal="center" vertical="center"/>
    </xf>
    <xf numFmtId="10" fontId="62" fillId="0" borderId="0" xfId="4" applyNumberFormat="1" applyFont="1" applyAlignment="1">
      <alignment horizontal="center" vertical="center"/>
    </xf>
    <xf numFmtId="177" fontId="62" fillId="0" borderId="17" xfId="4" applyNumberFormat="1" applyFont="1" applyBorder="1">
      <alignment vertical="center"/>
    </xf>
    <xf numFmtId="10" fontId="62" fillId="0" borderId="17" xfId="4" applyNumberFormat="1" applyFont="1" applyBorder="1" applyAlignment="1">
      <alignment horizontal="center" vertical="center"/>
    </xf>
    <xf numFmtId="188" fontId="62" fillId="0" borderId="0" xfId="4" applyNumberFormat="1" applyFont="1" applyAlignment="1">
      <alignment horizontal="center" vertical="center"/>
    </xf>
    <xf numFmtId="10" fontId="62" fillId="9" borderId="0" xfId="4" applyNumberFormat="1" applyFont="1" applyFill="1" applyAlignment="1">
      <alignment horizontal="center" vertical="center"/>
    </xf>
    <xf numFmtId="10" fontId="62" fillId="10" borderId="0" xfId="4" applyNumberFormat="1" applyFont="1" applyFill="1" applyAlignment="1">
      <alignment horizontal="center" vertical="center"/>
    </xf>
    <xf numFmtId="10" fontId="62" fillId="3" borderId="0" xfId="4" applyNumberFormat="1" applyFont="1" applyFill="1" applyAlignment="1">
      <alignment horizontal="center" vertical="center"/>
    </xf>
    <xf numFmtId="0" fontId="6" fillId="0" borderId="0" xfId="4" applyFont="1">
      <alignment vertical="center"/>
    </xf>
    <xf numFmtId="0" fontId="60" fillId="12" borderId="115" xfId="4" applyFont="1" applyFill="1" applyBorder="1" applyAlignment="1">
      <alignment horizontal="center" vertical="center" wrapText="1"/>
    </xf>
    <xf numFmtId="0" fontId="60" fillId="12" borderId="116" xfId="4" applyFont="1" applyFill="1" applyBorder="1" applyAlignment="1">
      <alignment horizontal="center" vertical="center" wrapText="1"/>
    </xf>
    <xf numFmtId="177" fontId="62" fillId="13" borderId="0" xfId="4" applyNumberFormat="1" applyFont="1" applyFill="1" applyAlignment="1">
      <alignment horizontal="center" vertical="center"/>
    </xf>
    <xf numFmtId="0" fontId="67" fillId="12" borderId="102" xfId="4" applyFont="1" applyFill="1" applyBorder="1" applyAlignment="1" applyProtection="1">
      <alignment horizontal="center" vertical="center" wrapText="1"/>
    </xf>
    <xf numFmtId="0" fontId="60" fillId="11" borderId="102" xfId="4" applyFont="1" applyFill="1" applyBorder="1" applyAlignment="1">
      <alignment horizontal="center" vertical="center" wrapText="1"/>
    </xf>
    <xf numFmtId="0" fontId="60" fillId="11" borderId="104" xfId="4" applyFont="1" applyFill="1" applyBorder="1" applyAlignment="1">
      <alignment horizontal="center" vertical="center" wrapText="1"/>
    </xf>
    <xf numFmtId="177" fontId="62" fillId="3" borderId="0" xfId="4" applyNumberFormat="1" applyFont="1" applyFill="1" applyAlignment="1">
      <alignment horizontal="center" vertical="center"/>
    </xf>
    <xf numFmtId="0" fontId="67" fillId="3" borderId="94" xfId="4" applyFont="1" applyFill="1" applyBorder="1" applyAlignment="1" applyProtection="1">
      <alignment horizontal="center" vertical="center" wrapText="1"/>
    </xf>
    <xf numFmtId="0" fontId="60" fillId="11" borderId="117" xfId="4" applyFont="1" applyFill="1" applyBorder="1" applyAlignment="1">
      <alignment horizontal="center" vertical="center" wrapText="1"/>
    </xf>
    <xf numFmtId="0" fontId="60" fillId="11" borderId="118" xfId="4" applyFont="1" applyFill="1" applyBorder="1" applyAlignment="1">
      <alignment horizontal="center" vertical="center" wrapText="1"/>
    </xf>
    <xf numFmtId="0" fontId="60" fillId="11" borderId="119" xfId="4" applyFont="1" applyFill="1" applyBorder="1" applyAlignment="1">
      <alignment horizontal="center" vertical="center" wrapText="1"/>
    </xf>
    <xf numFmtId="0" fontId="13" fillId="0" borderId="0" xfId="4" applyFont="1">
      <alignment vertical="center"/>
    </xf>
    <xf numFmtId="0" fontId="63" fillId="0" borderId="92" xfId="4" applyFont="1" applyBorder="1">
      <alignment vertical="center"/>
    </xf>
    <xf numFmtId="10" fontId="62" fillId="13" borderId="113" xfId="4" applyNumberFormat="1" applyFont="1" applyFill="1" applyBorder="1">
      <alignment vertical="center"/>
    </xf>
    <xf numFmtId="10" fontId="62" fillId="13" borderId="17" xfId="4" applyNumberFormat="1" applyFont="1" applyFill="1" applyBorder="1">
      <alignment vertical="center"/>
    </xf>
    <xf numFmtId="189" fontId="62" fillId="0" borderId="0" xfId="4" applyNumberFormat="1" applyFont="1" applyAlignment="1">
      <alignment horizontal="center" vertical="center"/>
    </xf>
    <xf numFmtId="189" fontId="62" fillId="0" borderId="92" xfId="4" applyNumberFormat="1" applyFont="1" applyBorder="1" applyAlignment="1">
      <alignment horizontal="center" vertical="center"/>
    </xf>
    <xf numFmtId="189" fontId="62" fillId="3" borderId="0" xfId="4" applyNumberFormat="1" applyFont="1" applyFill="1" applyAlignment="1">
      <alignment horizontal="center" vertical="center"/>
    </xf>
    <xf numFmtId="0" fontId="62" fillId="3" borderId="92" xfId="4" applyFont="1" applyFill="1" applyBorder="1">
      <alignment vertical="center"/>
    </xf>
    <xf numFmtId="189" fontId="63" fillId="0" borderId="0" xfId="4" applyNumberFormat="1" applyFont="1" applyAlignment="1">
      <alignment horizontal="center" vertical="center"/>
    </xf>
    <xf numFmtId="189" fontId="63" fillId="0" borderId="92" xfId="4" applyNumberFormat="1" applyFont="1" applyBorder="1" applyAlignment="1">
      <alignment horizontal="center" vertical="center"/>
    </xf>
    <xf numFmtId="188" fontId="62" fillId="0" borderId="17" xfId="4" applyNumberFormat="1" applyFont="1" applyBorder="1" applyAlignment="1">
      <alignment horizontal="center" vertical="center"/>
    </xf>
    <xf numFmtId="188" fontId="62" fillId="3" borderId="0" xfId="4" applyNumberFormat="1" applyFont="1" applyFill="1" applyAlignment="1">
      <alignment horizontal="center" vertical="center"/>
    </xf>
    <xf numFmtId="0" fontId="67" fillId="12" borderId="120" xfId="4" applyFont="1" applyFill="1" applyBorder="1" applyAlignment="1">
      <alignment horizontal="center" vertical="center" wrapText="1"/>
    </xf>
    <xf numFmtId="0" fontId="67" fillId="12" borderId="97" xfId="4" applyFont="1" applyFill="1" applyBorder="1" applyAlignment="1">
      <alignment horizontal="center" vertical="center" wrapText="1"/>
    </xf>
    <xf numFmtId="0" fontId="67" fillId="11" borderId="121" xfId="4" applyFont="1" applyFill="1" applyBorder="1" applyAlignment="1">
      <alignment horizontal="center" vertical="center" wrapText="1"/>
    </xf>
    <xf numFmtId="0" fontId="67" fillId="11" borderId="94" xfId="4" applyFont="1" applyFill="1" applyBorder="1" applyAlignment="1">
      <alignment horizontal="center" vertical="center" wrapText="1"/>
    </xf>
    <xf numFmtId="0" fontId="67" fillId="12" borderId="121" xfId="4" applyFont="1" applyFill="1" applyBorder="1" applyAlignment="1">
      <alignment horizontal="center" vertical="center" wrapText="1"/>
    </xf>
    <xf numFmtId="0" fontId="67" fillId="12" borderId="94" xfId="4" applyFont="1" applyFill="1" applyBorder="1" applyAlignment="1">
      <alignment horizontal="center" vertical="center" wrapText="1"/>
    </xf>
    <xf numFmtId="0" fontId="67" fillId="11" borderId="122" xfId="4" applyFont="1" applyFill="1" applyBorder="1" applyAlignment="1">
      <alignment horizontal="center" vertical="center" wrapText="1"/>
    </xf>
    <xf numFmtId="0" fontId="67" fillId="11" borderId="102" xfId="4" applyFont="1" applyFill="1" applyBorder="1" applyAlignment="1">
      <alignment horizontal="center" vertical="center" wrapText="1"/>
    </xf>
    <xf numFmtId="0" fontId="2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45" fillId="0" borderId="0" xfId="0" applyNumberFormat="1"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left" vertical="center"/>
      <protection locked="0"/>
    </xf>
    <xf numFmtId="49" fontId="34"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3" fillId="5" borderId="123" xfId="0" applyNumberFormat="1" applyFont="1" applyFill="1" applyBorder="1" applyAlignment="1" applyProtection="1">
      <alignment horizontal="left"/>
      <protection locked="0"/>
    </xf>
    <xf numFmtId="0" fontId="26" fillId="2"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49" fontId="35" fillId="2" borderId="0" xfId="0" applyNumberFormat="1" applyFont="1" applyFill="1" applyBorder="1" applyAlignment="1" applyProtection="1">
      <alignment horizont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0" fontId="16" fillId="2" borderId="35" xfId="0" applyFont="1" applyFill="1" applyBorder="1" applyAlignment="1" applyProtection="1">
      <alignment vertical="center"/>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124" xfId="0" applyNumberFormat="1" applyFont="1" applyFill="1" applyBorder="1" applyAlignment="1" applyProtection="1">
      <alignment vertical="center"/>
    </xf>
    <xf numFmtId="0" fontId="24" fillId="2" borderId="125"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124"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0" fontId="16" fillId="2" borderId="9" xfId="0" applyFont="1" applyFill="1" applyBorder="1" applyAlignment="1" applyProtection="1">
      <alignment horizontal="left" vertical="center"/>
    </xf>
    <xf numFmtId="183" fontId="16" fillId="2" borderId="5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left" vertical="center"/>
    </xf>
    <xf numFmtId="0" fontId="16" fillId="2" borderId="1" xfId="0" applyFont="1" applyFill="1" applyBorder="1" applyAlignment="1" applyProtection="1">
      <alignment horizontal="lef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0" fontId="73" fillId="2" borderId="10" xfId="0"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16" fillId="2" borderId="124" xfId="0" applyNumberFormat="1" applyFont="1" applyFill="1" applyBorder="1" applyAlignment="1" applyProtection="1">
      <alignment horizontal="left"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49" fontId="16" fillId="2" borderId="22" xfId="0" applyNumberFormat="1" applyFont="1" applyFill="1" applyBorder="1" applyAlignment="1" applyProtection="1">
      <alignment vertical="center"/>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7" fillId="2" borderId="1" xfId="0" applyFont="1" applyFill="1" applyBorder="1" applyAlignment="1" applyProtection="1"/>
    <xf numFmtId="0" fontId="21" fillId="2" borderId="11" xfId="0" applyFont="1" applyFill="1" applyBorder="1" applyAlignment="1" applyProtection="1">
      <alignment horizontal="center" vertical="center"/>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27" fillId="2" borderId="1" xfId="0" applyFont="1" applyFill="1" applyBorder="1" applyAlignment="1" applyProtection="1">
      <alignment horizont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3"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49" fontId="27" fillId="6" borderId="0" xfId="0" applyNumberFormat="1" applyFont="1" applyFill="1" applyAlignment="1" applyProtection="1">
      <protection locked="0"/>
    </xf>
    <xf numFmtId="0" fontId="27" fillId="6" borderId="0" xfId="0" applyFont="1" applyFill="1" applyAlignment="1" applyProtection="1">
      <protection locked="0"/>
    </xf>
    <xf numFmtId="184"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181" fontId="17" fillId="6" borderId="0" xfId="0" applyNumberFormat="1" applyFont="1" applyFill="1" applyBorder="1" applyAlignment="1" applyProtection="1">
      <alignment horizontal="center"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49" fontId="20" fillId="6" borderId="0" xfId="0" applyNumberFormat="1" applyFont="1" applyFill="1" applyBorder="1" applyAlignment="1" applyProtection="1">
      <alignment horizontal="left" vertical="center"/>
      <protection locked="0"/>
    </xf>
    <xf numFmtId="0" fontId="19" fillId="6" borderId="0" xfId="0" applyFont="1" applyFill="1" applyBorder="1" applyAlignment="1" applyProtection="1">
      <alignment horizontal="center"/>
      <protection locked="0"/>
    </xf>
    <xf numFmtId="0" fontId="45" fillId="6" borderId="0" xfId="0" applyFont="1" applyFill="1" applyBorder="1" applyAlignment="1" applyProtection="1">
      <alignment vertical="center"/>
      <protection locked="0"/>
    </xf>
    <xf numFmtId="49" fontId="45" fillId="6" borderId="0" xfId="0" applyNumberFormat="1" applyFont="1" applyFill="1" applyAlignment="1" applyProtection="1">
      <alignment vertical="center"/>
      <protection locked="0"/>
    </xf>
    <xf numFmtId="0" fontId="45" fillId="6" borderId="0" xfId="0" applyFont="1" applyFill="1" applyAlignment="1" applyProtection="1">
      <alignment horizontal="center" vertical="center"/>
      <protection locked="0"/>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1" fillId="2" borderId="9" xfId="0" applyFont="1" applyFill="1" applyBorder="1" applyAlignment="1" applyProtection="1">
      <alignment horizontal="center" vertical="center"/>
    </xf>
    <xf numFmtId="0" fontId="21" fillId="2" borderId="35" xfId="0" applyFont="1" applyFill="1" applyBorder="1" applyAlignment="1" applyProtection="1">
      <alignment horizontal="center" vertical="center"/>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26"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27"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183" fontId="21" fillId="2" borderId="9" xfId="0" applyNumberFormat="1" applyFont="1" applyFill="1" applyBorder="1" applyAlignment="1" applyProtection="1">
      <alignment horizontal="center" vertical="center"/>
    </xf>
    <xf numFmtId="0" fontId="68" fillId="6" borderId="0" xfId="0" applyFont="1" applyFill="1" applyAlignment="1" applyProtection="1">
      <alignment vertical="center"/>
      <protection locked="0"/>
    </xf>
    <xf numFmtId="0" fontId="21" fillId="2" borderId="1" xfId="0" applyFont="1" applyFill="1" applyBorder="1" applyAlignment="1" applyProtection="1">
      <alignment horizontal="left" vertical="center"/>
    </xf>
    <xf numFmtId="0" fontId="16" fillId="2" borderId="81"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21" fillId="2" borderId="3"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4"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1"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80" fillId="2" borderId="0" xfId="0" applyFont="1" applyFill="1" applyAlignment="1" applyProtection="1">
      <alignment horizontal="left" vertical="center"/>
      <protection locked="0"/>
    </xf>
    <xf numFmtId="0" fontId="38" fillId="2" borderId="0" xfId="0" applyFont="1" applyFill="1" applyAlignment="1" applyProtection="1">
      <protection locked="0"/>
    </xf>
    <xf numFmtId="0" fontId="38" fillId="2" borderId="0" xfId="0" applyFont="1" applyFill="1" applyAlignment="1" applyProtection="1">
      <alignment horizontal="left"/>
      <protection locked="0"/>
    </xf>
    <xf numFmtId="0" fontId="16" fillId="2" borderId="0" xfId="0" applyFont="1" applyFill="1" applyAlignment="1" applyProtection="1">
      <alignment vertical="center"/>
      <protection locked="0"/>
    </xf>
    <xf numFmtId="0" fontId="16" fillId="2" borderId="0" xfId="0" applyFont="1" applyFill="1" applyAlignment="1" applyProtection="1">
      <alignment horizontal="left" vertical="center"/>
      <protection locked="0"/>
    </xf>
    <xf numFmtId="0" fontId="45" fillId="2" borderId="0" xfId="0" applyFont="1" applyFill="1" applyAlignment="1" applyProtection="1">
      <alignment horizontal="left" vertical="center"/>
      <protection locked="0"/>
    </xf>
    <xf numFmtId="0" fontId="81" fillId="6" borderId="128" xfId="0" applyFont="1" applyFill="1" applyBorder="1" applyAlignment="1" applyProtection="1">
      <alignment vertical="center"/>
      <protection locked="0"/>
    </xf>
    <xf numFmtId="0" fontId="45" fillId="6" borderId="129" xfId="0" applyFont="1" applyFill="1" applyBorder="1" applyAlignment="1" applyProtection="1">
      <alignment vertical="center"/>
      <protection locked="0"/>
    </xf>
    <xf numFmtId="0" fontId="45" fillId="6" borderId="130" xfId="0" applyFont="1" applyFill="1" applyBorder="1" applyAlignment="1" applyProtection="1">
      <alignment horizontal="left" vertical="center"/>
      <protection locked="0"/>
    </xf>
    <xf numFmtId="0" fontId="51" fillId="2" borderId="131"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protection locked="0"/>
    </xf>
    <xf numFmtId="0" fontId="83" fillId="2" borderId="131" xfId="0" applyFont="1" applyFill="1" applyBorder="1" applyAlignment="1" applyProtection="1">
      <alignment vertical="center" wrapText="1"/>
    </xf>
    <xf numFmtId="0" fontId="83" fillId="2" borderId="130"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6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32"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33" xfId="0" applyFont="1" applyFill="1" applyBorder="1" applyAlignment="1" applyProtection="1">
      <alignment horizontal="center" vertical="center"/>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0" fontId="86" fillId="2" borderId="59" xfId="0" applyFont="1" applyFill="1" applyBorder="1" applyAlignment="1" applyProtection="1">
      <alignment horizontal="left" vertical="center" wrapText="1"/>
    </xf>
    <xf numFmtId="183" fontId="45"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3" fontId="45"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45" fillId="6" borderId="0" xfId="0" applyFont="1" applyFill="1" applyAlignment="1" applyProtection="1">
      <alignment horizontal="left" vertical="center"/>
      <protection locked="0"/>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45" fillId="2" borderId="0" xfId="0" applyFont="1" applyFill="1" applyAlignment="1" applyProtection="1">
      <alignment horizontal="center" vertical="center"/>
    </xf>
    <xf numFmtId="0" fontId="83" fillId="2" borderId="130"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45" fillId="2" borderId="1" xfId="0" applyFont="1" applyFill="1" applyBorder="1" applyAlignment="1" applyProtection="1">
      <alignment horizontal="center" vertical="center"/>
    </xf>
    <xf numFmtId="0" fontId="88" fillId="2" borderId="67" xfId="0" applyFont="1" applyFill="1" applyBorder="1" applyAlignment="1" applyProtection="1">
      <alignment vertical="center"/>
    </xf>
    <xf numFmtId="192" fontId="84"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49" fontId="90" fillId="2" borderId="59" xfId="0" applyNumberFormat="1" applyFont="1" applyFill="1" applyBorder="1" applyAlignment="1" applyProtection="1"/>
    <xf numFmtId="0" fontId="0" fillId="0" borderId="0" xfId="0" applyProtection="1">
      <alignment vertical="center"/>
    </xf>
    <xf numFmtId="0" fontId="91" fillId="2" borderId="1" xfId="0" applyFont="1" applyFill="1" applyBorder="1" applyProtection="1">
      <alignment vertical="center"/>
    </xf>
    <xf numFmtId="0" fontId="0" fillId="2" borderId="1" xfId="0" applyFill="1" applyBorder="1" applyProtection="1">
      <alignment vertical="center"/>
    </xf>
    <xf numFmtId="0" fontId="91" fillId="2" borderId="0" xfId="0" applyFont="1" applyFill="1" applyProtection="1">
      <alignment vertical="center"/>
    </xf>
    <xf numFmtId="0" fontId="0" fillId="2" borderId="0" xfId="0" applyFill="1" applyProtection="1">
      <alignment vertical="center"/>
    </xf>
    <xf numFmtId="0" fontId="9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2" fillId="2" borderId="0" xfId="0" applyFont="1" applyFill="1" applyAlignment="1" applyProtection="1">
      <alignment horizontal="center" vertical="center"/>
    </xf>
    <xf numFmtId="0" fontId="93" fillId="2" borderId="40" xfId="0" applyFont="1" applyFill="1" applyBorder="1" applyAlignment="1" applyProtection="1">
      <alignment horizontal="center" vertical="center"/>
    </xf>
    <xf numFmtId="0" fontId="93" fillId="2" borderId="69" xfId="0" applyFont="1" applyFill="1" applyBorder="1" applyAlignment="1" applyProtection="1">
      <alignment vertical="center" wrapText="1"/>
    </xf>
    <xf numFmtId="0" fontId="93" fillId="2" borderId="9"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94"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94"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94" fillId="2" borderId="3" xfId="0" applyFont="1" applyFill="1" applyBorder="1" applyAlignment="1" applyProtection="1">
      <alignment horizontal="center" vertical="center" wrapText="1"/>
    </xf>
    <xf numFmtId="0" fontId="94" fillId="2" borderId="60" xfId="0" applyFont="1" applyFill="1" applyBorder="1" applyAlignment="1" applyProtection="1">
      <alignment vertical="center" wrapText="1"/>
    </xf>
    <xf numFmtId="0" fontId="94"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4"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94"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94" fillId="2" borderId="133" xfId="0" applyFont="1" applyFill="1" applyBorder="1" applyAlignment="1" applyProtection="1">
      <alignment horizontal="center" vertical="center" wrapText="1"/>
    </xf>
    <xf numFmtId="10" fontId="0" fillId="0" borderId="129" xfId="0" applyNumberFormat="1" applyBorder="1">
      <alignment vertical="center"/>
    </xf>
    <xf numFmtId="10" fontId="62" fillId="0" borderId="61" xfId="0" applyNumberFormat="1" applyFont="1" applyBorder="1" applyAlignment="1">
      <alignment horizontal="center" vertical="center" wrapText="1"/>
    </xf>
    <xf numFmtId="0" fontId="94"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81" fontId="230" fillId="0" borderId="0" xfId="9" applyNumberFormat="1" applyProtection="1">
      <alignment vertical="center"/>
    </xf>
    <xf numFmtId="0" fontId="230" fillId="0" borderId="0" xfId="9" applyNumberFormat="1" applyProtection="1">
      <alignment vertical="center"/>
    </xf>
    <xf numFmtId="181"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1" fontId="95" fillId="2" borderId="1" xfId="9" applyNumberFormat="1" applyFont="1" applyFill="1" applyBorder="1" applyAlignment="1" applyProtection="1">
      <alignment horizontal="center" vertical="center"/>
    </xf>
    <xf numFmtId="0" fontId="95" fillId="2" borderId="1" xfId="9" applyNumberFormat="1" applyFont="1" applyFill="1" applyBorder="1" applyAlignment="1" applyProtection="1">
      <alignment horizontal="center" vertical="center"/>
    </xf>
    <xf numFmtId="0" fontId="95"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181" fontId="95" fillId="2" borderId="1" xfId="9" applyNumberFormat="1" applyFont="1" applyFill="1" applyBorder="1" applyAlignment="1" applyProtection="1">
      <alignment horizontal="center" vertical="center" wrapText="1"/>
    </xf>
    <xf numFmtId="0" fontId="95"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0" fillId="2" borderId="21" xfId="10" applyFill="1" applyBorder="1" applyProtection="1">
      <alignment vertical="center"/>
    </xf>
    <xf numFmtId="0" fontId="230" fillId="2" borderId="0" xfId="10" applyFill="1" applyAlignment="1" applyProtection="1">
      <alignment horizontal="center" vertical="center"/>
    </xf>
    <xf numFmtId="0" fontId="230" fillId="2" borderId="0" xfId="10" applyFill="1" applyProtection="1">
      <alignment vertical="center"/>
    </xf>
    <xf numFmtId="0" fontId="4" fillId="2" borderId="55" xfId="10" applyFont="1" applyFill="1" applyBorder="1" applyProtection="1">
      <alignment vertical="center"/>
    </xf>
    <xf numFmtId="0" fontId="93"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3" fillId="2" borderId="8" xfId="10" applyFont="1" applyFill="1" applyBorder="1" applyAlignment="1" applyProtection="1">
      <alignment horizontal="center" vertical="center"/>
    </xf>
    <xf numFmtId="0" fontId="93" fillId="2" borderId="42" xfId="10" applyFont="1" applyFill="1" applyBorder="1" applyAlignment="1" applyProtection="1">
      <alignment horizontal="center" vertical="center"/>
    </xf>
    <xf numFmtId="0" fontId="94" fillId="2" borderId="69" xfId="10" applyFont="1" applyFill="1" applyBorder="1" applyAlignment="1" applyProtection="1">
      <alignment vertical="center" wrapText="1"/>
    </xf>
    <xf numFmtId="0" fontId="94" fillId="2" borderId="5" xfId="10" applyFont="1" applyFill="1" applyBorder="1" applyAlignment="1" applyProtection="1">
      <alignment horizontal="center" vertical="center" wrapText="1"/>
    </xf>
    <xf numFmtId="0" fontId="94" fillId="2" borderId="39" xfId="10" applyFont="1" applyFill="1" applyBorder="1" applyAlignment="1" applyProtection="1">
      <alignment horizontal="center" vertical="center" wrapText="1"/>
    </xf>
    <xf numFmtId="0" fontId="98" fillId="2" borderId="4" xfId="10" applyFont="1" applyFill="1" applyBorder="1" applyAlignment="1" applyProtection="1">
      <alignment horizontal="center" vertical="center"/>
    </xf>
    <xf numFmtId="0" fontId="98" fillId="2" borderId="39" xfId="10" applyFont="1" applyFill="1" applyBorder="1" applyProtection="1">
      <alignment vertical="center"/>
    </xf>
    <xf numFmtId="0" fontId="94" fillId="2" borderId="1" xfId="10" applyFont="1" applyFill="1" applyBorder="1" applyAlignment="1" applyProtection="1">
      <alignment horizontal="center" vertical="center" wrapText="1"/>
    </xf>
    <xf numFmtId="0" fontId="94" fillId="2" borderId="34" xfId="10" applyFont="1" applyFill="1" applyBorder="1" applyAlignment="1" applyProtection="1">
      <alignment horizontal="center" vertical="center" wrapText="1"/>
    </xf>
    <xf numFmtId="0" fontId="98" fillId="2" borderId="6" xfId="10" applyFont="1" applyFill="1" applyBorder="1" applyAlignment="1" applyProtection="1">
      <alignment horizontal="center" vertical="center"/>
    </xf>
    <xf numFmtId="0" fontId="98" fillId="2" borderId="10" xfId="10" applyFont="1" applyFill="1" applyBorder="1" applyProtection="1">
      <alignment vertical="center"/>
    </xf>
    <xf numFmtId="0" fontId="94" fillId="2" borderId="3" xfId="10" applyFont="1" applyFill="1" applyBorder="1" applyAlignment="1" applyProtection="1">
      <alignment horizontal="center" vertical="center" wrapText="1"/>
    </xf>
    <xf numFmtId="0" fontId="94" fillId="2" borderId="80" xfId="10" applyFont="1" applyFill="1" applyBorder="1" applyAlignment="1" applyProtection="1">
      <alignment horizontal="center" vertical="center" wrapText="1"/>
    </xf>
    <xf numFmtId="0" fontId="94" fillId="2" borderId="8" xfId="10" applyFont="1" applyFill="1" applyBorder="1" applyAlignment="1" applyProtection="1">
      <alignment horizontal="center" vertical="center" wrapText="1"/>
    </xf>
    <xf numFmtId="0" fontId="97" fillId="2" borderId="42" xfId="10" applyFont="1" applyFill="1" applyBorder="1" applyProtection="1">
      <alignment vertical="center"/>
    </xf>
    <xf numFmtId="0" fontId="94" fillId="2" borderId="10" xfId="10" applyFont="1" applyFill="1" applyBorder="1" applyAlignment="1" applyProtection="1">
      <alignment horizontal="center" vertical="center" wrapText="1"/>
    </xf>
    <xf numFmtId="0" fontId="98" fillId="2" borderId="7" xfId="10" applyFont="1" applyFill="1" applyBorder="1" applyAlignment="1" applyProtection="1">
      <alignment horizontal="center" vertical="center"/>
    </xf>
    <xf numFmtId="0" fontId="98" fillId="2" borderId="42" xfId="10" applyFont="1" applyFill="1" applyBorder="1" applyProtection="1">
      <alignment vertical="center"/>
    </xf>
    <xf numFmtId="0" fontId="97" fillId="2" borderId="10" xfId="10" applyFont="1" applyFill="1" applyBorder="1" applyProtection="1">
      <alignment vertical="center"/>
    </xf>
    <xf numFmtId="0" fontId="99" fillId="2" borderId="0" xfId="10" applyFont="1" applyFill="1" applyBorder="1" applyProtection="1">
      <alignment vertical="center"/>
    </xf>
    <xf numFmtId="0" fontId="94" fillId="2" borderId="60" xfId="10" applyFont="1" applyFill="1" applyBorder="1" applyAlignment="1" applyProtection="1">
      <alignment vertical="center" wrapText="1"/>
    </xf>
    <xf numFmtId="0" fontId="100" fillId="2" borderId="0" xfId="10" applyFont="1" applyFill="1" applyProtection="1">
      <alignment vertical="center"/>
    </xf>
    <xf numFmtId="0" fontId="99" fillId="2" borderId="0" xfId="10" applyFont="1" applyFill="1" applyProtection="1">
      <alignment vertical="center"/>
    </xf>
    <xf numFmtId="0" fontId="94" fillId="2" borderId="42" xfId="10" applyFont="1" applyFill="1" applyBorder="1" applyAlignment="1" applyProtection="1">
      <alignment horizontal="center" vertical="center" wrapText="1"/>
    </xf>
    <xf numFmtId="0" fontId="230" fillId="2" borderId="10" xfId="10" applyFill="1" applyBorder="1" applyProtection="1">
      <alignment vertical="center"/>
    </xf>
    <xf numFmtId="0" fontId="230" fillId="2" borderId="69" xfId="10" applyFill="1" applyBorder="1" applyAlignment="1" applyProtection="1">
      <alignment horizontal="center" vertical="center"/>
    </xf>
    <xf numFmtId="0" fontId="230" fillId="2" borderId="41" xfId="10" applyFill="1" applyBorder="1" applyAlignment="1" applyProtection="1">
      <alignment horizontal="center" vertical="center"/>
    </xf>
    <xf numFmtId="0" fontId="94" fillId="2" borderId="6" xfId="10" applyFont="1" applyFill="1" applyBorder="1" applyAlignment="1" applyProtection="1">
      <alignment horizontal="center" vertical="center" wrapText="1"/>
    </xf>
    <xf numFmtId="0" fontId="230" fillId="2" borderId="70" xfId="10" applyFill="1" applyBorder="1" applyAlignment="1" applyProtection="1">
      <alignment horizontal="center" vertical="center"/>
    </xf>
    <xf numFmtId="0" fontId="230" fillId="2" borderId="1" xfId="10" applyFill="1" applyBorder="1" applyProtection="1">
      <alignment vertical="center"/>
    </xf>
    <xf numFmtId="0" fontId="230" fillId="2" borderId="39" xfId="10" applyFill="1" applyBorder="1" applyProtection="1">
      <alignment vertical="center"/>
    </xf>
    <xf numFmtId="0" fontId="230" fillId="2" borderId="0" xfId="10" applyFill="1" applyAlignment="1" applyProtection="1">
      <alignment vertical="center"/>
    </xf>
    <xf numFmtId="0" fontId="230" fillId="2" borderId="69" xfId="10" applyFill="1" applyBorder="1" applyAlignment="1" applyProtection="1">
      <alignment horizontal="right" vertical="center"/>
    </xf>
    <xf numFmtId="0" fontId="230" fillId="2" borderId="4" xfId="10" applyFill="1" applyBorder="1" applyAlignment="1" applyProtection="1">
      <alignment horizontal="center" vertical="center"/>
    </xf>
    <xf numFmtId="188" fontId="230" fillId="2" borderId="5" xfId="10" applyNumberFormat="1" applyFill="1" applyBorder="1" applyAlignment="1" applyProtection="1">
      <alignment horizontal="center" vertical="center"/>
    </xf>
    <xf numFmtId="188" fontId="230" fillId="2" borderId="39" xfId="10" applyNumberFormat="1" applyFill="1" applyBorder="1" applyAlignment="1" applyProtection="1">
      <alignment horizontal="center" vertical="center"/>
    </xf>
    <xf numFmtId="0" fontId="230" fillId="2" borderId="6" xfId="10" applyFill="1" applyBorder="1" applyAlignment="1" applyProtection="1">
      <alignment horizontal="center" vertical="center"/>
    </xf>
    <xf numFmtId="188" fontId="230" fillId="2" borderId="1" xfId="10" applyNumberFormat="1" applyFill="1" applyBorder="1" applyAlignment="1" applyProtection="1">
      <alignment horizontal="center" vertical="center"/>
    </xf>
    <xf numFmtId="188" fontId="230" fillId="2" borderId="10" xfId="10" applyNumberFormat="1" applyFill="1" applyBorder="1" applyAlignment="1" applyProtection="1">
      <alignment horizontal="center" vertical="center"/>
    </xf>
    <xf numFmtId="0" fontId="230" fillId="2" borderId="7" xfId="10" applyFill="1" applyBorder="1" applyAlignment="1" applyProtection="1">
      <alignment horizontal="center" vertical="center"/>
    </xf>
    <xf numFmtId="188" fontId="230" fillId="2" borderId="42" xfId="10" applyNumberFormat="1" applyFill="1" applyBorder="1" applyAlignment="1" applyProtection="1">
      <alignment horizontal="center" vertical="center"/>
    </xf>
    <xf numFmtId="188" fontId="230" fillId="2" borderId="8" xfId="10" applyNumberFormat="1" applyFill="1" applyBorder="1" applyAlignment="1" applyProtection="1">
      <alignment horizontal="center" vertical="center"/>
    </xf>
    <xf numFmtId="0" fontId="101" fillId="2" borderId="4" xfId="10" applyFont="1" applyFill="1" applyBorder="1" applyAlignment="1" applyProtection="1">
      <alignment horizontal="center" vertical="center" wrapText="1"/>
    </xf>
    <xf numFmtId="0" fontId="101" fillId="2" borderId="5" xfId="10" applyFont="1" applyFill="1" applyBorder="1" applyAlignment="1" applyProtection="1">
      <alignment horizontal="center" vertical="center" wrapText="1"/>
    </xf>
    <xf numFmtId="0" fontId="101" fillId="2" borderId="6" xfId="10" applyFont="1" applyFill="1" applyBorder="1" applyAlignment="1" applyProtection="1">
      <alignment horizontal="center" vertical="center" wrapText="1"/>
    </xf>
    <xf numFmtId="0" fontId="101" fillId="2" borderId="1" xfId="10" applyFont="1" applyFill="1" applyBorder="1" applyAlignment="1" applyProtection="1">
      <alignment horizontal="center" vertical="center" wrapText="1"/>
    </xf>
    <xf numFmtId="0" fontId="101" fillId="2" borderId="22" xfId="10" applyFont="1" applyFill="1" applyBorder="1" applyAlignment="1" applyProtection="1">
      <alignment horizontal="center" vertical="center" wrapText="1"/>
    </xf>
    <xf numFmtId="0" fontId="101" fillId="2" borderId="9" xfId="10" applyFont="1" applyFill="1" applyBorder="1" applyAlignment="1" applyProtection="1">
      <alignment horizontal="center" vertical="center" wrapText="1"/>
    </xf>
    <xf numFmtId="0" fontId="230" fillId="2" borderId="1" xfId="10" applyFill="1" applyBorder="1" applyAlignment="1" applyProtection="1">
      <alignment horizontal="center" vertical="center"/>
    </xf>
    <xf numFmtId="0" fontId="102" fillId="2" borderId="89" xfId="10" applyFont="1" applyFill="1" applyBorder="1" applyAlignment="1" applyProtection="1">
      <alignment vertical="center"/>
    </xf>
    <xf numFmtId="0" fontId="102" fillId="2" borderId="0" xfId="10" applyFont="1" applyFill="1" applyBorder="1" applyAlignment="1" applyProtection="1">
      <alignment vertical="center"/>
    </xf>
    <xf numFmtId="0" fontId="101" fillId="2" borderId="10" xfId="10" applyFont="1" applyFill="1" applyBorder="1" applyAlignment="1" applyProtection="1">
      <alignment horizontal="center" vertical="center" wrapText="1"/>
    </xf>
    <xf numFmtId="0" fontId="101" fillId="2" borderId="11" xfId="10" applyFont="1" applyFill="1" applyBorder="1" applyAlignment="1" applyProtection="1">
      <alignment horizontal="center" vertical="center" wrapText="1"/>
    </xf>
    <xf numFmtId="0" fontId="101" fillId="2" borderId="0" xfId="10" applyFont="1" applyFill="1" applyBorder="1" applyAlignment="1" applyProtection="1">
      <alignment horizontal="center" vertical="center" wrapText="1"/>
    </xf>
    <xf numFmtId="0" fontId="101" fillId="2" borderId="1" xfId="10" applyFont="1" applyFill="1" applyBorder="1" applyAlignment="1" applyProtection="1">
      <alignment horizontal="center" vertical="center"/>
    </xf>
    <xf numFmtId="0" fontId="101" fillId="2" borderId="10" xfId="10" applyFont="1" applyFill="1" applyBorder="1" applyAlignment="1" applyProtection="1">
      <alignment horizontal="left" vertical="center"/>
    </xf>
    <xf numFmtId="0" fontId="101" fillId="2" borderId="11" xfId="10" applyFont="1" applyFill="1" applyBorder="1" applyAlignment="1" applyProtection="1">
      <alignment horizontal="left" vertical="center"/>
    </xf>
    <xf numFmtId="0" fontId="101" fillId="2" borderId="0" xfId="10" applyFont="1" applyFill="1" applyBorder="1" applyAlignment="1" applyProtection="1">
      <alignment vertical="center"/>
    </xf>
    <xf numFmtId="0" fontId="101" fillId="2" borderId="0" xfId="10" applyFont="1" applyFill="1" applyBorder="1" applyAlignment="1" applyProtection="1">
      <alignment horizontal="center" vertical="center"/>
    </xf>
    <xf numFmtId="0" fontId="101" fillId="2" borderId="54" xfId="10" applyFont="1" applyFill="1" applyBorder="1" applyAlignment="1" applyProtection="1">
      <alignment vertical="center"/>
    </xf>
    <xf numFmtId="0" fontId="101" fillId="2" borderId="34" xfId="10" applyFont="1" applyFill="1" applyBorder="1" applyAlignment="1" applyProtection="1">
      <alignment vertical="center" wrapText="1"/>
    </xf>
    <xf numFmtId="0" fontId="101" fillId="2" borderId="3" xfId="10" applyFont="1" applyFill="1" applyBorder="1" applyAlignment="1" applyProtection="1">
      <alignment vertical="center" wrapText="1"/>
    </xf>
    <xf numFmtId="0" fontId="101" fillId="2" borderId="81" xfId="10" applyFont="1" applyFill="1" applyBorder="1" applyAlignment="1" applyProtection="1">
      <alignment vertical="center" wrapText="1"/>
    </xf>
    <xf numFmtId="0" fontId="101" fillId="2" borderId="3" xfId="10" applyFont="1" applyFill="1" applyBorder="1" applyAlignment="1" applyProtection="1">
      <alignment horizontal="center" vertical="center"/>
    </xf>
    <xf numFmtId="0" fontId="101" fillId="2" borderId="0" xfId="10" applyFont="1" applyFill="1" applyAlignment="1" applyProtection="1">
      <alignment horizontal="center" vertical="center"/>
    </xf>
    <xf numFmtId="9" fontId="101" fillId="2" borderId="1" xfId="10" applyNumberFormat="1" applyFont="1" applyFill="1" applyBorder="1" applyAlignment="1" applyProtection="1">
      <alignment horizontal="center" vertical="center"/>
    </xf>
    <xf numFmtId="188" fontId="230" fillId="2" borderId="13" xfId="10" applyNumberFormat="1" applyFill="1" applyBorder="1" applyAlignment="1" applyProtection="1">
      <alignment horizontal="center" vertical="center"/>
    </xf>
    <xf numFmtId="188" fontId="230" fillId="2" borderId="14" xfId="10" applyNumberFormat="1" applyFill="1" applyBorder="1" applyAlignment="1" applyProtection="1">
      <alignment horizontal="center" vertical="center"/>
    </xf>
    <xf numFmtId="188" fontId="230" fillId="2" borderId="15" xfId="10" applyNumberFormat="1" applyFill="1" applyBorder="1" applyAlignment="1" applyProtection="1">
      <alignment horizontal="center" vertical="center"/>
    </xf>
    <xf numFmtId="0" fontId="101" fillId="2" borderId="13" xfId="10" applyFont="1" applyFill="1" applyBorder="1" applyAlignment="1" applyProtection="1">
      <alignment horizontal="center" vertical="center" wrapText="1"/>
    </xf>
    <xf numFmtId="0" fontId="101" fillId="2" borderId="14" xfId="10" applyFont="1" applyFill="1" applyBorder="1" applyAlignment="1" applyProtection="1">
      <alignment horizontal="center" vertical="center" wrapText="1"/>
    </xf>
    <xf numFmtId="0" fontId="101" fillId="2" borderId="57" xfId="10" applyFont="1" applyFill="1" applyBorder="1" applyAlignment="1" applyProtection="1">
      <alignment horizontal="center" vertical="center" wrapText="1"/>
    </xf>
    <xf numFmtId="0" fontId="102" fillId="2" borderId="0" xfId="10" applyFont="1" applyFill="1" applyAlignment="1" applyProtection="1">
      <alignment horizontal="center" vertical="center"/>
    </xf>
    <xf numFmtId="0" fontId="103" fillId="0" borderId="0" xfId="0" applyFont="1" applyAlignment="1">
      <alignment horizontal="center" vertical="center"/>
    </xf>
    <xf numFmtId="0" fontId="103" fillId="14" borderId="0" xfId="0" applyFont="1" applyFill="1" applyAlignment="1">
      <alignment horizontal="center" vertical="center"/>
    </xf>
    <xf numFmtId="0" fontId="103" fillId="15" borderId="0" xfId="0" applyFont="1" applyFill="1" applyAlignment="1">
      <alignment horizontal="center" vertical="center"/>
    </xf>
    <xf numFmtId="0" fontId="17" fillId="3" borderId="0" xfId="11" applyFill="1"/>
    <xf numFmtId="0" fontId="17" fillId="0" borderId="0" xfId="11" applyFill="1"/>
    <xf numFmtId="0" fontId="17" fillId="0" borderId="0" xfId="11"/>
    <xf numFmtId="0" fontId="1" fillId="3" borderId="0" xfId="11" applyFont="1" applyFill="1"/>
    <xf numFmtId="0" fontId="1" fillId="0" borderId="0" xfId="11" applyFont="1"/>
    <xf numFmtId="0" fontId="1" fillId="0" borderId="0" xfId="11" applyFont="1" applyFill="1"/>
    <xf numFmtId="49" fontId="17" fillId="0" borderId="0" xfId="11" applyNumberFormat="1"/>
    <xf numFmtId="49" fontId="33" fillId="2" borderId="89" xfId="0" applyNumberFormat="1" applyFont="1" applyFill="1" applyBorder="1" applyAlignment="1" applyProtection="1"/>
    <xf numFmtId="0" fontId="26" fillId="3" borderId="0" xfId="0" applyFont="1" applyFill="1" applyAlignment="1" applyProtection="1">
      <alignment vertical="center"/>
      <protection locked="0"/>
    </xf>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24" fillId="2" borderId="9" xfId="0" applyFont="1" applyFill="1" applyBorder="1" applyAlignment="1" applyProtection="1">
      <alignmen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49" fontId="16" fillId="2" borderId="6"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49" fontId="104" fillId="2" borderId="6" xfId="0" applyNumberFormat="1" applyFont="1" applyFill="1" applyBorder="1" applyAlignment="1" applyProtection="1">
      <alignment horizontal="center"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104" fillId="2" borderId="12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7" fillId="6" borderId="0" xfId="0" applyFont="1" applyFill="1" applyAlignment="1" applyProtection="1">
      <alignment horizontal="center"/>
      <protection locked="0"/>
    </xf>
    <xf numFmtId="0" fontId="10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21" fillId="0" borderId="14" xfId="0" applyNumberFormat="1" applyFont="1" applyFill="1" applyBorder="1" applyAlignment="1" applyProtection="1">
      <alignment horizontal="center" vertical="center"/>
      <protection locked="0"/>
    </xf>
    <xf numFmtId="49" fontId="35" fillId="2" borderId="0" xfId="0" applyNumberFormat="1" applyFont="1" applyFill="1" applyBorder="1" applyAlignment="1" applyProtection="1">
      <alignment horizontal="left"/>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34" xfId="0" applyFont="1" applyFill="1" applyBorder="1" applyAlignment="1" applyProtection="1">
      <alignment horizontal="left" vertical="center"/>
    </xf>
    <xf numFmtId="0" fontId="75" fillId="2" borderId="135" xfId="0" applyFont="1" applyFill="1" applyBorder="1" applyAlignment="1" applyProtection="1">
      <alignment vertical="center"/>
    </xf>
    <xf numFmtId="0" fontId="75" fillId="2" borderId="127" xfId="0" applyFont="1" applyFill="1" applyBorder="1" applyAlignment="1" applyProtection="1">
      <alignment vertical="center"/>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26"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0" fontId="10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108" fillId="0" borderId="29" xfId="0" applyNumberFormat="1" applyFont="1" applyFill="1" applyBorder="1" applyAlignment="1" applyProtection="1">
      <alignment horizontal="center" vertical="center" wrapText="1"/>
      <protection locked="0"/>
    </xf>
    <xf numFmtId="49" fontId="108" fillId="0" borderId="81" xfId="0" applyNumberFormat="1" applyFont="1" applyFill="1" applyBorder="1" applyAlignment="1" applyProtection="1">
      <alignment horizontal="center" vertical="center" wrapText="1"/>
      <protection locked="0"/>
    </xf>
    <xf numFmtId="49" fontId="108"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109" fillId="0" borderId="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6"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6" fontId="27" fillId="2" borderId="44" xfId="0" applyNumberFormat="1" applyFont="1" applyFill="1" applyBorder="1" applyAlignment="1" applyProtection="1">
      <alignment horizontal="center" vertical="center" wrapText="1"/>
    </xf>
    <xf numFmtId="17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36" xfId="0" applyNumberFormat="1" applyFont="1" applyFill="1" applyBorder="1" applyAlignment="1" applyProtection="1">
      <alignment horizontal="center" vertical="center" wrapText="1"/>
      <protection locked="0"/>
    </xf>
    <xf numFmtId="0" fontId="45" fillId="2" borderId="137" xfId="0" applyNumberFormat="1" applyFont="1" applyFill="1" applyBorder="1" applyAlignment="1" applyProtection="1">
      <alignment horizontal="center" vertical="center" wrapText="1"/>
    </xf>
    <xf numFmtId="0" fontId="45" fillId="2" borderId="138"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76" fontId="31" fillId="2" borderId="46" xfId="0" applyNumberFormat="1" applyFont="1" applyFill="1" applyBorder="1" applyAlignment="1" applyProtection="1">
      <alignment horizontal="center" vertical="center"/>
    </xf>
    <xf numFmtId="176" fontId="31" fillId="2" borderId="46" xfId="0" applyNumberFormat="1" applyFont="1" applyFill="1" applyBorder="1" applyAlignment="1" applyProtection="1">
      <alignment horizontal="center" vertical="center" wrapText="1"/>
    </xf>
    <xf numFmtId="17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110" fillId="0" borderId="85" xfId="0" applyNumberFormat="1" applyFont="1" applyFill="1" applyBorder="1" applyAlignment="1" applyProtection="1">
      <alignment horizontal="center" vertical="center" wrapText="1"/>
      <protection locked="0"/>
    </xf>
    <xf numFmtId="0" fontId="111" fillId="0" borderId="83" xfId="0" applyNumberFormat="1" applyFont="1" applyFill="1" applyBorder="1" applyAlignment="1" applyProtection="1">
      <alignment horizontal="center" vertical="center" wrapText="1"/>
      <protection locked="0"/>
    </xf>
    <xf numFmtId="0" fontId="108" fillId="0" borderId="85" xfId="0" applyNumberFormat="1" applyFont="1" applyFill="1" applyBorder="1" applyAlignment="1" applyProtection="1">
      <alignment horizontal="center" vertical="center" wrapText="1"/>
      <protection locked="0"/>
    </xf>
    <xf numFmtId="0" fontId="10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11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7" fillId="2" borderId="19" xfId="0" applyFont="1" applyFill="1" applyBorder="1" applyAlignment="1" applyProtection="1">
      <alignment horizontal="center" vertical="center"/>
    </xf>
    <xf numFmtId="0" fontId="11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113" fillId="2" borderId="65" xfId="0" applyFont="1" applyFill="1" applyBorder="1" applyProtection="1">
      <alignment vertical="center"/>
    </xf>
    <xf numFmtId="0" fontId="97" fillId="2" borderId="1"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97" fillId="2" borderId="139"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7"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40"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39"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97"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113" fillId="2" borderId="17" xfId="0" applyFont="1" applyFill="1" applyBorder="1" applyAlignment="1" applyProtection="1">
      <alignment horizontal="center" vertical="center"/>
    </xf>
    <xf numFmtId="0" fontId="113" fillId="2" borderId="141"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114" fillId="0" borderId="0" xfId="0" applyFont="1" applyFill="1" applyAlignment="1" applyProtection="1">
      <alignment horizontal="left" vertical="center"/>
      <protection locked="0"/>
    </xf>
    <xf numFmtId="176" fontId="47" fillId="0" borderId="0" xfId="0" applyNumberFormat="1" applyFont="1" applyFill="1" applyAlignment="1" applyProtection="1">
      <alignment horizontal="center" vertical="center"/>
      <protection locked="0"/>
    </xf>
    <xf numFmtId="0" fontId="97" fillId="2" borderId="55" xfId="0" applyFont="1" applyFill="1" applyBorder="1" applyAlignment="1" applyProtection="1">
      <alignment horizontal="center" vertical="center"/>
    </xf>
    <xf numFmtId="0" fontId="113" fillId="2" borderId="45" xfId="0" applyFont="1" applyFill="1" applyBorder="1" applyAlignment="1" applyProtection="1">
      <alignment horizontal="center" vertical="center"/>
    </xf>
    <xf numFmtId="0" fontId="113" fillId="2" borderId="89"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180" fontId="45" fillId="2" borderId="72" xfId="0" applyNumberFormat="1" applyFont="1" applyFill="1" applyBorder="1" applyAlignment="1" applyProtection="1">
      <alignment horizontal="center" vertical="center"/>
    </xf>
    <xf numFmtId="0" fontId="97" fillId="2" borderId="11" xfId="0"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188" fontId="45" fillId="0" borderId="14" xfId="0" applyNumberFormat="1" applyFont="1" applyBorder="1" applyAlignment="1" applyProtection="1">
      <alignment horizontal="center" vertical="center"/>
      <protection locked="0"/>
    </xf>
    <xf numFmtId="0" fontId="97" fillId="2" borderId="142"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8" fontId="45" fillId="2" borderId="15" xfId="0" applyNumberFormat="1" applyFont="1" applyFill="1" applyBorder="1" applyAlignment="1" applyProtection="1">
      <alignment horizontal="center" vertical="center"/>
    </xf>
    <xf numFmtId="0" fontId="47" fillId="0" borderId="0" xfId="10" applyFont="1" applyAlignment="1" applyProtection="1">
      <alignment vertical="center" wrapText="1"/>
    </xf>
    <xf numFmtId="0" fontId="95" fillId="6" borderId="0" xfId="10" applyFont="1" applyFill="1" applyAlignment="1" applyProtection="1">
      <alignment vertical="center" wrapText="1"/>
    </xf>
    <xf numFmtId="0" fontId="95" fillId="0" borderId="0" xfId="10" applyFont="1" applyAlignment="1" applyProtection="1">
      <alignment horizontal="center" vertical="center" wrapText="1"/>
    </xf>
    <xf numFmtId="0" fontId="95" fillId="0" borderId="0" xfId="10" applyFont="1" applyAlignment="1" applyProtection="1">
      <alignment horizontal="left" vertical="center" wrapText="1"/>
    </xf>
    <xf numFmtId="0" fontId="95" fillId="0" borderId="0" xfId="10" applyFont="1" applyAlignment="1" applyProtection="1">
      <alignment vertical="center" wrapText="1"/>
    </xf>
    <xf numFmtId="0" fontId="95" fillId="6" borderId="0" xfId="10" applyFont="1" applyFill="1" applyAlignment="1" applyProtection="1">
      <alignment horizontal="center" vertical="center" wrapText="1"/>
    </xf>
    <xf numFmtId="0" fontId="115"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5" fillId="2" borderId="1" xfId="10" applyFont="1" applyFill="1" applyBorder="1" applyAlignment="1" applyProtection="1">
      <alignment vertical="center" wrapText="1"/>
    </xf>
    <xf numFmtId="0" fontId="95" fillId="0" borderId="1" xfId="10" applyFont="1" applyFill="1" applyBorder="1" applyAlignment="1" applyProtection="1">
      <alignment vertical="center" wrapText="1"/>
      <protection locked="0"/>
    </xf>
    <xf numFmtId="0" fontId="95"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5" fillId="2" borderId="1" xfId="10" applyNumberFormat="1" applyFont="1" applyFill="1" applyBorder="1" applyAlignment="1" applyProtection="1">
      <alignment horizontal="left" vertical="center" wrapText="1"/>
    </xf>
    <xf numFmtId="0" fontId="95" fillId="3" borderId="1" xfId="10" applyNumberFormat="1" applyFont="1" applyFill="1" applyBorder="1" applyAlignment="1" applyProtection="1">
      <alignment horizontal="center" vertical="center" wrapText="1"/>
      <protection locked="0"/>
    </xf>
    <xf numFmtId="0" fontId="95"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5" fillId="3" borderId="1" xfId="10" applyNumberFormat="1" applyFont="1" applyFill="1" applyBorder="1" applyAlignment="1" applyProtection="1">
      <alignment vertical="center" wrapText="1"/>
      <protection locked="0"/>
    </xf>
    <xf numFmtId="0" fontId="95" fillId="3" borderId="1" xfId="0" applyFont="1" applyFill="1" applyBorder="1" applyAlignment="1" applyProtection="1">
      <alignment horizontal="left" vertical="center"/>
      <protection locked="0"/>
    </xf>
    <xf numFmtId="181" fontId="31" fillId="2" borderId="1" xfId="10" applyNumberFormat="1" applyFont="1" applyFill="1" applyBorder="1" applyAlignment="1" applyProtection="1">
      <alignment horizontal="center" vertical="center" wrapText="1"/>
    </xf>
    <xf numFmtId="0" fontId="95"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7"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52" fillId="2" borderId="12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9" fillId="2" borderId="63" xfId="10" applyFont="1" applyFill="1" applyBorder="1" applyAlignment="1" applyProtection="1">
      <alignment vertical="center"/>
    </xf>
    <xf numFmtId="0" fontId="52" fillId="2" borderId="129" xfId="10" applyFont="1" applyFill="1" applyBorder="1" applyAlignment="1" applyProtection="1">
      <alignment horizontal="center" vertical="center" wrapText="1"/>
    </xf>
    <xf numFmtId="0" fontId="95" fillId="2" borderId="129"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5"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5" fillId="2" borderId="55" xfId="10" applyFont="1" applyFill="1" applyBorder="1" applyAlignment="1" applyProtection="1">
      <alignment horizontal="center" vertical="center" wrapText="1"/>
    </xf>
    <xf numFmtId="0" fontId="95"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5" fillId="2" borderId="10" xfId="10" applyFont="1" applyFill="1" applyBorder="1" applyAlignment="1" applyProtection="1">
      <alignment vertical="center"/>
    </xf>
    <xf numFmtId="0" fontId="95"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5"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5" fillId="2" borderId="18" xfId="10" applyFont="1" applyFill="1" applyBorder="1" applyAlignment="1" applyProtection="1">
      <alignment vertical="center"/>
    </xf>
    <xf numFmtId="0" fontId="95"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95" fillId="2" borderId="39" xfId="10" applyFont="1" applyFill="1" applyBorder="1" applyAlignment="1" applyProtection="1">
      <alignment vertical="center"/>
    </xf>
    <xf numFmtId="0" fontId="95" fillId="2" borderId="78" xfId="10" applyFont="1" applyFill="1" applyBorder="1" applyAlignment="1" applyProtection="1">
      <alignment horizontal="center" vertical="center" wrapText="1"/>
    </xf>
    <xf numFmtId="0" fontId="95" fillId="2" borderId="78" xfId="10" applyFont="1" applyFill="1" applyBorder="1" applyAlignment="1" applyProtection="1">
      <alignment vertical="center" wrapText="1"/>
    </xf>
    <xf numFmtId="0" fontId="94" fillId="2" borderId="9" xfId="10" applyFont="1" applyFill="1" applyBorder="1" applyAlignment="1" applyProtection="1">
      <alignment horizontal="left" vertical="center" wrapText="1"/>
    </xf>
    <xf numFmtId="0" fontId="94" fillId="2" borderId="11" xfId="10" applyFont="1" applyFill="1" applyBorder="1" applyAlignment="1" applyProtection="1">
      <alignment horizontal="center" vertical="center" wrapText="1"/>
    </xf>
    <xf numFmtId="0" fontId="73" fillId="2" borderId="3" xfId="10" applyFont="1" applyFill="1" applyBorder="1" applyAlignment="1" applyProtection="1">
      <alignment horizontal="center" vertical="center" wrapText="1"/>
    </xf>
    <xf numFmtId="0" fontId="95" fillId="0" borderId="1" xfId="10" applyFont="1" applyFill="1" applyBorder="1" applyAlignment="1" applyProtection="1">
      <alignment horizontal="center" vertical="center"/>
      <protection locked="0"/>
    </xf>
    <xf numFmtId="0" fontId="95" fillId="0" borderId="1" xfId="10" applyFont="1" applyBorder="1" applyAlignment="1" applyProtection="1">
      <alignment horizontal="center" vertical="center" wrapText="1"/>
      <protection locked="0"/>
    </xf>
    <xf numFmtId="0" fontId="94" fillId="2" borderId="3" xfId="10" applyFont="1" applyFill="1" applyBorder="1" applyAlignment="1" applyProtection="1">
      <alignment horizontal="left" vertical="center" wrapText="1"/>
    </xf>
    <xf numFmtId="0" fontId="94" fillId="3" borderId="11" xfId="10" applyFont="1" applyFill="1" applyBorder="1" applyAlignment="1" applyProtection="1">
      <alignment horizontal="center" vertical="center" wrapText="1"/>
      <protection locked="0"/>
    </xf>
    <xf numFmtId="0" fontId="94" fillId="3" borderId="1" xfId="10" applyFont="1" applyFill="1" applyBorder="1" applyAlignment="1" applyProtection="1">
      <alignment horizontal="center" vertical="center" wrapText="1"/>
      <protection locked="0"/>
    </xf>
    <xf numFmtId="0" fontId="94" fillId="3" borderId="3" xfId="10" applyFont="1" applyFill="1" applyBorder="1" applyAlignment="1" applyProtection="1">
      <alignment horizontal="center" vertical="center" wrapText="1"/>
      <protection locked="0"/>
    </xf>
    <xf numFmtId="0" fontId="120" fillId="2" borderId="34" xfId="10" applyFont="1" applyFill="1" applyBorder="1" applyAlignment="1" applyProtection="1">
      <alignment vertical="center"/>
    </xf>
    <xf numFmtId="0" fontId="95" fillId="2" borderId="0" xfId="10" applyFont="1" applyFill="1" applyBorder="1" applyAlignment="1" applyProtection="1">
      <alignment vertical="center" wrapText="1"/>
    </xf>
    <xf numFmtId="0" fontId="94"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5" fillId="2" borderId="41" xfId="10" applyFont="1" applyFill="1" applyBorder="1" applyAlignment="1" applyProtection="1">
      <alignment horizontal="left" vertical="center" wrapText="1"/>
    </xf>
    <xf numFmtId="0" fontId="95" fillId="3" borderId="41" xfId="10" applyFont="1" applyFill="1" applyBorder="1" applyAlignment="1" applyProtection="1">
      <alignment horizontal="center" vertical="center" wrapText="1"/>
      <protection locked="0"/>
    </xf>
    <xf numFmtId="0" fontId="95" fillId="3" borderId="5" xfId="10" applyFont="1" applyFill="1" applyBorder="1" applyAlignment="1" applyProtection="1">
      <alignment horizontal="right" vertical="center" wrapText="1"/>
      <protection locked="0"/>
    </xf>
    <xf numFmtId="0" fontId="95" fillId="3" borderId="5" xfId="10" applyFont="1" applyFill="1" applyBorder="1" applyAlignment="1" applyProtection="1">
      <alignment horizontal="center" vertical="center" wrapText="1"/>
      <protection locked="0"/>
    </xf>
    <xf numFmtId="0" fontId="95"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95" fillId="2" borderId="9" xfId="10" applyFont="1" applyFill="1" applyBorder="1" applyAlignment="1" applyProtection="1">
      <alignment vertical="center" wrapText="1"/>
    </xf>
    <xf numFmtId="0" fontId="95" fillId="2" borderId="9" xfId="0" applyFont="1" applyFill="1" applyBorder="1" applyAlignment="1" applyProtection="1">
      <alignment horizontal="center" vertical="center" wrapText="1"/>
    </xf>
    <xf numFmtId="0" fontId="95" fillId="2" borderId="35" xfId="10" applyFont="1" applyFill="1" applyBorder="1" applyAlignment="1" applyProtection="1">
      <alignment horizontal="center" vertical="center" wrapText="1"/>
    </xf>
    <xf numFmtId="49" fontId="116"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95"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95"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49" fillId="2" borderId="133" xfId="10" applyFont="1" applyFill="1" applyBorder="1" applyAlignment="1" applyProtection="1">
      <alignment horizontal="left" vertical="center" wrapText="1"/>
    </xf>
    <xf numFmtId="180" fontId="36" fillId="2" borderId="133" xfId="10" applyNumberFormat="1" applyFont="1" applyFill="1" applyBorder="1" applyAlignment="1" applyProtection="1">
      <alignment horizontal="center" vertical="center" wrapText="1"/>
    </xf>
    <xf numFmtId="0" fontId="47" fillId="2" borderId="133" xfId="10" applyFont="1" applyFill="1" applyBorder="1" applyAlignment="1" applyProtection="1">
      <alignment horizontal="center" vertical="center" wrapText="1"/>
    </xf>
    <xf numFmtId="14" fontId="31" fillId="2" borderId="133" xfId="10" applyNumberFormat="1" applyFont="1" applyFill="1" applyBorder="1" applyAlignment="1" applyProtection="1">
      <alignment horizontal="center" vertical="center" wrapText="1"/>
    </xf>
    <xf numFmtId="14" fontId="31" fillId="2" borderId="129" xfId="10" applyNumberFormat="1" applyFont="1" applyFill="1" applyBorder="1" applyAlignment="1" applyProtection="1">
      <alignment horizontal="center" vertical="center" wrapText="1"/>
    </xf>
    <xf numFmtId="0" fontId="47" fillId="3" borderId="133" xfId="10" applyFont="1" applyFill="1" applyBorder="1" applyAlignment="1" applyProtection="1">
      <alignment horizontal="center" vertical="center" wrapText="1"/>
      <protection locked="0"/>
    </xf>
    <xf numFmtId="49" fontId="116"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80" fontId="36" fillId="2" borderId="80" xfId="10" applyNumberFormat="1" applyFont="1" applyFill="1" applyBorder="1" applyAlignment="1" applyProtection="1">
      <alignment horizontal="center" vertical="center" wrapText="1"/>
    </xf>
    <xf numFmtId="0" fontId="95"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62" fillId="2" borderId="80" xfId="10"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0" fontId="17" fillId="2" borderId="35" xfId="10" applyNumberFormat="1" applyFont="1" applyFill="1" applyBorder="1" applyAlignment="1" applyProtection="1">
      <alignment horizontal="center" vertical="center" wrapText="1"/>
    </xf>
    <xf numFmtId="18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8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5"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5" fillId="2" borderId="16" xfId="10" applyFont="1" applyFill="1" applyBorder="1" applyAlignment="1" applyProtection="1">
      <alignment vertical="center" wrapText="1"/>
    </xf>
    <xf numFmtId="0" fontId="95"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95" fillId="2" borderId="68" xfId="10" applyFont="1" applyFill="1" applyBorder="1" applyAlignment="1" applyProtection="1">
      <alignment horizontal="center" vertical="center" wrapText="1"/>
    </xf>
    <xf numFmtId="0" fontId="95" fillId="2" borderId="11" xfId="10" applyFont="1" applyFill="1" applyBorder="1" applyAlignment="1" applyProtection="1">
      <alignment horizontal="left" vertical="center" wrapText="1"/>
    </xf>
    <xf numFmtId="0" fontId="95" fillId="0" borderId="1" xfId="10" applyFont="1" applyBorder="1" applyAlignment="1" applyProtection="1">
      <alignment vertical="center" wrapText="1"/>
      <protection locked="0"/>
    </xf>
    <xf numFmtId="0" fontId="62" fillId="2" borderId="1" xfId="10" applyFont="1" applyFill="1" applyBorder="1" applyAlignment="1" applyProtection="1">
      <alignment horizontal="center" vertical="center"/>
    </xf>
    <xf numFmtId="0" fontId="94" fillId="2" borderId="10" xfId="10" applyFont="1" applyFill="1" applyBorder="1" applyAlignment="1" applyProtection="1">
      <alignment vertical="center"/>
    </xf>
    <xf numFmtId="0" fontId="94" fillId="2" borderId="12" xfId="10" applyFont="1" applyFill="1" applyBorder="1" applyAlignment="1" applyProtection="1">
      <alignment vertical="center"/>
    </xf>
    <xf numFmtId="0" fontId="52" fillId="2" borderId="76" xfId="10" applyFont="1" applyFill="1" applyBorder="1" applyAlignment="1" applyProtection="1">
      <alignment vertical="center" wrapText="1"/>
    </xf>
    <xf numFmtId="0" fontId="95" fillId="2" borderId="142" xfId="10" applyFont="1" applyFill="1" applyBorder="1" applyAlignment="1" applyProtection="1">
      <alignment horizontal="left" vertical="center" wrapText="1"/>
    </xf>
    <xf numFmtId="0" fontId="95" fillId="0" borderId="8" xfId="10" applyFont="1" applyBorder="1" applyAlignment="1" applyProtection="1">
      <alignment vertical="center" wrapText="1"/>
      <protection locked="0"/>
    </xf>
    <xf numFmtId="0" fontId="95" fillId="2" borderId="8" xfId="10" applyFont="1" applyFill="1" applyBorder="1" applyAlignment="1" applyProtection="1">
      <alignment vertical="center"/>
    </xf>
    <xf numFmtId="0" fontId="95" fillId="2" borderId="79" xfId="10" applyFont="1" applyFill="1" applyBorder="1" applyAlignment="1" applyProtection="1">
      <alignment vertical="center" wrapText="1"/>
    </xf>
    <xf numFmtId="0" fontId="52" fillId="2" borderId="69" xfId="10" applyFont="1" applyFill="1" applyBorder="1" applyAlignment="1" applyProtection="1">
      <alignment vertical="center" wrapText="1"/>
    </xf>
    <xf numFmtId="0" fontId="52" fillId="2" borderId="71" xfId="10" applyFont="1" applyFill="1" applyBorder="1" applyAlignment="1" applyProtection="1">
      <alignment horizontal="left" vertical="center" wrapText="1"/>
    </xf>
    <xf numFmtId="0" fontId="95" fillId="2" borderId="78" xfId="10" applyFont="1" applyFill="1" applyBorder="1" applyAlignment="1" applyProtection="1">
      <alignment vertical="center"/>
    </xf>
    <xf numFmtId="0" fontId="5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94"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2" fillId="2" borderId="68" xfId="10" applyFont="1" applyFill="1" applyBorder="1" applyAlignment="1" applyProtection="1">
      <alignment vertical="center" wrapText="1"/>
    </xf>
    <xf numFmtId="0" fontId="94" fillId="2" borderId="142"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5"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5"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0" fillId="2" borderId="0" xfId="10" applyNumberFormat="1" applyFill="1" applyAlignment="1" applyProtection="1">
      <alignment horizontal="center" vertical="center" wrapText="1"/>
    </xf>
    <xf numFmtId="0" fontId="6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65" fillId="2" borderId="55" xfId="10" applyFont="1" applyFill="1" applyBorder="1" applyProtection="1">
      <alignment vertical="center"/>
    </xf>
    <xf numFmtId="0" fontId="123" fillId="2" borderId="78" xfId="10" applyFont="1" applyFill="1" applyBorder="1" applyAlignment="1" applyProtection="1">
      <alignment vertical="center"/>
    </xf>
    <xf numFmtId="0" fontId="123"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1" fillId="2" borderId="1" xfId="10" applyNumberFormat="1" applyFont="1" applyFill="1" applyBorder="1" applyAlignment="1" applyProtection="1">
      <alignment horizontal="center" vertical="center" wrapText="1"/>
    </xf>
    <xf numFmtId="0" fontId="124" fillId="2" borderId="1" xfId="10" applyFont="1" applyFill="1" applyBorder="1" applyAlignment="1" applyProtection="1">
      <alignment horizontal="center" vertical="center" wrapText="1"/>
    </xf>
    <xf numFmtId="0" fontId="6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1" fillId="2" borderId="1" xfId="10" applyNumberFormat="1" applyFont="1" applyFill="1" applyBorder="1" applyAlignment="1" applyProtection="1">
      <alignment horizontal="center" vertical="center" wrapText="1"/>
    </xf>
    <xf numFmtId="0" fontId="124" fillId="3" borderId="1" xfId="10" applyFont="1" applyFill="1" applyBorder="1" applyAlignment="1" applyProtection="1">
      <alignment horizontal="center" vertical="center" wrapText="1"/>
      <protection locked="0"/>
    </xf>
    <xf numFmtId="10" fontId="6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01" fillId="2" borderId="64" xfId="10" applyFont="1" applyFill="1" applyBorder="1" applyAlignment="1" applyProtection="1">
      <alignment horizontal="center" vertical="center" wrapText="1"/>
    </xf>
    <xf numFmtId="0" fontId="101" fillId="2" borderId="9" xfId="10" applyNumberFormat="1" applyFont="1" applyFill="1" applyBorder="1" applyAlignment="1" applyProtection="1">
      <alignment horizontal="center" vertical="center" wrapText="1"/>
    </xf>
    <xf numFmtId="0" fontId="101" fillId="2" borderId="7" xfId="10" applyFont="1" applyFill="1" applyBorder="1" applyAlignment="1" applyProtection="1">
      <alignment horizontal="center" vertical="center" wrapText="1"/>
    </xf>
    <xf numFmtId="49" fontId="10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6" fillId="2" borderId="78" xfId="10" applyFont="1" applyFill="1" applyBorder="1" applyAlignment="1" applyProtection="1">
      <alignment vertical="center"/>
    </xf>
    <xf numFmtId="19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95"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95"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5" fillId="2" borderId="130" xfId="10" applyFont="1" applyFill="1" applyBorder="1" applyAlignment="1" applyProtection="1">
      <alignment vertical="center" wrapText="1"/>
    </xf>
    <xf numFmtId="0" fontId="95" fillId="2" borderId="0" xfId="10" applyFont="1" applyFill="1" applyAlignment="1" applyProtection="1">
      <alignment vertical="center"/>
    </xf>
    <xf numFmtId="0" fontId="95" fillId="2" borderId="45" xfId="10" applyFont="1" applyFill="1" applyBorder="1" applyAlignment="1" applyProtection="1">
      <alignment vertical="center" wrapText="1"/>
    </xf>
    <xf numFmtId="0" fontId="95" fillId="2" borderId="46" xfId="10" applyFont="1" applyFill="1" applyBorder="1" applyAlignment="1" applyProtection="1">
      <alignment vertical="center" wrapText="1"/>
    </xf>
    <xf numFmtId="0" fontId="95" fillId="2" borderId="47" xfId="10" applyFont="1" applyFill="1" applyBorder="1" applyAlignment="1" applyProtection="1">
      <alignment vertical="center" wrapText="1"/>
    </xf>
    <xf numFmtId="0" fontId="95"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5" fillId="0" borderId="1" xfId="10" applyFont="1" applyFill="1" applyBorder="1" applyAlignment="1" applyProtection="1">
      <alignment horizontal="center" vertical="center" wrapText="1"/>
      <protection locked="0"/>
    </xf>
    <xf numFmtId="0" fontId="95" fillId="0" borderId="14" xfId="10" applyFont="1" applyFill="1" applyBorder="1" applyAlignment="1" applyProtection="1">
      <alignment horizontal="center" vertical="center" wrapText="1"/>
      <protection locked="0"/>
    </xf>
    <xf numFmtId="0" fontId="119" fillId="2" borderId="89" xfId="10" applyFont="1" applyFill="1" applyBorder="1" applyAlignment="1" applyProtection="1">
      <alignment vertical="center"/>
    </xf>
    <xf numFmtId="0" fontId="119"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95" fillId="2" borderId="4" xfId="10" applyFont="1" applyFill="1" applyBorder="1" applyAlignment="1" applyProtection="1">
      <alignment horizontal="center" vertical="center" wrapText="1"/>
    </xf>
    <xf numFmtId="0" fontId="95" fillId="2" borderId="13" xfId="10" applyFont="1" applyFill="1" applyBorder="1" applyAlignment="1" applyProtection="1">
      <alignment horizontal="center" vertical="center" wrapText="1"/>
    </xf>
    <xf numFmtId="0" fontId="95"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95"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33" xfId="10" applyNumberFormat="1" applyFont="1" applyFill="1" applyBorder="1" applyAlignment="1" applyProtection="1">
      <alignment horizontal="center" vertical="center" wrapText="1"/>
    </xf>
    <xf numFmtId="0" fontId="47" fillId="2" borderId="130" xfId="10"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5" fillId="2" borderId="19" xfId="10" applyFont="1" applyFill="1" applyBorder="1" applyAlignment="1" applyProtection="1">
      <alignment horizontal="center" vertical="center" wrapText="1"/>
    </xf>
    <xf numFmtId="0" fontId="6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09" fillId="2" borderId="19" xfId="10" applyFont="1" applyFill="1" applyBorder="1" applyAlignment="1" applyProtection="1">
      <alignment horizontal="center" vertical="center" wrapText="1"/>
      <protection locked="0"/>
    </xf>
    <xf numFmtId="0" fontId="109" fillId="2" borderId="5" xfId="10" applyFont="1" applyFill="1" applyBorder="1" applyAlignment="1" applyProtection="1">
      <alignment vertical="center" wrapText="1"/>
      <protection locked="0"/>
    </xf>
    <xf numFmtId="0" fontId="109"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142"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09" fillId="2" borderId="0" xfId="10" applyFont="1" applyFill="1" applyAlignment="1" applyProtection="1">
      <alignment horizontal="center" vertical="center" wrapText="1"/>
      <protection locked="0"/>
    </xf>
    <xf numFmtId="0" fontId="95" fillId="2" borderId="48" xfId="10" applyFont="1" applyFill="1" applyBorder="1" applyAlignment="1" applyProtection="1">
      <alignment vertical="center" wrapText="1"/>
    </xf>
    <xf numFmtId="0" fontId="95" fillId="2" borderId="67" xfId="10" applyFont="1" applyFill="1" applyBorder="1" applyAlignment="1" applyProtection="1">
      <alignment vertical="center" wrapText="1"/>
    </xf>
    <xf numFmtId="0" fontId="94" fillId="2" borderId="46" xfId="10" applyFont="1" applyFill="1" applyBorder="1" applyAlignment="1" applyProtection="1">
      <alignment vertical="center"/>
    </xf>
    <xf numFmtId="0" fontId="95" fillId="2" borderId="53" xfId="10" applyFont="1" applyFill="1" applyBorder="1" applyAlignment="1" applyProtection="1">
      <alignment vertical="center" wrapText="1"/>
    </xf>
    <xf numFmtId="0" fontId="95" fillId="2" borderId="56" xfId="10" applyFont="1" applyFill="1" applyBorder="1" applyAlignment="1" applyProtection="1">
      <alignment vertical="center"/>
    </xf>
    <xf numFmtId="0" fontId="95" fillId="2" borderId="72" xfId="10" applyFont="1" applyFill="1" applyBorder="1" applyAlignment="1" applyProtection="1">
      <alignment vertical="center"/>
    </xf>
    <xf numFmtId="0" fontId="95"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5"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2"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2" fillId="2" borderId="8" xfId="10" applyNumberFormat="1"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62" fillId="2" borderId="1" xfId="10" applyNumberFormat="1" applyFont="1" applyFill="1" applyBorder="1" applyAlignment="1" applyProtection="1">
      <alignment horizontal="center" vertical="center"/>
    </xf>
    <xf numFmtId="0" fontId="6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5" fillId="2" borderId="0" xfId="10" applyFont="1" applyFill="1" applyAlignment="1" applyProtection="1">
      <alignment horizontal="center" vertical="center" wrapText="1"/>
      <protection locked="0"/>
    </xf>
    <xf numFmtId="0" fontId="95"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1"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63" fillId="0" borderId="1" xfId="10" applyNumberFormat="1" applyFont="1" applyFill="1" applyBorder="1" applyAlignment="1" applyProtection="1">
      <alignment horizontal="center" vertical="center"/>
      <protection locked="0"/>
    </xf>
    <xf numFmtId="177" fontId="63" fillId="2" borderId="1" xfId="10" applyNumberFormat="1" applyFont="1" applyFill="1" applyBorder="1" applyAlignment="1" applyProtection="1">
      <alignment horizontal="center" vertical="center"/>
    </xf>
    <xf numFmtId="180" fontId="63"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95" fillId="6" borderId="0" xfId="10" applyNumberFormat="1" applyFont="1" applyFill="1" applyAlignment="1" applyProtection="1">
      <alignment horizontal="center" vertical="center" wrapText="1"/>
    </xf>
    <xf numFmtId="10" fontId="95" fillId="0" borderId="0" xfId="10" applyNumberFormat="1" applyFont="1" applyAlignment="1" applyProtection="1">
      <alignment horizontal="center" vertical="center" wrapText="1"/>
    </xf>
    <xf numFmtId="49" fontId="101" fillId="2" borderId="8" xfId="10"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1"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01" fillId="2" borderId="8" xfId="10" applyNumberFormat="1" applyFont="1" applyFill="1" applyBorder="1" applyAlignment="1" applyProtection="1">
      <alignment horizontal="center" vertical="center" wrapText="1"/>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xf>
    <xf numFmtId="182" fontId="101" fillId="2" borderId="1" xfId="10" applyNumberFormat="1" applyFont="1" applyFill="1" applyBorder="1" applyAlignment="1" applyProtection="1">
      <alignment horizontal="center" vertical="center"/>
    </xf>
    <xf numFmtId="180" fontId="101" fillId="2" borderId="1" xfId="10" applyNumberFormat="1" applyFont="1" applyFill="1" applyBorder="1" applyAlignment="1" applyProtection="1">
      <alignment horizontal="center" vertical="center"/>
    </xf>
    <xf numFmtId="177" fontId="127" fillId="2" borderId="1" xfId="10" applyNumberFormat="1" applyFont="1" applyFill="1" applyBorder="1" applyAlignment="1" applyProtection="1">
      <alignment horizontal="center" vertical="center"/>
    </xf>
    <xf numFmtId="180" fontId="127" fillId="2" borderId="1" xfId="10" applyNumberFormat="1" applyFont="1" applyFill="1" applyBorder="1" applyAlignment="1" applyProtection="1">
      <alignment horizontal="center" vertical="center" wrapText="1"/>
    </xf>
    <xf numFmtId="182" fontId="101" fillId="2" borderId="3" xfId="10" applyNumberFormat="1" applyFont="1" applyFill="1" applyBorder="1" applyAlignment="1" applyProtection="1">
      <alignment horizontal="center" vertical="center" wrapText="1"/>
    </xf>
    <xf numFmtId="181" fontId="127" fillId="2" borderId="1" xfId="10" applyNumberFormat="1" applyFont="1" applyFill="1" applyBorder="1" applyAlignment="1" applyProtection="1">
      <alignment horizontal="center" vertical="center"/>
    </xf>
    <xf numFmtId="0" fontId="10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1" fontId="63"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63" fillId="2" borderId="55" xfId="9" applyNumberFormat="1" applyFont="1" applyFill="1" applyBorder="1" applyAlignment="1" applyProtection="1">
      <alignment horizontal="center" vertical="center" wrapText="1"/>
    </xf>
    <xf numFmtId="0" fontId="70" fillId="2" borderId="1" xfId="9" applyNumberFormat="1" applyFont="1" applyFill="1" applyBorder="1" applyAlignment="1" applyProtection="1">
      <alignment horizontal="center" vertical="center" wrapText="1"/>
    </xf>
    <xf numFmtId="0" fontId="8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5" fillId="2" borderId="5" xfId="9" applyNumberFormat="1" applyFont="1" applyFill="1" applyBorder="1" applyAlignment="1" applyProtection="1">
      <alignment horizontal="center" vertical="center"/>
    </xf>
    <xf numFmtId="0" fontId="95" fillId="2" borderId="3" xfId="9" applyNumberFormat="1" applyFont="1" applyFill="1" applyBorder="1" applyAlignment="1" applyProtection="1">
      <alignment horizontal="center" vertical="center"/>
    </xf>
    <xf numFmtId="0" fontId="95"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wrapText="1"/>
    </xf>
    <xf numFmtId="0" fontId="70"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63" fillId="2" borderId="8" xfId="9" applyNumberFormat="1" applyFont="1" applyFill="1" applyBorder="1" applyAlignment="1" applyProtection="1">
      <alignment horizontal="center" vertical="center" wrapText="1"/>
    </xf>
    <xf numFmtId="0" fontId="95" fillId="0" borderId="0" xfId="10" applyFont="1" applyAlignment="1" applyProtection="1">
      <alignment vertical="center" wrapText="1"/>
      <protection locked="0"/>
    </xf>
    <xf numFmtId="0" fontId="101" fillId="2" borderId="11" xfId="10" applyFont="1" applyFill="1" applyBorder="1" applyAlignment="1" applyProtection="1">
      <alignment vertical="center"/>
    </xf>
    <xf numFmtId="0" fontId="95" fillId="2" borderId="41" xfId="9" applyNumberFormat="1" applyFont="1" applyFill="1" applyBorder="1" applyAlignment="1" applyProtection="1">
      <alignment horizontal="center" vertical="center"/>
    </xf>
    <xf numFmtId="0" fontId="95" fillId="2" borderId="70" xfId="9" applyNumberFormat="1" applyFont="1" applyFill="1" applyBorder="1" applyAlignment="1" applyProtection="1">
      <alignment horizontal="center" vertical="center"/>
    </xf>
    <xf numFmtId="0" fontId="63" fillId="2" borderId="14" xfId="9" applyNumberFormat="1" applyFont="1" applyFill="1" applyBorder="1" applyAlignment="1" applyProtection="1">
      <alignment horizontal="center" vertical="center" wrapText="1"/>
    </xf>
    <xf numFmtId="0" fontId="63" fillId="2" borderId="15" xfId="9" applyNumberFormat="1" applyFont="1" applyFill="1" applyBorder="1" applyAlignment="1" applyProtection="1">
      <alignment horizontal="center" vertical="center" wrapText="1"/>
    </xf>
    <xf numFmtId="0" fontId="95"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42"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2"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2" fontId="36" fillId="2" borderId="77" xfId="0" applyNumberFormat="1" applyFont="1" applyFill="1" applyBorder="1" applyAlignment="1" applyProtection="1">
      <alignment vertical="center" wrapText="1"/>
    </xf>
    <xf numFmtId="182"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10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1" fontId="17" fillId="0" borderId="1" xfId="12"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95" fillId="2" borderId="6" xfId="12" applyFont="1" applyFill="1" applyBorder="1" applyAlignment="1" applyProtection="1"/>
    <xf numFmtId="181" fontId="17"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30" fillId="2" borderId="54"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76" fontId="31" fillId="7" borderId="11" xfId="0" applyNumberFormat="1" applyFont="1" applyFill="1" applyBorder="1" applyAlignment="1" applyProtection="1">
      <alignment horizontal="center" vertical="center"/>
    </xf>
    <xf numFmtId="176" fontId="31" fillId="7" borderId="11" xfId="0" applyNumberFormat="1" applyFont="1" applyFill="1" applyBorder="1" applyAlignment="1" applyProtection="1">
      <alignment horizontal="center" vertical="center" wrapText="1"/>
    </xf>
    <xf numFmtId="176" fontId="31" fillId="7" borderId="1" xfId="0"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88"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86"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2"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2"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7" fontId="16" fillId="2" borderId="1" xfId="0"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xf>
    <xf numFmtId="183"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7" fontId="38" fillId="2" borderId="1" xfId="12" applyNumberFormat="1" applyFont="1" applyFill="1" applyBorder="1" applyAlignment="1" applyProtection="1">
      <alignment horizontal="center"/>
    </xf>
    <xf numFmtId="0" fontId="38" fillId="2" borderId="1" xfId="12" applyFont="1" applyFill="1" applyBorder="1" applyAlignment="1" applyProtection="1"/>
    <xf numFmtId="177"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80" fontId="16" fillId="2" borderId="1" xfId="0"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95"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12"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134"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2" fillId="2" borderId="1" xfId="12" applyFont="1" applyFill="1" applyBorder="1" applyAlignment="1" applyProtection="1">
      <alignment horizontal="left"/>
    </xf>
    <xf numFmtId="0" fontId="38" fillId="2" borderId="1" xfId="12" applyFont="1" applyFill="1" applyBorder="1" applyAlignment="1" applyProtection="1">
      <alignment horizontal="left"/>
    </xf>
    <xf numFmtId="180" fontId="38" fillId="2" borderId="1" xfId="0" applyNumberFormat="1" applyFont="1" applyFill="1" applyBorder="1" applyAlignment="1" applyProtection="1">
      <alignment horizontal="right" vertical="center"/>
    </xf>
    <xf numFmtId="183" fontId="135" fillId="2" borderId="1" xfId="0" applyNumberFormat="1" applyFont="1" applyFill="1" applyBorder="1" applyAlignment="1" applyProtection="1">
      <alignment horizontal="center"/>
    </xf>
    <xf numFmtId="180" fontId="135" fillId="2" borderId="1" xfId="0" applyNumberFormat="1" applyFont="1" applyFill="1" applyBorder="1" applyAlignment="1" applyProtection="1">
      <alignment horizontal="center" vertical="center"/>
    </xf>
    <xf numFmtId="177" fontId="135" fillId="2" borderId="12" xfId="12"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7" fontId="135" fillId="2" borderId="1" xfId="12"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12"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2"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2"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2" fontId="16" fillId="0" borderId="14" xfId="0" applyNumberFormat="1" applyFont="1" applyFill="1" applyBorder="1" applyAlignment="1" applyProtection="1">
      <alignment horizontal="center"/>
      <protection locked="0"/>
    </xf>
    <xf numFmtId="186" fontId="62"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2"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2"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1"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7"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7"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1"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12"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95"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0"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5" fontId="27" fillId="2" borderId="62" xfId="0" applyNumberFormat="1" applyFont="1" applyFill="1" applyBorder="1" applyAlignment="1" applyProtection="1">
      <alignment horizontal="center" vertical="center" wrapText="1"/>
    </xf>
    <xf numFmtId="49" fontId="27" fillId="5" borderId="62" xfId="0" applyNumberFormat="1" applyFont="1" applyFill="1" applyBorder="1" applyAlignment="1" applyProtection="1">
      <alignment horizontal="center" vertical="center" wrapText="1"/>
      <protection locked="0"/>
    </xf>
    <xf numFmtId="0" fontId="27" fillId="5" borderId="78"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113" fillId="2" borderId="3" xfId="1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139"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40" fillId="2" borderId="0" xfId="0" applyFont="1" applyFill="1" applyProtection="1">
      <alignment vertical="center"/>
    </xf>
    <xf numFmtId="0" fontId="24"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1"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3"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6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4"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29"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42"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30" xfId="0" applyFont="1" applyFill="1" applyBorder="1" applyProtection="1">
      <alignment vertical="center"/>
      <protection locked="0"/>
    </xf>
    <xf numFmtId="0" fontId="38" fillId="2" borderId="123"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6" fillId="2" borderId="138"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6" fillId="2" borderId="132"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2"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30" xfId="0" applyFont="1" applyFill="1" applyBorder="1" applyProtection="1">
      <alignment vertical="center"/>
    </xf>
    <xf numFmtId="0" fontId="8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2" fillId="2" borderId="45"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protection locked="0"/>
    </xf>
    <xf numFmtId="0" fontId="152"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2" fillId="2" borderId="131" xfId="0" applyFont="1" applyFill="1" applyBorder="1" applyAlignment="1" applyProtection="1">
      <alignment horizontal="center" vertical="center" wrapText="1"/>
    </xf>
    <xf numFmtId="0" fontId="152" fillId="2" borderId="130" xfId="0" applyFont="1" applyFill="1" applyBorder="1" applyAlignment="1" applyProtection="1">
      <alignment horizontal="center" vertical="center" wrapText="1"/>
    </xf>
    <xf numFmtId="0" fontId="153" fillId="2" borderId="130"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81" fontId="89"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81" fontId="8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6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6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6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6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6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10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0" fillId="2" borderId="10" xfId="0"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54" xfId="0" applyFont="1" applyFill="1" applyBorder="1" applyAlignment="1" applyProtection="1">
      <alignment horizontal="left" vertical="center" wrapText="1"/>
    </xf>
    <xf numFmtId="0" fontId="60" fillId="2" borderId="54" xfId="0" applyFont="1" applyFill="1" applyBorder="1" applyAlignment="1" applyProtection="1">
      <alignment horizontal="center" vertical="center" wrapText="1"/>
    </xf>
    <xf numFmtId="0" fontId="6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90"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0" fontId="93" fillId="2" borderId="10"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93" fillId="2" borderId="11" xfId="0" applyFont="1" applyFill="1" applyBorder="1" applyAlignment="1" applyProtection="1">
      <alignment horizontal="center" vertical="center" wrapText="1"/>
    </xf>
    <xf numFmtId="0" fontId="93"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94"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59" fillId="2" borderId="134" xfId="0" applyFont="1" applyFill="1" applyBorder="1" applyAlignment="1" applyProtection="1">
      <alignment vertical="center" wrapText="1"/>
    </xf>
    <xf numFmtId="0" fontId="159" fillId="2" borderId="135" xfId="0" applyFont="1" applyFill="1" applyBorder="1" applyAlignment="1" applyProtection="1">
      <alignment horizontal="center" vertical="center" wrapText="1"/>
    </xf>
    <xf numFmtId="0" fontId="159" fillId="2" borderId="125" xfId="0" applyFont="1" applyFill="1" applyBorder="1" applyAlignment="1" applyProtection="1">
      <alignment vertical="center" wrapText="1"/>
    </xf>
    <xf numFmtId="0" fontId="96"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61"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6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2" fillId="2" borderId="1" xfId="5" applyFont="1" applyFill="1" applyBorder="1" applyAlignment="1">
      <alignment horizontal="center" vertical="center" wrapText="1"/>
    </xf>
    <xf numFmtId="0" fontId="162" fillId="0" borderId="0" xfId="5" applyFont="1" applyBorder="1" applyAlignment="1">
      <alignment horizontal="left" vertical="center" wrapText="1"/>
    </xf>
    <xf numFmtId="14" fontId="162" fillId="2" borderId="1" xfId="5" applyNumberFormat="1" applyFont="1" applyFill="1" applyBorder="1" applyAlignment="1">
      <alignment horizontal="center" vertical="center" wrapText="1"/>
    </xf>
    <xf numFmtId="0" fontId="162" fillId="12" borderId="1" xfId="5" applyFont="1" applyFill="1" applyBorder="1" applyAlignment="1" applyProtection="1">
      <alignment horizontal="center" vertical="center" wrapText="1"/>
      <protection locked="0"/>
    </xf>
    <xf numFmtId="0" fontId="230" fillId="2" borderId="1" xfId="5" applyFill="1" applyBorder="1" applyAlignment="1">
      <alignment vertical="center"/>
    </xf>
    <xf numFmtId="0" fontId="162" fillId="2" borderId="9" xfId="5" applyFont="1" applyFill="1" applyBorder="1" applyAlignment="1">
      <alignment horizontal="center" vertical="center" wrapText="1"/>
    </xf>
    <xf numFmtId="0" fontId="0" fillId="2" borderId="1" xfId="5" applyFont="1" applyFill="1" applyBorder="1" applyAlignment="1">
      <alignment vertical="center"/>
    </xf>
    <xf numFmtId="0" fontId="230" fillId="0" borderId="1" xfId="5" applyBorder="1" applyAlignment="1" applyProtection="1">
      <alignment vertical="center"/>
      <protection locked="0"/>
    </xf>
    <xf numFmtId="0" fontId="162" fillId="0" borderId="1" xfId="5" applyFont="1" applyBorder="1" applyAlignment="1" applyProtection="1">
      <alignment horizontal="left" vertical="center" wrapText="1"/>
      <protection locked="0"/>
    </xf>
    <xf numFmtId="0" fontId="163"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5" fillId="0" borderId="144" xfId="0" applyFont="1" applyBorder="1" applyAlignment="1" applyProtection="1">
      <alignment horizontal="center" vertical="center" wrapText="1"/>
      <protection locked="0"/>
    </xf>
    <xf numFmtId="0" fontId="133" fillId="2" borderId="128"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30"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128" xfId="0" applyFont="1" applyFill="1" applyBorder="1" applyAlignment="1" applyProtection="1">
      <alignment horizontal="right" vertical="center" wrapText="1"/>
    </xf>
    <xf numFmtId="0" fontId="41" fillId="2" borderId="129"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6"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6"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166"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42"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3"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4" fillId="2" borderId="0" xfId="0" applyFont="1" applyFill="1" applyBorder="1" applyAlignment="1" applyProtection="1">
      <alignment horizontal="center" vertical="center"/>
    </xf>
    <xf numFmtId="0" fontId="165" fillId="0" borderId="0" xfId="0" applyFont="1" applyBorder="1" applyAlignment="1" applyProtection="1">
      <alignment horizontal="center" vertical="center" wrapText="1"/>
      <protection locked="0"/>
    </xf>
    <xf numFmtId="0" fontId="164" fillId="2" borderId="145"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31" xfId="0" applyFont="1" applyFill="1" applyBorder="1" applyAlignment="1" applyProtection="1">
      <alignment horizontal="right" vertical="center" wrapText="1"/>
    </xf>
    <xf numFmtId="0" fontId="133" fillId="2" borderId="123"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3" fillId="2" borderId="123"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3" fillId="2" borderId="138"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3" fillId="2" borderId="138"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3" fillId="2" borderId="13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3" fillId="2" borderId="13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5" fillId="0" borderId="144" xfId="0" applyNumberFormat="1" applyFont="1" applyFill="1" applyBorder="1" applyAlignment="1" applyProtection="1">
      <alignment horizontal="center" vertical="center" wrapText="1"/>
      <protection locked="0"/>
    </xf>
    <xf numFmtId="0" fontId="165"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5" fillId="0" borderId="0" xfId="0" applyNumberFormat="1" applyFont="1" applyBorder="1" applyAlignment="1" applyProtection="1">
      <alignment horizontal="center" vertical="center" wrapText="1"/>
      <protection locked="0"/>
    </xf>
    <xf numFmtId="0" fontId="165" fillId="0" borderId="74" xfId="0" applyNumberFormat="1"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3" fillId="0" borderId="0" xfId="0" applyNumberFormat="1" applyFont="1" applyFill="1" applyAlignment="1" applyProtection="1">
      <alignment horizontal="center" vertical="center" wrapText="1"/>
      <protection locked="0"/>
    </xf>
    <xf numFmtId="0" fontId="163" fillId="0" borderId="0" xfId="0" applyFont="1" applyFill="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163"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6"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1"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123" xfId="0" applyFont="1" applyFill="1" applyBorder="1" applyAlignment="1" applyProtection="1">
      <alignment vertical="center" wrapText="1"/>
    </xf>
    <xf numFmtId="0" fontId="27" fillId="2" borderId="128" xfId="0" applyFont="1" applyFill="1" applyBorder="1" applyAlignment="1" applyProtection="1">
      <alignment vertical="center"/>
    </xf>
    <xf numFmtId="0" fontId="27" fillId="2" borderId="129" xfId="0" applyFont="1" applyFill="1" applyBorder="1" applyAlignment="1" applyProtection="1">
      <alignment vertical="center"/>
    </xf>
    <xf numFmtId="181" fontId="27" fillId="2" borderId="129" xfId="0" applyNumberFormat="1" applyFont="1" applyFill="1" applyBorder="1" applyAlignment="1" applyProtection="1">
      <alignment vertical="center"/>
    </xf>
    <xf numFmtId="0" fontId="137" fillId="2" borderId="129" xfId="0" applyFont="1" applyFill="1" applyBorder="1" applyAlignment="1" applyProtection="1">
      <alignment vertical="center"/>
    </xf>
    <xf numFmtId="0" fontId="66"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9"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1" fontId="27" fillId="2" borderId="5" xfId="0" applyNumberFormat="1" applyFont="1" applyFill="1" applyBorder="1" applyAlignment="1" applyProtection="1">
      <alignment horizontal="center" vertical="center" wrapText="1"/>
    </xf>
    <xf numFmtId="177" fontId="137" fillId="2" borderId="6" xfId="12" applyNumberFormat="1" applyFont="1" applyFill="1" applyBorder="1" applyAlignment="1" applyProtection="1">
      <alignment horizontal="left" vertical="center"/>
    </xf>
    <xf numFmtId="177" fontId="41" fillId="2" borderId="1" xfId="12" applyNumberFormat="1" applyFont="1" applyFill="1" applyBorder="1" applyAlignment="1" applyProtection="1">
      <alignment vertical="center"/>
    </xf>
    <xf numFmtId="177" fontId="27" fillId="5" borderId="10" xfId="12" applyNumberFormat="1" applyFont="1" applyFill="1" applyBorder="1" applyAlignment="1" applyProtection="1">
      <alignment vertical="center"/>
      <protection locked="0"/>
    </xf>
    <xf numFmtId="177" fontId="27" fillId="2" borderId="6" xfId="12" applyNumberFormat="1"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181" fontId="31" fillId="2" borderId="1" xfId="12" applyNumberFormat="1" applyFont="1" applyFill="1" applyBorder="1" applyAlignment="1" applyProtection="1">
      <alignment horizontal="center" vertical="center"/>
    </xf>
    <xf numFmtId="189" fontId="31" fillId="2" borderId="1" xfId="12" applyNumberFormat="1" applyFont="1" applyFill="1" applyBorder="1" applyAlignment="1" applyProtection="1">
      <alignment horizontal="center" vertical="center"/>
    </xf>
    <xf numFmtId="183" fontId="62"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7" fontId="27" fillId="2" borderId="6" xfId="12" applyNumberFormat="1" applyFont="1" applyFill="1" applyBorder="1" applyAlignment="1" applyProtection="1">
      <alignment horizontal="left" vertical="center" wrapText="1"/>
    </xf>
    <xf numFmtId="177" fontId="27" fillId="2" borderId="1" xfId="12" applyNumberFormat="1" applyFont="1" applyFill="1" applyBorder="1" applyAlignment="1" applyProtection="1">
      <alignment vertical="center"/>
    </xf>
    <xf numFmtId="177" fontId="27" fillId="2" borderId="10" xfId="12"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7" fontId="137"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3"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12" applyNumberFormat="1" applyFont="1" applyFill="1" applyBorder="1" applyAlignment="1" applyProtection="1">
      <alignment vertical="center" wrapText="1"/>
    </xf>
    <xf numFmtId="186" fontId="31" fillId="0" borderId="13" xfId="12" applyNumberFormat="1" applyFont="1" applyFill="1" applyBorder="1" applyAlignment="1" applyProtection="1">
      <alignment horizontal="center" vertical="center"/>
      <protection locked="0"/>
    </xf>
    <xf numFmtId="0" fontId="137" fillId="2" borderId="0" xfId="0" applyFont="1" applyFill="1" applyAlignment="1" applyProtection="1">
      <alignment vertical="center"/>
      <protection locked="0"/>
    </xf>
    <xf numFmtId="186" fontId="31" fillId="2" borderId="6" xfId="12" applyNumberFormat="1" applyFont="1" applyFill="1" applyBorder="1" applyAlignment="1" applyProtection="1">
      <alignment vertical="center" wrapText="1"/>
    </xf>
    <xf numFmtId="186" fontId="27" fillId="0" borderId="14" xfId="12" applyNumberFormat="1" applyFont="1" applyFill="1" applyBorder="1" applyAlignment="1" applyProtection="1">
      <alignment horizontal="center" vertical="center"/>
      <protection locked="0"/>
    </xf>
    <xf numFmtId="186" fontId="27" fillId="2" borderId="6" xfId="12" applyNumberFormat="1" applyFont="1" applyFill="1" applyBorder="1" applyAlignment="1" applyProtection="1">
      <alignment vertical="center" wrapText="1"/>
    </xf>
    <xf numFmtId="186" fontId="31" fillId="2" borderId="14" xfId="12" applyNumberFormat="1" applyFont="1" applyFill="1" applyBorder="1" applyAlignment="1" applyProtection="1">
      <alignment horizontal="center" vertical="center"/>
    </xf>
    <xf numFmtId="186" fontId="31" fillId="2" borderId="7" xfId="12" applyNumberFormat="1" applyFont="1" applyFill="1" applyBorder="1" applyAlignment="1" applyProtection="1">
      <alignment vertical="center" wrapText="1"/>
    </xf>
    <xf numFmtId="186"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1"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66"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9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6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8" fontId="27" fillId="2" borderId="70" xfId="0" applyNumberFormat="1" applyFont="1" applyFill="1" applyBorder="1" applyAlignment="1" applyProtection="1">
      <alignment horizontal="center" vertical="center"/>
    </xf>
    <xf numFmtId="0" fontId="66" fillId="2" borderId="0" xfId="0" applyFont="1" applyFill="1" applyAlignment="1" applyProtection="1">
      <alignment horizontal="center" vertical="center"/>
      <protection locked="0"/>
    </xf>
    <xf numFmtId="0" fontId="167" fillId="2" borderId="0" xfId="0" applyFont="1" applyFill="1" applyAlignment="1" applyProtection="1">
      <alignment vertical="center"/>
      <protection locked="0"/>
    </xf>
    <xf numFmtId="0" fontId="6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1" fontId="66" fillId="2" borderId="0" xfId="0" applyNumberFormat="1" applyFont="1" applyFill="1" applyAlignment="1" applyProtection="1">
      <alignment vertical="center"/>
      <protection locked="0"/>
    </xf>
    <xf numFmtId="0" fontId="6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7" fillId="2" borderId="130" xfId="0" applyFont="1" applyFill="1" applyBorder="1" applyAlignment="1" applyProtection="1">
      <alignment vertical="center"/>
    </xf>
    <xf numFmtId="0" fontId="27" fillId="2" borderId="128" xfId="0" applyFont="1" applyFill="1" applyBorder="1" applyAlignment="1" applyProtection="1">
      <alignment horizontal="center" vertical="center"/>
    </xf>
    <xf numFmtId="0" fontId="27" fillId="2" borderId="12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1"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1" fontId="27"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7"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3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66"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6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1" fontId="27" fillId="2" borderId="7" xfId="12" applyNumberFormat="1" applyFont="1" applyFill="1" applyBorder="1" applyAlignment="1" applyProtection="1">
      <alignment horizontal="center" vertical="center"/>
    </xf>
    <xf numFmtId="181" fontId="27" fillId="2" borderId="142"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42"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6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1"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6"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6" fontId="38" fillId="2" borderId="13" xfId="12" applyNumberFormat="1" applyFont="1" applyFill="1" applyBorder="1" applyAlignment="1" applyProtection="1">
      <alignment horizontal="center" vertical="center"/>
    </xf>
    <xf numFmtId="0" fontId="66" fillId="2" borderId="10" xfId="0" applyFont="1" applyFill="1" applyBorder="1" applyProtection="1">
      <alignment vertical="center"/>
    </xf>
    <xf numFmtId="0" fontId="6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12" applyNumberFormat="1" applyFont="1" applyFill="1" applyBorder="1" applyAlignment="1" applyProtection="1">
      <alignment horizontal="center" vertical="center"/>
    </xf>
    <xf numFmtId="186" fontId="36" fillId="2" borderId="78" xfId="12" applyNumberFormat="1" applyFont="1" applyFill="1" applyBorder="1" applyAlignment="1" applyProtection="1">
      <alignment horizontal="center" vertical="center"/>
    </xf>
    <xf numFmtId="186"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37"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2" applyNumberFormat="1" applyFont="1" applyFill="1" applyBorder="1" applyAlignment="1" applyProtection="1">
      <alignment vertical="center"/>
      <protection locked="0"/>
    </xf>
    <xf numFmtId="177" fontId="27" fillId="0" borderId="11" xfId="12"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4" fillId="2" borderId="142" xfId="0" applyFont="1" applyFill="1" applyBorder="1" applyAlignment="1" applyProtection="1">
      <alignment vertical="center"/>
    </xf>
    <xf numFmtId="181" fontId="38" fillId="2" borderId="142" xfId="0" applyNumberFormat="1" applyFont="1" applyFill="1" applyBorder="1" applyAlignment="1" applyProtection="1">
      <alignment vertical="center"/>
    </xf>
    <xf numFmtId="181" fontId="38" fillId="2" borderId="8" xfId="0" applyNumberFormat="1" applyFont="1" applyFill="1" applyBorder="1" applyAlignment="1" applyProtection="1">
      <alignment vertical="center"/>
    </xf>
    <xf numFmtId="181" fontId="38" fillId="2" borderId="15" xfId="0" applyNumberFormat="1" applyFont="1" applyFill="1" applyBorder="1" applyAlignment="1" applyProtection="1">
      <alignment vertical="center"/>
    </xf>
    <xf numFmtId="0" fontId="137"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1" fontId="38" fillId="5" borderId="14" xfId="0" applyNumberFormat="1" applyFont="1" applyFill="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1" xfId="0" applyFont="1" applyFill="1" applyBorder="1" applyAlignment="1" applyProtection="1">
      <alignment horizontal="left" vertical="center"/>
    </xf>
    <xf numFmtId="0" fontId="6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66" fillId="0" borderId="6" xfId="0" applyFont="1" applyBorder="1" applyProtection="1">
      <alignment vertical="center"/>
      <protection locked="0"/>
    </xf>
    <xf numFmtId="0" fontId="66" fillId="0" borderId="1" xfId="0" applyFont="1" applyBorder="1" applyProtection="1">
      <alignment vertical="center"/>
      <protection locked="0"/>
    </xf>
    <xf numFmtId="0" fontId="66" fillId="2" borderId="14" xfId="0" applyFont="1" applyFill="1" applyBorder="1" applyProtection="1">
      <alignment vertical="center"/>
    </xf>
    <xf numFmtId="0" fontId="27" fillId="2" borderId="22" xfId="0" applyFont="1" applyFill="1" applyBorder="1" applyProtection="1">
      <alignment vertical="center"/>
    </xf>
    <xf numFmtId="0" fontId="66" fillId="0" borderId="22" xfId="0" applyFont="1" applyBorder="1" applyProtection="1">
      <alignment vertical="center"/>
      <protection locked="0"/>
    </xf>
    <xf numFmtId="0" fontId="66" fillId="0" borderId="9" xfId="0" applyFont="1" applyBorder="1" applyProtection="1">
      <alignment vertical="center"/>
      <protection locked="0"/>
    </xf>
    <xf numFmtId="0" fontId="66"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7" fillId="2" borderId="10" xfId="0" applyFont="1" applyFill="1" applyBorder="1" applyProtection="1">
      <alignment vertical="center"/>
    </xf>
    <xf numFmtId="0" fontId="137"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66" fillId="3" borderId="3" xfId="0" applyFont="1" applyFill="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4" fillId="0" borderId="1" xfId="7"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65" fillId="0" borderId="1" xfId="7" applyFont="1" applyBorder="1" applyAlignment="1" applyProtection="1">
      <alignment horizontal="center" vertical="center" wrapText="1"/>
      <protection locked="0"/>
    </xf>
    <xf numFmtId="0" fontId="65" fillId="0" borderId="1" xfId="7" applyFont="1" applyFill="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0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169" fillId="2" borderId="11" xfId="0" applyFont="1" applyFill="1" applyBorder="1" applyAlignment="1" applyProtection="1">
      <alignment horizontal="right" vertical="center"/>
    </xf>
    <xf numFmtId="0" fontId="104" fillId="2" borderId="11" xfId="0" applyFont="1" applyFill="1" applyBorder="1" applyAlignment="1" applyProtection="1">
      <alignment horizontal="center" vertical="center"/>
    </xf>
    <xf numFmtId="0" fontId="170"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104" fillId="2" borderId="11" xfId="0" applyFont="1" applyFill="1" applyBorder="1" applyAlignment="1" applyProtection="1">
      <alignment horizontal="center" vertical="center" wrapText="1"/>
    </xf>
    <xf numFmtId="0" fontId="10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10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71" fillId="0" borderId="147" xfId="0" applyFont="1" applyBorder="1" applyAlignment="1" applyProtection="1">
      <alignment vertical="center" wrapText="1"/>
    </xf>
    <xf numFmtId="0" fontId="171" fillId="0" borderId="0" xfId="0" applyFont="1" applyAlignment="1" applyProtection="1">
      <alignment vertical="center" wrapText="1"/>
    </xf>
    <xf numFmtId="0" fontId="171" fillId="0" borderId="0" xfId="0" applyFont="1" applyAlignment="1" applyProtection="1">
      <alignment horizontal="center" vertical="center" wrapText="1"/>
    </xf>
    <xf numFmtId="49" fontId="171" fillId="0" borderId="20" xfId="0" applyNumberFormat="1" applyFont="1" applyBorder="1" applyAlignment="1" applyProtection="1">
      <alignment horizontal="center" vertical="center" wrapText="1"/>
    </xf>
    <xf numFmtId="49" fontId="171" fillId="0" borderId="0" xfId="0" applyNumberFormat="1" applyFont="1" applyAlignment="1" applyProtection="1">
      <alignment horizontal="center" vertical="center" wrapText="1"/>
    </xf>
    <xf numFmtId="0" fontId="171" fillId="2" borderId="60" xfId="0" applyFont="1" applyFill="1" applyBorder="1" applyAlignment="1" applyProtection="1">
      <alignment vertical="center" wrapText="1"/>
    </xf>
    <xf numFmtId="0" fontId="171" fillId="2" borderId="0" xfId="0" applyFont="1" applyFill="1" applyBorder="1" applyAlignment="1" applyProtection="1">
      <alignment vertical="center" wrapText="1"/>
    </xf>
    <xf numFmtId="0" fontId="171" fillId="0" borderId="0" xfId="0" applyFont="1" applyAlignment="1" applyProtection="1">
      <alignment vertical="center"/>
      <protection locked="0"/>
    </xf>
    <xf numFmtId="0" fontId="171" fillId="2" borderId="0" xfId="0" applyFont="1" applyFill="1" applyAlignment="1" applyProtection="1">
      <alignment vertical="center" wrapText="1"/>
    </xf>
    <xf numFmtId="0" fontId="171" fillId="2" borderId="1" xfId="0" applyFont="1" applyFill="1" applyBorder="1" applyAlignment="1" applyProtection="1">
      <alignment horizontal="left" vertical="center"/>
    </xf>
    <xf numFmtId="14" fontId="171" fillId="0" borderId="9" xfId="0" applyNumberFormat="1" applyFont="1" applyFill="1" applyBorder="1" applyAlignment="1" applyProtection="1">
      <alignment horizontal="left" vertical="center"/>
      <protection locked="0"/>
    </xf>
    <xf numFmtId="0" fontId="171" fillId="2" borderId="9" xfId="0" applyFont="1" applyFill="1" applyBorder="1" applyAlignment="1" applyProtection="1">
      <alignment vertical="center" wrapText="1"/>
    </xf>
    <xf numFmtId="0" fontId="171" fillId="2" borderId="83" xfId="0" applyFont="1" applyFill="1" applyBorder="1" applyAlignment="1" applyProtection="1">
      <alignment horizontal="left" vertical="center"/>
    </xf>
    <xf numFmtId="0" fontId="171" fillId="3" borderId="83" xfId="0" applyFont="1" applyFill="1" applyBorder="1" applyAlignment="1" applyProtection="1">
      <alignment vertical="center" wrapText="1"/>
      <protection locked="0"/>
    </xf>
    <xf numFmtId="0" fontId="171" fillId="2" borderId="83" xfId="0" applyFont="1" applyFill="1" applyBorder="1" applyAlignment="1" applyProtection="1">
      <alignment vertical="center" wrapText="1"/>
    </xf>
    <xf numFmtId="0" fontId="171" fillId="2" borderId="34" xfId="0" applyFont="1" applyFill="1" applyBorder="1" applyAlignment="1" applyProtection="1">
      <alignment vertical="center" wrapText="1"/>
    </xf>
    <xf numFmtId="0" fontId="171" fillId="6" borderId="10" xfId="0" applyFont="1" applyFill="1" applyBorder="1" applyAlignment="1" applyProtection="1">
      <alignment vertical="center"/>
      <protection locked="0"/>
    </xf>
    <xf numFmtId="0" fontId="171" fillId="6" borderId="89" xfId="0" applyFont="1" applyFill="1" applyBorder="1" applyAlignment="1" applyProtection="1">
      <alignment vertical="center" wrapText="1"/>
    </xf>
    <xf numFmtId="0" fontId="171" fillId="6" borderId="81" xfId="0" applyFont="1" applyFill="1" applyBorder="1" applyAlignment="1" applyProtection="1">
      <alignment vertical="center" wrapText="1"/>
    </xf>
    <xf numFmtId="0" fontId="171" fillId="6" borderId="12" xfId="0" applyFont="1" applyFill="1" applyBorder="1" applyAlignment="1" applyProtection="1">
      <alignment vertical="center" wrapText="1"/>
    </xf>
    <xf numFmtId="0" fontId="171" fillId="6" borderId="58" xfId="0" applyFont="1" applyFill="1" applyBorder="1" applyAlignment="1" applyProtection="1">
      <alignment vertical="center" wrapText="1"/>
    </xf>
    <xf numFmtId="0" fontId="171" fillId="2" borderId="18" xfId="0" applyFont="1" applyFill="1" applyBorder="1" applyAlignment="1" applyProtection="1">
      <alignment vertical="center" wrapText="1"/>
    </xf>
    <xf numFmtId="0" fontId="171" fillId="3" borderId="10" xfId="0" applyFont="1" applyFill="1" applyBorder="1" applyAlignment="1" applyProtection="1">
      <alignment horizontal="left" vertical="center" wrapText="1"/>
      <protection locked="0"/>
    </xf>
    <xf numFmtId="0" fontId="171" fillId="3" borderId="12" xfId="0" applyFont="1" applyFill="1" applyBorder="1" applyAlignment="1" applyProtection="1">
      <alignment vertical="center" wrapText="1"/>
    </xf>
    <xf numFmtId="0" fontId="171" fillId="3" borderId="10" xfId="0" applyFont="1" applyFill="1" applyBorder="1" applyAlignment="1" applyProtection="1">
      <alignment vertical="center" wrapText="1"/>
      <protection locked="0"/>
    </xf>
    <xf numFmtId="0" fontId="171" fillId="3" borderId="11" xfId="0" applyFont="1" applyFill="1" applyBorder="1" applyAlignment="1" applyProtection="1">
      <alignment vertical="center" wrapText="1"/>
    </xf>
    <xf numFmtId="0" fontId="171" fillId="2" borderId="134" xfId="0" applyFont="1" applyFill="1" applyBorder="1" applyAlignment="1" applyProtection="1">
      <alignment vertical="center" wrapText="1"/>
    </xf>
    <xf numFmtId="0" fontId="171" fillId="3" borderId="134" xfId="0" applyFont="1" applyFill="1" applyBorder="1" applyAlignment="1" applyProtection="1">
      <alignment horizontal="left" vertical="center"/>
      <protection locked="0"/>
    </xf>
    <xf numFmtId="0" fontId="171" fillId="3" borderId="135" xfId="0" applyFont="1" applyFill="1" applyBorder="1" applyAlignment="1" applyProtection="1">
      <alignment vertical="center" wrapText="1"/>
    </xf>
    <xf numFmtId="0" fontId="171" fillId="3" borderId="125" xfId="0" applyFont="1" applyFill="1" applyBorder="1" applyAlignment="1" applyProtection="1">
      <alignment vertical="center" wrapText="1"/>
    </xf>
    <xf numFmtId="0" fontId="171" fillId="2" borderId="2" xfId="0" applyFont="1" applyFill="1" applyBorder="1" applyAlignment="1" applyProtection="1">
      <alignment vertical="center" wrapText="1"/>
    </xf>
    <xf numFmtId="0" fontId="171" fillId="2" borderId="34" xfId="0" applyFont="1" applyFill="1" applyBorder="1" applyAlignment="1" applyProtection="1">
      <alignment horizontal="left" vertical="center"/>
    </xf>
    <xf numFmtId="0" fontId="171" fillId="5" borderId="81" xfId="0" applyFont="1" applyFill="1" applyBorder="1" applyAlignment="1" applyProtection="1">
      <alignment horizontal="left" vertical="center" wrapText="1"/>
      <protection locked="0"/>
    </xf>
    <xf numFmtId="0" fontId="171" fillId="6" borderId="89" xfId="0" applyFont="1" applyFill="1" applyBorder="1" applyAlignment="1" applyProtection="1">
      <alignment vertical="center" wrapText="1"/>
      <protection locked="0"/>
    </xf>
    <xf numFmtId="49" fontId="171" fillId="2" borderId="3" xfId="0" applyNumberFormat="1" applyFont="1" applyFill="1" applyBorder="1" applyAlignment="1" applyProtection="1">
      <alignment horizontal="left" vertical="center" wrapText="1"/>
    </xf>
    <xf numFmtId="49" fontId="172" fillId="0" borderId="34" xfId="0" applyNumberFormat="1" applyFont="1" applyFill="1" applyBorder="1" applyAlignment="1" applyProtection="1">
      <alignment horizontal="left" vertical="center"/>
      <protection locked="0"/>
    </xf>
    <xf numFmtId="0" fontId="171" fillId="0" borderId="89" xfId="0" applyFont="1" applyFill="1" applyBorder="1" applyAlignment="1" applyProtection="1">
      <alignment vertical="center" wrapText="1"/>
    </xf>
    <xf numFmtId="0" fontId="171" fillId="6" borderId="89" xfId="0" applyFont="1" applyFill="1" applyBorder="1" applyAlignment="1" applyProtection="1">
      <alignment horizontal="center" vertical="center" wrapText="1"/>
    </xf>
    <xf numFmtId="0" fontId="171" fillId="2" borderId="10" xfId="0" applyFont="1" applyFill="1" applyBorder="1" applyAlignment="1" applyProtection="1">
      <alignment vertical="center"/>
    </xf>
    <xf numFmtId="0" fontId="171" fillId="5" borderId="58" xfId="0" applyFont="1" applyFill="1" applyBorder="1" applyAlignment="1" applyProtection="1">
      <alignment horizontal="lef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xf>
    <xf numFmtId="0" fontId="171" fillId="2" borderId="18" xfId="0" applyFont="1" applyFill="1" applyBorder="1" applyAlignment="1" applyProtection="1">
      <alignment vertical="center"/>
    </xf>
    <xf numFmtId="0" fontId="171" fillId="2" borderId="1" xfId="0" applyFont="1" applyFill="1" applyBorder="1" applyAlignment="1" applyProtection="1">
      <alignment vertical="center" wrapText="1"/>
    </xf>
    <xf numFmtId="0" fontId="171" fillId="2" borderId="1" xfId="0" applyFont="1" applyFill="1" applyBorder="1" applyAlignment="1" applyProtection="1">
      <alignment horizontal="left" vertical="center" wrapText="1"/>
    </xf>
    <xf numFmtId="0" fontId="171" fillId="3" borderId="12"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xf>
    <xf numFmtId="0" fontId="171" fillId="3" borderId="1" xfId="0" applyFont="1" applyFill="1" applyBorder="1" applyAlignment="1" applyProtection="1">
      <alignment horizontal="center" vertical="center"/>
      <protection locked="0"/>
    </xf>
    <xf numFmtId="0" fontId="171" fillId="2" borderId="12" xfId="0" applyFont="1" applyFill="1" applyBorder="1" applyAlignment="1" applyProtection="1">
      <alignment vertical="center"/>
    </xf>
    <xf numFmtId="0" fontId="171" fillId="2" borderId="9" xfId="0" applyFont="1" applyFill="1" applyBorder="1" applyAlignment="1" applyProtection="1">
      <alignment horizontal="left" vertical="center"/>
    </xf>
    <xf numFmtId="49" fontId="171" fillId="2" borderId="1"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49" fontId="171" fillId="2" borderId="9" xfId="0" applyNumberFormat="1" applyFont="1" applyFill="1" applyBorder="1" applyAlignment="1" applyProtection="1">
      <alignment horizontal="left" vertical="center" wrapText="1"/>
    </xf>
    <xf numFmtId="0" fontId="171" fillId="3" borderId="9" xfId="0" applyFont="1" applyFill="1" applyBorder="1" applyAlignment="1" applyProtection="1">
      <alignment horizontal="center" vertical="center" wrapText="1"/>
      <protection locked="0"/>
    </xf>
    <xf numFmtId="0" fontId="171" fillId="3" borderId="1" xfId="0" applyFont="1" applyFill="1" applyBorder="1" applyAlignment="1" applyProtection="1">
      <alignment vertical="center" wrapText="1"/>
      <protection locked="0"/>
    </xf>
    <xf numFmtId="0" fontId="171" fillId="2" borderId="35" xfId="0" applyFont="1" applyFill="1" applyBorder="1" applyAlignment="1" applyProtection="1">
      <alignment horizontal="left" vertical="center"/>
    </xf>
    <xf numFmtId="0" fontId="171" fillId="5" borderId="35" xfId="0" applyFont="1" applyFill="1" applyBorder="1" applyAlignment="1" applyProtection="1">
      <alignment horizontal="left" vertical="center" wrapText="1"/>
    </xf>
    <xf numFmtId="0" fontId="171" fillId="2" borderId="89" xfId="0" applyFont="1" applyFill="1" applyBorder="1" applyAlignment="1" applyProtection="1">
      <alignment vertical="center" wrapText="1"/>
    </xf>
    <xf numFmtId="185" fontId="171" fillId="0" borderId="1" xfId="0" applyNumberFormat="1" applyFont="1" applyFill="1" applyBorder="1" applyAlignment="1" applyProtection="1">
      <alignment horizontal="center" vertical="center" shrinkToFit="1"/>
      <protection locked="0"/>
    </xf>
    <xf numFmtId="177" fontId="171" fillId="3" borderId="1" xfId="12" applyNumberFormat="1" applyFont="1" applyFill="1" applyBorder="1" applyAlignment="1" applyProtection="1">
      <alignment horizontal="center" vertical="center"/>
      <protection locked="0"/>
    </xf>
    <xf numFmtId="181" fontId="171" fillId="2" borderId="9" xfId="0" applyNumberFormat="1" applyFont="1" applyFill="1" applyBorder="1" applyAlignment="1" applyProtection="1">
      <alignment horizontal="center" vertical="center" wrapText="1"/>
    </xf>
    <xf numFmtId="181" fontId="171" fillId="2" borderId="1" xfId="0" applyNumberFormat="1" applyFont="1" applyFill="1" applyBorder="1" applyAlignment="1" applyProtection="1">
      <alignment horizontal="center" vertical="center" wrapText="1"/>
    </xf>
    <xf numFmtId="0" fontId="171" fillId="2" borderId="10" xfId="0" applyFont="1" applyFill="1" applyBorder="1" applyAlignment="1" applyProtection="1">
      <alignment horizontal="right" vertical="center" wrapText="1"/>
    </xf>
    <xf numFmtId="0" fontId="171" fillId="2" borderId="1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xf>
    <xf numFmtId="0" fontId="171" fillId="2" borderId="3" xfId="0" applyFont="1" applyFill="1" applyBorder="1" applyAlignment="1" applyProtection="1">
      <alignment horizontal="left" vertical="center"/>
    </xf>
    <xf numFmtId="0" fontId="171" fillId="2" borderId="3" xfId="0" applyFont="1" applyFill="1" applyBorder="1" applyAlignment="1" applyProtection="1">
      <alignment horizontal="center" vertical="center" wrapText="1"/>
    </xf>
    <xf numFmtId="0" fontId="171" fillId="2" borderId="3" xfId="0" applyFont="1" applyFill="1" applyBorder="1" applyAlignment="1" applyProtection="1">
      <alignment horizontal="left" vertical="center" wrapText="1"/>
    </xf>
    <xf numFmtId="0" fontId="141" fillId="3" borderId="3" xfId="0" applyFont="1" applyFill="1" applyBorder="1" applyAlignment="1" applyProtection="1">
      <alignment horizontal="left" vertical="center" wrapText="1"/>
      <protection locked="0"/>
    </xf>
    <xf numFmtId="0" fontId="171" fillId="2" borderId="9" xfId="0" applyFont="1" applyFill="1" applyBorder="1" applyAlignment="1" applyProtection="1">
      <alignment horizontal="left" vertical="center" wrapText="1"/>
    </xf>
    <xf numFmtId="0" fontId="171" fillId="2" borderId="35" xfId="0" applyFont="1" applyFill="1" applyBorder="1" applyAlignment="1" applyProtection="1">
      <alignment vertical="center"/>
    </xf>
    <xf numFmtId="0" fontId="171" fillId="3" borderId="35" xfId="0" applyFont="1" applyFill="1" applyBorder="1" applyAlignment="1" applyProtection="1">
      <alignment horizontal="center" vertical="center" wrapText="1"/>
      <protection locked="0"/>
    </xf>
    <xf numFmtId="0" fontId="171" fillId="2" borderId="80" xfId="0" applyFont="1" applyFill="1" applyBorder="1" applyAlignment="1" applyProtection="1">
      <alignment horizontal="center" vertical="center" wrapText="1"/>
    </xf>
    <xf numFmtId="0" fontId="171" fillId="3" borderId="80" xfId="0" applyFont="1" applyFill="1" applyBorder="1" applyAlignment="1" applyProtection="1">
      <alignment horizontal="center" vertical="center" wrapText="1"/>
      <protection locked="0"/>
    </xf>
    <xf numFmtId="0" fontId="173" fillId="2" borderId="80" xfId="0" applyFont="1" applyFill="1" applyBorder="1" applyAlignment="1" applyProtection="1">
      <alignment vertical="center" wrapText="1"/>
    </xf>
    <xf numFmtId="0" fontId="171" fillId="3" borderId="86" xfId="0" applyFont="1" applyFill="1" applyBorder="1" applyAlignment="1" applyProtection="1">
      <alignment horizontal="center" vertical="center" wrapText="1"/>
      <protection locked="0"/>
    </xf>
    <xf numFmtId="0" fontId="171" fillId="2" borderId="9" xfId="0" applyFont="1" applyFill="1" applyBorder="1" applyAlignment="1" applyProtection="1">
      <alignment horizontal="right" vertical="center" wrapText="1"/>
    </xf>
    <xf numFmtId="0" fontId="171" fillId="2" borderId="123" xfId="0" applyFont="1" applyFill="1" applyBorder="1" applyAlignment="1" applyProtection="1">
      <alignment vertical="center"/>
    </xf>
    <xf numFmtId="0" fontId="171" fillId="2" borderId="35"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protection locked="0"/>
    </xf>
    <xf numFmtId="0" fontId="171" fillId="3"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3" borderId="10" xfId="0" applyFont="1" applyFill="1" applyBorder="1" applyAlignment="1" applyProtection="1">
      <alignment horizontal="center" vertical="center" wrapText="1"/>
      <protection locked="0"/>
    </xf>
    <xf numFmtId="0" fontId="171" fillId="0" borderId="149" xfId="0" applyFont="1" applyBorder="1" applyAlignment="1" applyProtection="1">
      <alignment vertical="center" wrapText="1"/>
      <protection locked="0"/>
    </xf>
    <xf numFmtId="0" fontId="171" fillId="2" borderId="3"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shrinkToFit="1"/>
      <protection locked="0"/>
    </xf>
    <xf numFmtId="0" fontId="171" fillId="2" borderId="48" xfId="0" applyFont="1" applyFill="1" applyBorder="1" applyAlignment="1" applyProtection="1">
      <alignment vertical="center" wrapText="1"/>
    </xf>
    <xf numFmtId="0" fontId="171" fillId="2" borderId="2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wrapText="1"/>
    </xf>
    <xf numFmtId="185" fontId="172" fillId="0" borderId="14" xfId="0" applyNumberFormat="1" applyFont="1" applyFill="1" applyBorder="1" applyAlignment="1" applyProtection="1">
      <alignment horizontal="left" vertical="center" shrinkToFit="1"/>
      <protection locked="0"/>
    </xf>
    <xf numFmtId="0" fontId="171" fillId="2" borderId="4" xfId="0" applyFont="1" applyFill="1" applyBorder="1" applyAlignment="1" applyProtection="1">
      <alignment horizontal="right" vertical="center" wrapText="1"/>
    </xf>
    <xf numFmtId="185" fontId="172" fillId="0" borderId="44" xfId="0" applyNumberFormat="1" applyFont="1" applyFill="1" applyBorder="1" applyAlignment="1" applyProtection="1">
      <alignment horizontal="left" vertical="center" shrinkToFit="1"/>
      <protection locked="0"/>
    </xf>
    <xf numFmtId="0" fontId="171" fillId="2" borderId="68" xfId="0" applyFont="1" applyFill="1" applyBorder="1" applyAlignment="1" applyProtection="1">
      <alignment horizontal="left" vertical="center" wrapText="1"/>
    </xf>
    <xf numFmtId="0" fontId="172" fillId="0" borderId="14" xfId="0" applyFont="1" applyFill="1" applyBorder="1" applyAlignment="1" applyProtection="1">
      <alignment horizontal="left" vertical="center" wrapText="1"/>
      <protection locked="0"/>
    </xf>
    <xf numFmtId="0" fontId="171" fillId="2" borderId="6" xfId="0" applyFont="1" applyFill="1" applyBorder="1" applyAlignment="1" applyProtection="1">
      <alignment horizontal="right" vertical="center" wrapText="1"/>
    </xf>
    <xf numFmtId="0" fontId="172" fillId="0" borderId="46" xfId="0" applyFont="1" applyFill="1" applyBorder="1" applyAlignment="1" applyProtection="1">
      <alignment horizontal="left" vertical="center" wrapText="1"/>
      <protection locked="0"/>
    </xf>
    <xf numFmtId="0" fontId="171" fillId="2" borderId="150" xfId="0" applyFont="1" applyFill="1" applyBorder="1" applyAlignment="1" applyProtection="1">
      <alignment horizontal="left" vertical="center" wrapText="1"/>
    </xf>
    <xf numFmtId="0" fontId="171" fillId="2" borderId="125" xfId="0" applyFont="1" applyFill="1" applyBorder="1" applyAlignment="1" applyProtection="1">
      <alignment horizontal="right" vertical="center" wrapText="1"/>
    </xf>
    <xf numFmtId="0" fontId="172" fillId="0" borderId="87" xfId="0" applyFont="1" applyFill="1" applyBorder="1" applyAlignment="1" applyProtection="1">
      <alignment horizontal="left" vertical="center" wrapText="1"/>
      <protection locked="0"/>
    </xf>
    <xf numFmtId="0" fontId="171" fillId="2" borderId="150" xfId="0" applyFont="1" applyFill="1" applyBorder="1" applyAlignment="1" applyProtection="1">
      <alignment horizontal="right" vertical="center" wrapText="1"/>
    </xf>
    <xf numFmtId="0" fontId="172" fillId="0" borderId="127" xfId="0" applyFont="1" applyFill="1" applyBorder="1" applyAlignment="1" applyProtection="1">
      <alignment horizontal="left" vertical="center" wrapText="1"/>
      <protection locked="0"/>
    </xf>
    <xf numFmtId="0" fontId="171" fillId="2" borderId="151" xfId="0" applyFont="1" applyFill="1" applyBorder="1" applyAlignment="1" applyProtection="1">
      <alignment vertical="center" wrapText="1"/>
    </xf>
    <xf numFmtId="0" fontId="171" fillId="0" borderId="3" xfId="0" applyFont="1" applyBorder="1" applyAlignment="1" applyProtection="1">
      <alignment horizontal="left" vertical="center" wrapText="1"/>
      <protection locked="0"/>
    </xf>
    <xf numFmtId="0" fontId="171" fillId="5" borderId="10" xfId="0" applyFont="1" applyFill="1" applyBorder="1" applyAlignment="1" applyProtection="1">
      <alignment vertical="center"/>
      <protection locked="0"/>
    </xf>
    <xf numFmtId="0" fontId="171" fillId="5" borderId="11" xfId="0" applyFont="1" applyFill="1" applyBorder="1" applyAlignment="1" applyProtection="1">
      <alignment vertical="center"/>
    </xf>
    <xf numFmtId="0" fontId="171" fillId="2" borderId="10" xfId="0" applyFont="1" applyFill="1" applyBorder="1" applyAlignment="1" applyProtection="1">
      <alignment horizontal="left" vertical="center" wrapText="1"/>
    </xf>
    <xf numFmtId="0" fontId="171" fillId="3" borderId="1" xfId="0" applyFont="1" applyFill="1" applyBorder="1" applyAlignment="1" applyProtection="1">
      <alignment horizontal="center" vertical="center" wrapText="1"/>
      <protection locked="0"/>
    </xf>
    <xf numFmtId="0" fontId="171" fillId="2" borderId="10" xfId="0" applyFont="1" applyFill="1" applyBorder="1" applyAlignment="1" applyProtection="1">
      <alignment vertical="center" wrapText="1"/>
    </xf>
    <xf numFmtId="14" fontId="171" fillId="0" borderId="34" xfId="0" applyNumberFormat="1" applyFont="1" applyBorder="1" applyAlignment="1" applyProtection="1">
      <alignment vertical="center" wrapText="1"/>
      <protection locked="0"/>
    </xf>
    <xf numFmtId="0" fontId="171" fillId="2" borderId="81" xfId="0" applyFont="1" applyFill="1" applyBorder="1" applyAlignment="1" applyProtection="1">
      <alignment vertical="center" wrapText="1"/>
    </xf>
    <xf numFmtId="188" fontId="171" fillId="2" borderId="0" xfId="0" applyNumberFormat="1" applyFont="1" applyFill="1" applyBorder="1" applyAlignment="1" applyProtection="1">
      <alignment vertical="center" wrapText="1"/>
    </xf>
    <xf numFmtId="0" fontId="171" fillId="2" borderId="74" xfId="0" applyFont="1" applyFill="1" applyBorder="1" applyAlignment="1" applyProtection="1">
      <alignment vertical="center"/>
    </xf>
    <xf numFmtId="0" fontId="171" fillId="2" borderId="11" xfId="0" applyFont="1" applyFill="1" applyBorder="1" applyAlignment="1" applyProtection="1">
      <alignment vertical="center" wrapText="1"/>
    </xf>
    <xf numFmtId="0" fontId="113" fillId="3" borderId="1" xfId="0" applyFont="1" applyFill="1" applyBorder="1" applyAlignment="1" applyProtection="1">
      <alignment horizontal="center" vertical="center" wrapText="1"/>
      <protection locked="0"/>
    </xf>
    <xf numFmtId="0" fontId="171" fillId="2" borderId="11" xfId="0" applyNumberFormat="1" applyFont="1" applyFill="1" applyBorder="1" applyAlignment="1" applyProtection="1">
      <alignment horizontal="center" vertical="center" wrapText="1"/>
    </xf>
    <xf numFmtId="0" fontId="171" fillId="2" borderId="35" xfId="0" applyFont="1" applyFill="1" applyBorder="1" applyAlignment="1" applyProtection="1">
      <alignment vertical="center" wrapText="1"/>
    </xf>
    <xf numFmtId="0" fontId="171" fillId="0" borderId="1" xfId="0" applyFont="1" applyBorder="1" applyAlignment="1" applyProtection="1">
      <alignment horizontal="center" vertical="center" wrapText="1"/>
      <protection locked="0"/>
    </xf>
    <xf numFmtId="0" fontId="171" fillId="2" borderId="3" xfId="0" applyFont="1" applyFill="1" applyBorder="1" applyAlignment="1" applyProtection="1">
      <alignment vertical="center" wrapText="1"/>
    </xf>
    <xf numFmtId="49" fontId="171" fillId="3" borderId="1" xfId="0" applyNumberFormat="1" applyFont="1" applyFill="1" applyBorder="1" applyAlignment="1" applyProtection="1">
      <alignment horizontal="center" vertical="center" wrapText="1"/>
      <protection locked="0"/>
    </xf>
    <xf numFmtId="49" fontId="171" fillId="0" borderId="1" xfId="0" applyNumberFormat="1" applyFont="1" applyFill="1" applyBorder="1" applyAlignment="1" applyProtection="1">
      <alignment horizontal="center" vertical="center" wrapText="1"/>
      <protection locked="0"/>
    </xf>
    <xf numFmtId="0" fontId="115" fillId="2" borderId="147" xfId="0" applyFont="1" applyFill="1" applyBorder="1" applyAlignment="1" applyProtection="1">
      <alignment vertical="center"/>
    </xf>
    <xf numFmtId="0" fontId="171" fillId="2" borderId="147" xfId="0" applyFont="1" applyFill="1" applyBorder="1" applyAlignment="1" applyProtection="1">
      <alignment vertical="center" wrapText="1"/>
    </xf>
    <xf numFmtId="0" fontId="174" fillId="2" borderId="10" xfId="0" applyFont="1" applyFill="1" applyBorder="1" applyAlignment="1" applyProtection="1">
      <alignment vertical="center"/>
    </xf>
    <xf numFmtId="0" fontId="171" fillId="2" borderId="12" xfId="0" applyFont="1" applyFill="1" applyBorder="1" applyAlignment="1" applyProtection="1">
      <alignment vertical="center" wrapText="1"/>
    </xf>
    <xf numFmtId="0" fontId="171" fillId="0" borderId="1" xfId="0" applyFont="1" applyBorder="1" applyAlignment="1" applyProtection="1">
      <alignment vertical="center" wrapText="1"/>
    </xf>
    <xf numFmtId="0" fontId="171" fillId="0" borderId="1" xfId="0" applyFont="1" applyBorder="1" applyAlignment="1" applyProtection="1">
      <alignment horizontal="center" vertical="center" wrapText="1"/>
    </xf>
    <xf numFmtId="0" fontId="171" fillId="2" borderId="20" xfId="0" applyNumberFormat="1" applyFont="1" applyFill="1" applyBorder="1" applyAlignment="1" applyProtection="1">
      <alignment horizontal="left" vertical="center"/>
    </xf>
    <xf numFmtId="49" fontId="171" fillId="2" borderId="0" xfId="0" applyNumberFormat="1" applyFont="1" applyFill="1" applyAlignment="1" applyProtection="1">
      <alignment horizontal="center" vertical="center" wrapText="1"/>
    </xf>
    <xf numFmtId="0" fontId="171" fillId="2" borderId="0" xfId="0" applyFont="1" applyFill="1" applyAlignment="1" applyProtection="1">
      <alignment horizontal="center" vertical="center" wrapText="1"/>
    </xf>
    <xf numFmtId="49" fontId="171" fillId="2" borderId="20" xfId="0" applyNumberFormat="1" applyFont="1" applyFill="1" applyBorder="1" applyAlignment="1" applyProtection="1">
      <alignment horizontal="center" vertical="center" wrapText="1"/>
    </xf>
    <xf numFmtId="0" fontId="171" fillId="2" borderId="20" xfId="0" applyNumberFormat="1" applyFont="1" applyFill="1" applyBorder="1" applyAlignment="1" applyProtection="1">
      <alignment horizontal="center" vertical="center" wrapText="1"/>
    </xf>
    <xf numFmtId="0" fontId="171" fillId="2" borderId="0" xfId="0" applyFont="1" applyFill="1" applyBorder="1" applyAlignment="1" applyProtection="1">
      <alignment horizontal="center" vertical="center" wrapText="1"/>
    </xf>
    <xf numFmtId="0" fontId="171" fillId="2" borderId="2" xfId="0" applyFont="1" applyFill="1" applyBorder="1" applyAlignment="1" applyProtection="1">
      <alignment horizontal="center" vertical="center" wrapText="1"/>
    </xf>
    <xf numFmtId="0" fontId="171" fillId="2" borderId="11" xfId="0" applyFont="1" applyFill="1" applyBorder="1" applyAlignment="1" applyProtection="1">
      <alignment vertical="center"/>
    </xf>
    <xf numFmtId="0" fontId="171" fillId="2" borderId="1" xfId="0" applyNumberFormat="1" applyFont="1" applyFill="1" applyBorder="1" applyAlignment="1" applyProtection="1">
      <alignment horizontal="center" vertical="center" wrapText="1"/>
    </xf>
    <xf numFmtId="0" fontId="171" fillId="2" borderId="0" xfId="0" applyFont="1" applyFill="1" applyBorder="1" applyAlignment="1" applyProtection="1">
      <alignment vertical="center"/>
    </xf>
    <xf numFmtId="0" fontId="171" fillId="2" borderId="20" xfId="0" applyFont="1" applyFill="1" applyBorder="1" applyAlignment="1" applyProtection="1">
      <alignment vertical="center" wrapText="1"/>
    </xf>
    <xf numFmtId="49" fontId="171" fillId="2" borderId="20" xfId="0" applyNumberFormat="1" applyFont="1" applyFill="1" applyBorder="1" applyAlignment="1" applyProtection="1">
      <alignment horizontal="left" vertical="center"/>
    </xf>
    <xf numFmtId="0" fontId="171" fillId="0" borderId="1" xfId="0" applyFont="1" applyBorder="1" applyAlignment="1" applyProtection="1">
      <alignment vertical="center"/>
    </xf>
    <xf numFmtId="0" fontId="171" fillId="2" borderId="147" xfId="0" applyFont="1" applyFill="1" applyBorder="1" applyAlignment="1" applyProtection="1">
      <alignment horizontal="center" vertical="center" wrapText="1"/>
    </xf>
    <xf numFmtId="49" fontId="171" fillId="2" borderId="152" xfId="0" applyNumberFormat="1" applyFont="1" applyFill="1" applyBorder="1" applyAlignment="1" applyProtection="1">
      <alignment horizontal="center" vertical="center" wrapText="1"/>
    </xf>
    <xf numFmtId="49" fontId="171" fillId="2" borderId="147" xfId="0" applyNumberFormat="1" applyFont="1" applyFill="1" applyBorder="1" applyAlignment="1" applyProtection="1">
      <alignment horizontal="center" vertical="center" wrapText="1"/>
    </xf>
    <xf numFmtId="49" fontId="171" fillId="2" borderId="10" xfId="0" applyNumberFormat="1" applyFont="1" applyFill="1" applyBorder="1" applyAlignment="1" applyProtection="1">
      <alignment horizontal="center" vertical="center" wrapText="1"/>
    </xf>
    <xf numFmtId="0" fontId="171" fillId="0" borderId="10" xfId="0" applyFont="1" applyBorder="1" applyAlignment="1" applyProtection="1">
      <alignment horizontal="center" vertical="center" wrapText="1"/>
    </xf>
    <xf numFmtId="49" fontId="171" fillId="0" borderId="1" xfId="0" applyNumberFormat="1" applyFont="1" applyBorder="1" applyAlignment="1" applyProtection="1">
      <alignment horizontal="center" vertical="center" wrapText="1"/>
    </xf>
    <xf numFmtId="49" fontId="171" fillId="0" borderId="10" xfId="0" applyNumberFormat="1" applyFont="1" applyBorder="1" applyAlignment="1" applyProtection="1">
      <alignment vertical="center" wrapText="1"/>
    </xf>
    <xf numFmtId="194" fontId="171"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9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9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5"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99" fillId="0" borderId="1" xfId="0" applyFont="1" applyBorder="1" applyAlignment="1" applyProtection="1">
      <alignment horizontal="center" vertical="center"/>
      <protection locked="0"/>
    </xf>
    <xf numFmtId="0" fontId="94" fillId="2" borderId="0" xfId="0" applyFont="1" applyFill="1" applyBorder="1" applyAlignment="1" applyProtection="1">
      <alignment horizontal="left" vertical="center"/>
    </xf>
    <xf numFmtId="0" fontId="94" fillId="2" borderId="0" xfId="0" applyFont="1" applyFill="1" applyProtection="1">
      <alignment vertical="center"/>
    </xf>
    <xf numFmtId="0" fontId="94" fillId="2" borderId="0" xfId="0" applyFont="1" applyFill="1" applyAlignment="1" applyProtection="1">
      <alignment horizontal="center" vertical="center"/>
    </xf>
    <xf numFmtId="0" fontId="94" fillId="2"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97"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7"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wrapText="1"/>
    </xf>
    <xf numFmtId="0" fontId="101" fillId="0" borderId="0" xfId="15" applyFont="1" applyFill="1" applyAlignment="1">
      <alignment horizontal="left" vertical="center"/>
    </xf>
    <xf numFmtId="0" fontId="102" fillId="0" borderId="0" xfId="15" applyFont="1" applyAlignment="1">
      <alignment horizontal="left" vertical="center"/>
    </xf>
    <xf numFmtId="0" fontId="101" fillId="0" borderId="0" xfId="15" applyFont="1" applyAlignment="1">
      <alignment horizontal="left" vertical="center"/>
    </xf>
    <xf numFmtId="14" fontId="102" fillId="0" borderId="0" xfId="15" applyNumberFormat="1" applyFont="1" applyAlignment="1">
      <alignment horizontal="left" vertical="center"/>
    </xf>
    <xf numFmtId="0" fontId="127" fillId="0" borderId="0" xfId="15" applyFont="1" applyAlignment="1">
      <alignment horizontal="left" vertical="center"/>
    </xf>
    <xf numFmtId="0" fontId="176" fillId="0" borderId="9" xfId="15" applyFont="1" applyFill="1" applyBorder="1" applyAlignment="1">
      <alignment horizontal="left" vertical="center"/>
    </xf>
    <xf numFmtId="0" fontId="176" fillId="0" borderId="1" xfId="15" applyFont="1" applyFill="1" applyBorder="1" applyAlignment="1">
      <alignment horizontal="left" vertical="center"/>
    </xf>
    <xf numFmtId="0" fontId="176" fillId="0" borderId="10" xfId="15" applyFont="1" applyFill="1" applyBorder="1" applyAlignment="1">
      <alignment horizontal="left" vertical="center"/>
    </xf>
    <xf numFmtId="190" fontId="176" fillId="0" borderId="1" xfId="15" applyNumberFormat="1" applyFont="1" applyFill="1" applyBorder="1" applyAlignment="1">
      <alignment horizontal="left" vertical="center"/>
    </xf>
    <xf numFmtId="185" fontId="176" fillId="0" borderId="1" xfId="15" applyNumberFormat="1" applyFont="1" applyFill="1" applyBorder="1" applyAlignment="1">
      <alignment horizontal="left" vertical="center"/>
    </xf>
    <xf numFmtId="190" fontId="176" fillId="0" borderId="10" xfId="15" applyNumberFormat="1" applyFont="1" applyFill="1" applyBorder="1" applyAlignment="1">
      <alignment horizontal="left" vertical="center"/>
    </xf>
    <xf numFmtId="0" fontId="176" fillId="0" borderId="153" xfId="15" applyFont="1" applyFill="1" applyBorder="1" applyAlignment="1">
      <alignment horizontal="left" vertical="center"/>
    </xf>
    <xf numFmtId="185" fontId="176" fillId="0" borderId="9" xfId="15" applyNumberFormat="1" applyFont="1" applyFill="1" applyBorder="1" applyAlignment="1">
      <alignment horizontal="left" vertical="center"/>
    </xf>
    <xf numFmtId="190" fontId="176" fillId="0" borderId="9" xfId="15" applyNumberFormat="1" applyFont="1" applyFill="1" applyBorder="1" applyAlignment="1">
      <alignment horizontal="left" vertical="center"/>
    </xf>
    <xf numFmtId="0" fontId="177" fillId="0" borderId="1" xfId="15" applyFont="1" applyFill="1" applyBorder="1" applyAlignment="1">
      <alignment horizontal="left" vertical="center"/>
    </xf>
    <xf numFmtId="0" fontId="176" fillId="0" borderId="1" xfId="15" applyFont="1" applyBorder="1" applyAlignment="1">
      <alignment horizontal="left" vertical="center"/>
    </xf>
    <xf numFmtId="0" fontId="102" fillId="0" borderId="1" xfId="15" applyFont="1" applyBorder="1" applyAlignment="1">
      <alignment horizontal="left" vertical="center"/>
    </xf>
    <xf numFmtId="185" fontId="176" fillId="0" borderId="1" xfId="0" applyNumberFormat="1" applyFont="1" applyFill="1" applyBorder="1" applyAlignment="1">
      <alignment horizontal="left" vertical="center"/>
    </xf>
    <xf numFmtId="14" fontId="102" fillId="0" borderId="1" xfId="15" applyNumberFormat="1" applyFont="1" applyBorder="1" applyAlignment="1">
      <alignment horizontal="left" vertical="center"/>
    </xf>
    <xf numFmtId="0" fontId="23" fillId="0" borderId="1" xfId="15" applyFont="1" applyBorder="1" applyAlignment="1">
      <alignment horizontal="left" vertical="center"/>
    </xf>
    <xf numFmtId="185" fontId="23" fillId="0" borderId="1" xfId="0" applyNumberFormat="1" applyFont="1" applyFill="1" applyBorder="1" applyAlignment="1">
      <alignment horizontal="left" vertical="center"/>
    </xf>
    <xf numFmtId="14" fontId="101" fillId="0" borderId="0" xfId="15" applyNumberFormat="1" applyFont="1" applyAlignment="1">
      <alignment horizontal="left" vertical="center"/>
    </xf>
    <xf numFmtId="0" fontId="89" fillId="0" borderId="0" xfId="0" applyFont="1" applyProtection="1">
      <alignment vertical="center"/>
    </xf>
    <xf numFmtId="0" fontId="25" fillId="0" borderId="0" xfId="0" applyFont="1" applyProtection="1">
      <alignment vertical="center"/>
    </xf>
    <xf numFmtId="0" fontId="146"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8" fillId="1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99" fillId="0" borderId="35" xfId="0" applyFont="1" applyBorder="1" applyAlignment="1" applyProtection="1">
      <alignment vertical="center"/>
    </xf>
    <xf numFmtId="0" fontId="99" fillId="0" borderId="3" xfId="0" applyFont="1" applyBorder="1" applyAlignment="1" applyProtection="1">
      <alignment vertical="center"/>
    </xf>
    <xf numFmtId="0" fontId="87"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9" fillId="0" borderId="0" xfId="0" applyFont="1" applyAlignment="1">
      <alignment vertical="center" wrapText="1"/>
    </xf>
    <xf numFmtId="0" fontId="179" fillId="0" borderId="0" xfId="0" applyFont="1" applyAlignment="1">
      <alignment horizontal="center" vertical="center" wrapText="1"/>
    </xf>
    <xf numFmtId="0" fontId="179" fillId="0" borderId="89" xfId="0" applyFont="1" applyBorder="1" applyAlignment="1">
      <alignment vertical="center" wrapText="1"/>
    </xf>
    <xf numFmtId="0" fontId="179" fillId="0" borderId="0" xfId="0" applyFont="1" applyAlignment="1">
      <alignment horizontal="right" vertical="center" wrapText="1"/>
    </xf>
    <xf numFmtId="0" fontId="172" fillId="0" borderId="0" xfId="0" applyFont="1" applyAlignment="1">
      <alignment horizontal="center" vertical="center" wrapText="1"/>
    </xf>
    <xf numFmtId="0" fontId="179" fillId="0" borderId="0" xfId="0" applyFont="1" applyAlignment="1">
      <alignment horizontal="right" vertical="center"/>
    </xf>
    <xf numFmtId="190" fontId="180" fillId="0" borderId="0" xfId="0" applyNumberFormat="1" applyFont="1" applyAlignment="1" applyProtection="1">
      <alignment horizontal="right" vertical="center" shrinkToFit="1"/>
      <protection locked="0"/>
    </xf>
    <xf numFmtId="0" fontId="182" fillId="0" borderId="0" xfId="0" applyFont="1">
      <alignment vertical="center"/>
    </xf>
    <xf numFmtId="0" fontId="182" fillId="0" borderId="1" xfId="0"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xf>
    <xf numFmtId="0" fontId="182" fillId="0" borderId="1" xfId="0" applyFont="1" applyBorder="1" applyAlignment="1">
      <alignment horizontal="left" vertical="center" wrapText="1"/>
    </xf>
    <xf numFmtId="49" fontId="182"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2" fillId="0" borderId="0" xfId="0" applyFont="1" applyAlignment="1">
      <alignment horizontal="left" vertical="center"/>
    </xf>
    <xf numFmtId="0" fontId="186" fillId="0" borderId="0" xfId="0" applyFont="1" applyAlignment="1">
      <alignment vertical="center"/>
    </xf>
    <xf numFmtId="0" fontId="186"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6" fillId="0" borderId="0" xfId="0" applyFont="1">
      <alignment vertical="center"/>
    </xf>
    <xf numFmtId="0" fontId="182" fillId="0" borderId="0" xfId="0" applyFont="1" applyAlignment="1">
      <alignment horizontal="right" vertical="center"/>
    </xf>
    <xf numFmtId="0" fontId="184" fillId="0" borderId="1" xfId="0" applyFont="1" applyBorder="1" applyAlignment="1">
      <alignment horizontal="center" vertical="center" wrapText="1"/>
    </xf>
    <xf numFmtId="0" fontId="187" fillId="0" borderId="1" xfId="0" applyFont="1" applyBorder="1" applyAlignment="1">
      <alignment horizontal="center" vertical="center" wrapText="1"/>
    </xf>
    <xf numFmtId="0" fontId="97" fillId="0" borderId="0" xfId="0" applyFont="1" applyProtection="1">
      <alignment vertical="center"/>
    </xf>
    <xf numFmtId="0" fontId="188" fillId="0" borderId="0" xfId="0" applyFont="1" applyBorder="1" applyAlignment="1" applyProtection="1">
      <alignment horizontal="center" vertical="center"/>
    </xf>
    <xf numFmtId="0" fontId="97" fillId="0" borderId="0" xfId="0" applyFont="1" applyBorder="1" applyProtection="1">
      <alignment vertical="center"/>
    </xf>
    <xf numFmtId="0" fontId="189" fillId="0" borderId="0" xfId="0" applyFont="1" applyAlignment="1" applyProtection="1">
      <alignment horizontal="left" vertical="center"/>
    </xf>
    <xf numFmtId="0" fontId="181" fillId="0" borderId="0" xfId="0" applyFont="1" applyAlignment="1" applyProtection="1">
      <alignment horizontal="left" vertical="center" wrapText="1"/>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1" fillId="0" borderId="0" xfId="0" applyFont="1" applyFill="1" applyAlignment="1" applyProtection="1">
      <alignment horizontal="left" vertical="center" wrapText="1"/>
    </xf>
    <xf numFmtId="185" fontId="181" fillId="0" borderId="0" xfId="0" applyNumberFormat="1" applyFont="1" applyAlignment="1" applyProtection="1">
      <alignment horizontal="left" vertical="center"/>
    </xf>
    <xf numFmtId="0" fontId="97" fillId="0" borderId="0" xfId="0" applyFont="1" applyAlignment="1" applyProtection="1">
      <alignment vertical="center" wrapText="1"/>
    </xf>
    <xf numFmtId="0" fontId="97" fillId="0" borderId="0" xfId="0" applyFont="1" applyAlignment="1" applyProtection="1">
      <alignment vertical="center" wrapText="1" shrinkToFit="1"/>
    </xf>
    <xf numFmtId="0" fontId="181" fillId="0" borderId="0" xfId="0" applyFont="1" applyAlignment="1" applyProtection="1">
      <alignment horizontal="left" vertical="top" wrapText="1"/>
    </xf>
    <xf numFmtId="0" fontId="191" fillId="0" borderId="0" xfId="0" applyFont="1" applyAlignment="1" applyProtection="1">
      <alignment horizontal="left" vertical="top" wrapText="1"/>
    </xf>
    <xf numFmtId="0" fontId="181" fillId="0" borderId="0" xfId="0" applyFont="1">
      <alignment vertical="center"/>
    </xf>
    <xf numFmtId="0" fontId="97" fillId="0" borderId="0" xfId="0" applyFont="1" applyAlignment="1" applyProtection="1">
      <alignment horizontal="left" vertical="center"/>
    </xf>
    <xf numFmtId="0" fontId="181" fillId="0" borderId="0" xfId="0" applyFont="1" applyAlignment="1" applyProtection="1">
      <alignment horizontal="left" vertical="center"/>
      <protection locked="0"/>
    </xf>
    <xf numFmtId="0" fontId="192" fillId="0" borderId="0" xfId="0" applyFont="1" applyAlignment="1" applyProtection="1">
      <alignment horizontal="left" vertical="center" wrapText="1"/>
      <protection locked="0"/>
    </xf>
    <xf numFmtId="0" fontId="193" fillId="0" borderId="0" xfId="15" applyFont="1">
      <alignment vertical="center"/>
    </xf>
    <xf numFmtId="0" fontId="230" fillId="0" borderId="0" xfId="15">
      <alignment vertical="center"/>
    </xf>
    <xf numFmtId="0" fontId="193" fillId="0" borderId="0" xfId="15"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0"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85" fontId="168" fillId="0" borderId="90"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90"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xf numFmtId="0" fontId="103" fillId="18" borderId="0" xfId="0" applyFont="1" applyFill="1" applyAlignment="1">
      <alignment horizontal="center" vertical="center"/>
    </xf>
    <xf numFmtId="0" fontId="103" fillId="19" borderId="0" xfId="0" applyFont="1" applyFill="1" applyAlignment="1">
      <alignment horizontal="center" vertical="center"/>
    </xf>
    <xf numFmtId="183" fontId="27" fillId="19" borderId="1" xfId="0" applyNumberFormat="1" applyFont="1" applyFill="1" applyBorder="1" applyAlignment="1" applyProtection="1">
      <alignment horizontal="center" vertical="center"/>
      <protection locked="0"/>
    </xf>
    <xf numFmtId="0" fontId="27" fillId="19" borderId="14" xfId="0" applyFont="1" applyFill="1" applyBorder="1" applyAlignment="1" applyProtection="1">
      <alignment horizontal="center" vertical="center"/>
      <protection locked="0"/>
    </xf>
    <xf numFmtId="0" fontId="27" fillId="19" borderId="10" xfId="0" applyFont="1" applyFill="1" applyBorder="1" applyAlignment="1" applyProtection="1">
      <alignment horizontal="center" vertical="center" wrapText="1"/>
    </xf>
    <xf numFmtId="183" fontId="21" fillId="19" borderId="57" xfId="0" applyNumberFormat="1" applyFont="1" applyFill="1" applyBorder="1" applyAlignment="1" applyProtection="1">
      <alignment horizontal="center" vertical="center"/>
      <protection locked="0"/>
    </xf>
    <xf numFmtId="0" fontId="16" fillId="19" borderId="9" xfId="0" applyFont="1" applyFill="1" applyBorder="1" applyAlignment="1" applyProtection="1">
      <alignment horizontal="center" vertical="center"/>
    </xf>
    <xf numFmtId="0" fontId="27" fillId="0" borderId="6" xfId="0" applyFont="1" applyFill="1" applyBorder="1" applyAlignment="1" applyProtection="1">
      <alignment vertical="center"/>
      <protection locked="0"/>
    </xf>
    <xf numFmtId="0" fontId="193" fillId="0" borderId="0" xfId="15" applyFont="1" applyAlignment="1" applyProtection="1">
      <alignment horizontal="left" vertical="top" wrapText="1"/>
    </xf>
    <xf numFmtId="0" fontId="181" fillId="0" borderId="0" xfId="0" applyFont="1" applyAlignment="1">
      <alignment horizontal="center" vertical="center"/>
    </xf>
    <xf numFmtId="0" fontId="182" fillId="0" borderId="1" xfId="0" applyFont="1" applyBorder="1" applyAlignment="1" applyProtection="1">
      <alignment horizontal="center" vertical="center" wrapText="1"/>
    </xf>
    <xf numFmtId="0" fontId="185" fillId="0" borderId="10" xfId="0" applyFont="1" applyBorder="1" applyAlignment="1">
      <alignment horizontal="center" vertical="center" wrapText="1"/>
    </xf>
    <xf numFmtId="0" fontId="185" fillId="0" borderId="12" xfId="0" applyFont="1" applyBorder="1" applyAlignment="1">
      <alignment horizontal="center" vertical="center" wrapText="1"/>
    </xf>
    <xf numFmtId="0" fontId="185" fillId="0" borderId="11" xfId="0" applyFont="1" applyBorder="1" applyAlignment="1">
      <alignment horizontal="center" vertical="center" wrapText="1"/>
    </xf>
    <xf numFmtId="0" fontId="182" fillId="0" borderId="1" xfId="0"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3" fillId="0" borderId="1" xfId="0" applyFont="1" applyFill="1" applyBorder="1" applyAlignment="1" applyProtection="1">
      <alignment horizontal="center" vertical="center" wrapText="1"/>
      <protection locked="0"/>
    </xf>
    <xf numFmtId="0" fontId="179" fillId="0" borderId="0" xfId="0" applyFont="1" applyAlignment="1">
      <alignment vertical="center" wrapText="1"/>
    </xf>
    <xf numFmtId="0" fontId="179"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0" fontId="179" fillId="0" borderId="0" xfId="0" applyFont="1" applyAlignment="1" applyProtection="1">
      <alignment vertical="center" wrapText="1"/>
    </xf>
    <xf numFmtId="49" fontId="172"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5"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99" fillId="0" borderId="9" xfId="0" applyFont="1" applyBorder="1" applyAlignment="1" applyProtection="1">
      <alignment horizontal="left" vertical="center" wrapText="1"/>
    </xf>
    <xf numFmtId="0" fontId="99" fillId="0" borderId="35" xfId="0" applyFont="1" applyBorder="1" applyAlignment="1" applyProtection="1">
      <alignment horizontal="left" vertical="center" wrapText="1"/>
    </xf>
    <xf numFmtId="0" fontId="9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7" fillId="0" borderId="1" xfId="15" applyFont="1" applyFill="1" applyBorder="1" applyAlignment="1">
      <alignment horizontal="left" vertical="center"/>
    </xf>
    <xf numFmtId="0" fontId="176" fillId="0" borderId="1" xfId="15" applyFont="1" applyBorder="1" applyAlignment="1">
      <alignment horizontal="left" vertical="center"/>
    </xf>
    <xf numFmtId="0" fontId="94" fillId="2" borderId="0" xfId="0" applyFont="1" applyFill="1" applyBorder="1" applyAlignment="1" applyProtection="1">
      <alignment horizontal="center" vertical="center" wrapText="1"/>
    </xf>
    <xf numFmtId="0" fontId="171" fillId="2" borderId="63" xfId="0" applyFont="1" applyFill="1" applyBorder="1" applyAlignment="1" applyProtection="1">
      <alignment vertical="center" wrapText="1"/>
    </xf>
    <xf numFmtId="0" fontId="171" fillId="2" borderId="129" xfId="0" applyFont="1" applyFill="1" applyBorder="1" applyAlignment="1" applyProtection="1">
      <alignment vertical="center" wrapText="1"/>
    </xf>
    <xf numFmtId="0" fontId="171" fillId="2" borderId="130" xfId="0" applyFont="1" applyFill="1" applyBorder="1" applyAlignment="1" applyProtection="1">
      <alignment vertical="center" wrapText="1"/>
    </xf>
    <xf numFmtId="0" fontId="172" fillId="6" borderId="10" xfId="0" applyFont="1" applyFill="1" applyBorder="1" applyAlignment="1" applyProtection="1">
      <alignmen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protection locked="0"/>
    </xf>
    <xf numFmtId="0" fontId="172" fillId="6" borderId="10" xfId="0" applyFont="1" applyFill="1" applyBorder="1" applyAlignment="1" applyProtection="1">
      <alignment vertical="center"/>
      <protection locked="0"/>
    </xf>
    <xf numFmtId="0" fontId="172" fillId="6" borderId="12" xfId="0" applyFont="1" applyFill="1" applyBorder="1" applyAlignment="1" applyProtection="1">
      <alignment vertical="center"/>
      <protection locked="0"/>
    </xf>
    <xf numFmtId="0" fontId="172" fillId="6" borderId="11" xfId="0" applyFont="1" applyFill="1" applyBorder="1" applyAlignment="1" applyProtection="1">
      <alignment vertical="center"/>
      <protection locked="0"/>
    </xf>
    <xf numFmtId="0" fontId="171" fillId="2" borderId="9" xfId="0" applyFont="1" applyFill="1" applyBorder="1" applyAlignment="1" applyProtection="1">
      <alignment horizontal="center" vertical="center" wrapText="1"/>
    </xf>
    <xf numFmtId="0" fontId="171" fillId="2" borderId="148" xfId="0" applyFont="1" applyFill="1" applyBorder="1" applyAlignment="1" applyProtection="1">
      <alignment horizontal="center" vertical="center" wrapText="1"/>
    </xf>
    <xf numFmtId="181" fontId="171" fillId="6" borderId="10" xfId="0" applyNumberFormat="1" applyFont="1" applyFill="1" applyBorder="1" applyAlignment="1" applyProtection="1">
      <alignment horizontal="center" vertical="center" wrapText="1"/>
      <protection locked="0"/>
    </xf>
    <xf numFmtId="181" fontId="171" fillId="6" borderId="12" xfId="0" applyNumberFormat="1" applyFont="1" applyFill="1" applyBorder="1" applyAlignment="1" applyProtection="1">
      <alignment horizontal="center" vertical="center" wrapText="1"/>
      <protection locked="0"/>
    </xf>
    <xf numFmtId="181" fontId="171" fillId="6" borderId="11" xfId="0" applyNumberFormat="1" applyFont="1" applyFill="1" applyBorder="1" applyAlignment="1" applyProtection="1">
      <alignment horizontal="center" vertical="center" wrapText="1"/>
      <protection locked="0"/>
    </xf>
    <xf numFmtId="49" fontId="172" fillId="6" borderId="10" xfId="0" applyNumberFormat="1" applyFont="1" applyFill="1" applyBorder="1" applyAlignment="1" applyProtection="1">
      <alignment horizontal="left" vertical="center"/>
      <protection locked="0"/>
    </xf>
    <xf numFmtId="49" fontId="172" fillId="6" borderId="12" xfId="0" applyNumberFormat="1" applyFont="1" applyFill="1" applyBorder="1" applyAlignment="1" applyProtection="1">
      <alignment horizontal="left" vertical="center"/>
      <protection locked="0"/>
    </xf>
    <xf numFmtId="49" fontId="172" fillId="6" borderId="11" xfId="0" applyNumberFormat="1" applyFont="1" applyFill="1" applyBorder="1" applyAlignment="1" applyProtection="1">
      <alignment horizontal="left" vertical="center"/>
      <protection locked="0"/>
    </xf>
    <xf numFmtId="0" fontId="171" fillId="2" borderId="56" xfId="0" applyFont="1" applyFill="1" applyBorder="1" applyAlignment="1" applyProtection="1">
      <alignment horizontal="center" vertical="center"/>
    </xf>
    <xf numFmtId="0" fontId="171" fillId="2" borderId="13" xfId="0" applyFont="1" applyFill="1" applyBorder="1" applyAlignment="1" applyProtection="1">
      <alignment horizontal="center" vertical="center"/>
    </xf>
    <xf numFmtId="0" fontId="171" fillId="2" borderId="59" xfId="0" applyFont="1" applyFill="1" applyBorder="1" applyAlignment="1" applyProtection="1">
      <alignment horizontal="center" vertical="center"/>
    </xf>
    <xf numFmtId="0" fontId="171" fillId="2" borderId="78" xfId="0" applyFont="1" applyFill="1" applyBorder="1" applyAlignment="1" applyProtection="1">
      <alignment horizontal="center" vertical="center"/>
    </xf>
    <xf numFmtId="0" fontId="171" fillId="2" borderId="20" xfId="0" applyFont="1" applyFill="1" applyBorder="1" applyAlignment="1" applyProtection="1">
      <alignment horizontal="center" vertical="center" wrapText="1"/>
    </xf>
    <xf numFmtId="0" fontId="171" fillId="0" borderId="1" xfId="0" applyFont="1" applyBorder="1" applyAlignment="1" applyProtection="1">
      <alignment horizontal="center" vertical="center" wrapText="1"/>
    </xf>
    <xf numFmtId="49" fontId="171" fillId="2" borderId="1" xfId="0" applyNumberFormat="1" applyFont="1" applyFill="1" applyBorder="1" applyAlignment="1" applyProtection="1">
      <alignment horizontal="center" vertical="center" wrapText="1"/>
    </xf>
    <xf numFmtId="0" fontId="171" fillId="2" borderId="35" xfId="0" applyFont="1" applyFill="1" applyBorder="1" applyAlignment="1" applyProtection="1">
      <alignment horizontal="left" vertical="center"/>
    </xf>
    <xf numFmtId="0" fontId="171" fillId="2" borderId="3" xfId="0" applyFont="1" applyFill="1" applyBorder="1" applyAlignment="1" applyProtection="1">
      <alignment horizontal="left" vertical="center"/>
    </xf>
    <xf numFmtId="0" fontId="171" fillId="2" borderId="9" xfId="0" applyFont="1" applyFill="1" applyBorder="1" applyAlignment="1" applyProtection="1">
      <alignment horizontal="left" vertical="center"/>
    </xf>
    <xf numFmtId="0" fontId="171" fillId="2" borderId="9" xfId="0" applyFont="1" applyFill="1" applyBorder="1" applyAlignment="1" applyProtection="1">
      <alignment horizontal="left" vertical="center" wrapText="1"/>
    </xf>
    <xf numFmtId="0" fontId="171" fillId="2" borderId="35" xfId="0" applyFont="1" applyFill="1" applyBorder="1" applyAlignment="1" applyProtection="1">
      <alignment horizontal="left" vertical="center" wrapText="1"/>
    </xf>
    <xf numFmtId="0" fontId="171" fillId="2" borderId="34" xfId="0" applyFont="1" applyFill="1" applyBorder="1" applyAlignment="1" applyProtection="1">
      <alignment horizontal="left" vertical="center" wrapText="1"/>
    </xf>
    <xf numFmtId="0" fontId="171" fillId="5" borderId="34" xfId="0" applyFont="1" applyFill="1" applyBorder="1" applyAlignment="1" applyProtection="1">
      <alignment horizontal="left" vertical="center" wrapText="1"/>
      <protection locked="0"/>
    </xf>
    <xf numFmtId="0" fontId="171" fillId="5"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6" borderId="10" xfId="0" applyFont="1" applyFill="1" applyBorder="1" applyAlignment="1" applyProtection="1">
      <alignment horizontal="left" vertical="center" wrapText="1"/>
      <protection locked="0"/>
    </xf>
    <xf numFmtId="0" fontId="171" fillId="6" borderId="12" xfId="0" applyFont="1" applyFill="1" applyBorder="1" applyAlignment="1" applyProtection="1">
      <alignment horizontal="left" vertical="center" wrapText="1"/>
      <protection locked="0"/>
    </xf>
    <xf numFmtId="0" fontId="171" fillId="6" borderId="11" xfId="0" applyFont="1" applyFill="1" applyBorder="1" applyAlignment="1" applyProtection="1">
      <alignment horizontal="left" vertical="center" wrapText="1"/>
      <protection locked="0"/>
    </xf>
    <xf numFmtId="0" fontId="171" fillId="2" borderId="10" xfId="0" applyFont="1" applyFill="1" applyBorder="1" applyAlignment="1" applyProtection="1">
      <alignment horizontal="left" vertical="center" wrapText="1"/>
    </xf>
    <xf numFmtId="0" fontId="171" fillId="2" borderId="11" xfId="0" applyFont="1" applyFill="1" applyBorder="1" applyAlignment="1" applyProtection="1">
      <alignment horizontal="left" vertical="center" wrapText="1"/>
    </xf>
    <xf numFmtId="0" fontId="171" fillId="6"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41"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4" fillId="2" borderId="143" xfId="0" applyFont="1" applyFill="1" applyBorder="1" applyAlignment="1" applyProtection="1">
      <alignment horizontal="center" vertical="center"/>
    </xf>
    <xf numFmtId="0" fontId="164" fillId="2" borderId="144" xfId="0" applyFont="1" applyFill="1" applyBorder="1" applyAlignment="1" applyProtection="1">
      <alignment horizontal="center" vertical="center"/>
    </xf>
    <xf numFmtId="0" fontId="142" fillId="0" borderId="128" xfId="0" applyFont="1" applyBorder="1" applyAlignment="1" applyProtection="1">
      <alignment horizontal="center" vertical="center"/>
      <protection locked="0"/>
    </xf>
    <xf numFmtId="0" fontId="142" fillId="0" borderId="129"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13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4" fillId="2" borderId="128" xfId="0" applyFont="1" applyFill="1" applyBorder="1" applyAlignment="1" applyProtection="1">
      <alignment horizontal="center" vertical="center" wrapText="1"/>
    </xf>
    <xf numFmtId="0" fontId="154" fillId="2" borderId="129" xfId="0" applyFont="1" applyFill="1" applyBorder="1" applyAlignment="1" applyProtection="1">
      <alignment horizontal="center" vertical="center" wrapText="1"/>
    </xf>
    <xf numFmtId="0" fontId="154" fillId="2" borderId="130"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52" fillId="2" borderId="123" xfId="0" applyFont="1" applyFill="1" applyBorder="1" applyAlignment="1" applyProtection="1">
      <alignment horizontal="center" vertical="center" wrapText="1"/>
    </xf>
    <xf numFmtId="0" fontId="152" fillId="2" borderId="138" xfId="0" applyFont="1" applyFill="1" applyBorder="1" applyAlignment="1" applyProtection="1">
      <alignment horizontal="center" vertical="center" wrapText="1"/>
    </xf>
    <xf numFmtId="0" fontId="152" fillId="2" borderId="13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3"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134"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96" fillId="2" borderId="1" xfId="0" applyFont="1" applyFill="1" applyBorder="1" applyAlignment="1">
      <alignment horizontal="center" vertical="center" wrapText="1"/>
    </xf>
    <xf numFmtId="10" fontId="73"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2"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09" fillId="2" borderId="4"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6" xfId="0"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2"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95"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2" fillId="2" borderId="0" xfId="10" applyFont="1" applyFill="1" applyAlignment="1" applyProtection="1">
      <alignment horizontal="center" vertical="center"/>
    </xf>
    <xf numFmtId="0" fontId="101" fillId="2" borderId="0" xfId="10"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65" fillId="2" borderId="21" xfId="0" applyNumberFormat="1" applyFont="1" applyFill="1" applyBorder="1" applyAlignment="1" applyProtection="1">
      <alignment horizontal="center" vertical="center" wrapText="1"/>
    </xf>
    <xf numFmtId="49" fontId="65" fillId="2" borderId="76" xfId="0" applyNumberFormat="1"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101" fillId="2" borderId="1" xfId="10" applyFont="1" applyFill="1" applyBorder="1" applyAlignment="1" applyProtection="1">
      <alignment horizontal="center" vertical="center"/>
    </xf>
    <xf numFmtId="0" fontId="101" fillId="2" borderId="9" xfId="10" applyFont="1" applyFill="1" applyBorder="1" applyAlignment="1" applyProtection="1">
      <alignment horizontal="center" vertical="center"/>
    </xf>
    <xf numFmtId="0" fontId="101" fillId="2" borderId="35" xfId="10" applyFont="1" applyFill="1" applyBorder="1" applyAlignment="1" applyProtection="1">
      <alignment horizontal="center" vertical="center"/>
    </xf>
    <xf numFmtId="0" fontId="101" fillId="2" borderId="3" xfId="10" applyFont="1" applyFill="1" applyBorder="1" applyAlignment="1" applyProtection="1">
      <alignment horizontal="center" vertical="center"/>
    </xf>
    <xf numFmtId="0" fontId="101" fillId="2" borderId="9" xfId="10" applyFont="1" applyFill="1" applyBorder="1" applyAlignment="1" applyProtection="1">
      <alignment horizontal="center" vertical="center" wrapText="1"/>
    </xf>
    <xf numFmtId="0" fontId="10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31" fillId="0" borderId="6" xfId="0"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31" fillId="0" borderId="10" xfId="0" applyFont="1" applyFill="1" applyBorder="1" applyAlignment="1" applyProtection="1">
      <alignment horizontal="center" vertical="center" wrapText="1"/>
      <protection locked="0"/>
    </xf>
    <xf numFmtId="0" fontId="47" fillId="0" borderId="6"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57"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63" fillId="2" borderId="63" xfId="0" applyFont="1" applyFill="1" applyBorder="1" applyAlignment="1" applyProtection="1">
      <alignment horizontal="left" vertical="center" wrapText="1"/>
    </xf>
    <xf numFmtId="0" fontId="63" fillId="2" borderId="130"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2" fillId="2" borderId="0" xfId="10" applyFont="1" applyFill="1" applyAlignment="1" applyProtection="1">
      <alignment horizontal="center" vertical="center"/>
    </xf>
    <xf numFmtId="0" fontId="97" fillId="2" borderId="0" xfId="10" applyFont="1" applyFill="1" applyBorder="1" applyAlignment="1" applyProtection="1">
      <alignment horizontal="left" vertical="center"/>
    </xf>
    <xf numFmtId="0" fontId="93" fillId="2" borderId="4" xfId="10" applyFont="1" applyFill="1" applyBorder="1" applyAlignment="1" applyProtection="1">
      <alignment horizontal="center" vertical="center" wrapText="1"/>
    </xf>
    <xf numFmtId="0" fontId="93" fillId="2" borderId="7" xfId="10" applyFont="1" applyFill="1" applyBorder="1" applyAlignment="1" applyProtection="1">
      <alignment horizontal="center" vertical="center" wrapText="1"/>
    </xf>
    <xf numFmtId="0" fontId="92" fillId="2" borderId="0" xfId="0" applyFont="1" applyFill="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30" xfId="0" applyFont="1" applyFill="1" applyBorder="1" applyAlignment="1" applyProtection="1">
      <alignment horizontal="left" vertical="center" wrapText="1"/>
    </xf>
    <xf numFmtId="0" fontId="80" fillId="2" borderId="0" xfId="0" applyFont="1" applyFill="1" applyAlignment="1" applyProtection="1">
      <alignment horizontal="left" vertical="center"/>
      <protection locked="0"/>
    </xf>
    <xf numFmtId="0" fontId="64" fillId="0" borderId="0" xfId="4" applyFont="1" applyAlignment="1">
      <alignment horizontal="center" vertical="center"/>
    </xf>
    <xf numFmtId="0" fontId="60" fillId="0" borderId="0" xfId="4" applyFont="1" applyAlignment="1">
      <alignment horizontal="center" vertical="center"/>
    </xf>
    <xf numFmtId="0" fontId="11" fillId="0" borderId="0" xfId="4" applyFont="1" applyAlignment="1">
      <alignment horizontal="center" vertical="center"/>
    </xf>
    <xf numFmtId="0" fontId="67" fillId="11" borderId="95" xfId="4" applyFont="1" applyFill="1" applyBorder="1" applyAlignment="1" applyProtection="1">
      <alignment horizontal="center" vertical="center" wrapText="1"/>
    </xf>
    <xf numFmtId="0" fontId="67" fillId="11" borderId="96" xfId="4" applyFont="1" applyFill="1" applyBorder="1" applyAlignment="1" applyProtection="1">
      <alignment horizontal="center" vertical="center" wrapText="1"/>
    </xf>
    <xf numFmtId="0" fontId="67" fillId="11" borderId="99" xfId="4" applyFont="1" applyFill="1" applyBorder="1" applyAlignment="1" applyProtection="1">
      <alignment horizontal="center" vertical="center" wrapText="1"/>
    </xf>
    <xf numFmtId="0" fontId="67" fillId="11" borderId="100" xfId="4" applyFont="1" applyFill="1" applyBorder="1" applyAlignment="1" applyProtection="1">
      <alignment horizontal="center" vertical="center" wrapText="1"/>
    </xf>
    <xf numFmtId="0" fontId="67" fillId="11" borderId="101" xfId="4" applyFont="1" applyFill="1" applyBorder="1" applyAlignment="1" applyProtection="1">
      <alignment horizontal="center" vertical="center" wrapText="1"/>
    </xf>
    <xf numFmtId="0" fontId="62" fillId="11" borderId="101" xfId="4" applyFont="1" applyFill="1" applyBorder="1" applyAlignment="1" applyProtection="1">
      <alignment horizontal="center" vertical="center" wrapText="1"/>
    </xf>
    <xf numFmtId="0" fontId="62" fillId="11" borderId="95" xfId="4" applyFont="1" applyFill="1" applyBorder="1" applyAlignment="1" applyProtection="1">
      <alignment horizontal="center" vertical="center" wrapText="1"/>
    </xf>
    <xf numFmtId="0" fontId="62" fillId="11" borderId="100" xfId="4" applyFont="1" applyFill="1" applyBorder="1" applyAlignment="1" applyProtection="1">
      <alignment horizontal="center" vertical="center" wrapText="1"/>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7">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55880</xdr:colOff>
      <xdr:row>29</xdr:row>
      <xdr:rowOff>85090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56760"/>
          <a:ext cx="8534400" cy="1273810"/>
        </a:xfrm>
        <a:prstGeom prst="rect">
          <a:avLst/>
        </a:prstGeom>
      </xdr:spPr>
    </xdr:pic>
    <xdr:clientData/>
  </xdr:twoCellAnchor>
  <xdr:twoCellAnchor editAs="oneCell">
    <xdr:from>
      <xdr:col>0</xdr:col>
      <xdr:colOff>0</xdr:colOff>
      <xdr:row>31</xdr:row>
      <xdr:rowOff>0</xdr:rowOff>
    </xdr:from>
    <xdr:to>
      <xdr:col>12</xdr:col>
      <xdr:colOff>113030</xdr:colOff>
      <xdr:row>43</xdr:row>
      <xdr:rowOff>151765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41720"/>
          <a:ext cx="8591550" cy="2529205"/>
        </a:xfrm>
        <a:prstGeom prst="rect">
          <a:avLst/>
        </a:prstGeom>
      </xdr:spPr>
    </xdr:pic>
    <xdr:clientData/>
  </xdr:twoCellAnchor>
  <xdr:twoCellAnchor editAs="oneCell">
    <xdr:from>
      <xdr:col>0</xdr:col>
      <xdr:colOff>0</xdr:colOff>
      <xdr:row>46</xdr:row>
      <xdr:rowOff>0</xdr:rowOff>
    </xdr:from>
    <xdr:to>
      <xdr:col>12</xdr:col>
      <xdr:colOff>446442</xdr:colOff>
      <xdr:row>54</xdr:row>
      <xdr:rowOff>123600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39300"/>
          <a:ext cx="9866667" cy="1800000"/>
        </a:xfrm>
        <a:prstGeom prst="rect">
          <a:avLst/>
        </a:prstGeom>
      </xdr:spPr>
    </xdr:pic>
    <xdr:clientData/>
  </xdr:twoCellAnchor>
  <xdr:twoCellAnchor editAs="oneCell">
    <xdr:from>
      <xdr:col>0</xdr:col>
      <xdr:colOff>0</xdr:colOff>
      <xdr:row>56</xdr:row>
      <xdr:rowOff>0</xdr:rowOff>
    </xdr:from>
    <xdr:to>
      <xdr:col>11</xdr:col>
      <xdr:colOff>494147</xdr:colOff>
      <xdr:row>65</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734800"/>
          <a:ext cx="9228572" cy="1895238"/>
        </a:xfrm>
        <a:prstGeom prst="rect">
          <a:avLst/>
        </a:prstGeom>
      </xdr:spPr>
    </xdr:pic>
    <xdr:clientData/>
  </xdr:twoCellAnchor>
  <xdr:twoCellAnchor editAs="oneCell">
    <xdr:from>
      <xdr:col>0</xdr:col>
      <xdr:colOff>0</xdr:colOff>
      <xdr:row>66</xdr:row>
      <xdr:rowOff>152400</xdr:rowOff>
    </xdr:from>
    <xdr:to>
      <xdr:col>11</xdr:col>
      <xdr:colOff>360814</xdr:colOff>
      <xdr:row>75</xdr:row>
      <xdr:rowOff>104545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982700"/>
          <a:ext cx="9095239"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7</xdr:col>
      <xdr:colOff>1265555</xdr:colOff>
      <xdr:row>75</xdr:row>
      <xdr:rowOff>36830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58640"/>
          <a:ext cx="8571230" cy="8251190"/>
        </a:xfrm>
        <a:prstGeom prst="rect">
          <a:avLst/>
        </a:prstGeom>
      </xdr:spPr>
    </xdr:pic>
    <xdr:clientData/>
  </xdr:twoCellAnchor>
  <xdr:twoCellAnchor editAs="oneCell">
    <xdr:from>
      <xdr:col>6</xdr:col>
      <xdr:colOff>694690</xdr:colOff>
      <xdr:row>33</xdr:row>
      <xdr:rowOff>142875</xdr:rowOff>
    </xdr:from>
    <xdr:to>
      <xdr:col>16</xdr:col>
      <xdr:colOff>114300</xdr:colOff>
      <xdr:row>59</xdr:row>
      <xdr:rowOff>123190</xdr:rowOff>
    </xdr:to>
    <xdr:pic>
      <xdr:nvPicPr>
        <xdr:cNvPr id="3" name="图片 2"/>
        <xdr:cNvPicPr>
          <a:picLocks noChangeAspect="1"/>
        </xdr:cNvPicPr>
      </xdr:nvPicPr>
      <xdr:blipFill>
        <a:blip xmlns:r="http://schemas.openxmlformats.org/officeDocument/2006/relationships" r:embed="rId2"/>
        <a:stretch>
          <a:fillRect/>
        </a:stretch>
      </xdr:blipFill>
      <xdr:spPr>
        <a:xfrm>
          <a:off x="7305675" y="5674995"/>
          <a:ext cx="6027420" cy="4338955"/>
        </a:xfrm>
        <a:prstGeom prst="rect">
          <a:avLst/>
        </a:prstGeom>
      </xdr:spPr>
    </xdr:pic>
    <xdr:clientData/>
  </xdr:twoCellAnchor>
  <xdr:twoCellAnchor editAs="oneCell">
    <xdr:from>
      <xdr:col>0</xdr:col>
      <xdr:colOff>0</xdr:colOff>
      <xdr:row>77</xdr:row>
      <xdr:rowOff>0</xdr:rowOff>
    </xdr:from>
    <xdr:to>
      <xdr:col>7</xdr:col>
      <xdr:colOff>1217930</xdr:colOff>
      <xdr:row>125</xdr:row>
      <xdr:rowOff>84455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908280"/>
          <a:ext cx="8523605" cy="8131175"/>
        </a:xfrm>
        <a:prstGeom prst="rect">
          <a:avLst/>
        </a:prstGeom>
      </xdr:spPr>
    </xdr:pic>
    <xdr:clientData/>
  </xdr:twoCellAnchor>
  <xdr:twoCellAnchor editAs="oneCell">
    <xdr:from>
      <xdr:col>7</xdr:col>
      <xdr:colOff>0</xdr:colOff>
      <xdr:row>80</xdr:row>
      <xdr:rowOff>0</xdr:rowOff>
    </xdr:from>
    <xdr:to>
      <xdr:col>15</xdr:col>
      <xdr:colOff>636905</xdr:colOff>
      <xdr:row>104</xdr:row>
      <xdr:rowOff>151765</xdr:rowOff>
    </xdr:to>
    <xdr:pic>
      <xdr:nvPicPr>
        <xdr:cNvPr id="5" name="图片 4"/>
        <xdr:cNvPicPr>
          <a:picLocks noChangeAspect="1"/>
        </xdr:cNvPicPr>
      </xdr:nvPicPr>
      <xdr:blipFill>
        <a:blip xmlns:r="http://schemas.openxmlformats.org/officeDocument/2006/relationships" r:embed="rId4"/>
        <a:stretch>
          <a:fillRect/>
        </a:stretch>
      </xdr:blipFill>
      <xdr:spPr>
        <a:xfrm>
          <a:off x="7305675" y="13411200"/>
          <a:ext cx="5849620" cy="4175125"/>
        </a:xfrm>
        <a:prstGeom prst="rect">
          <a:avLst/>
        </a:prstGeom>
      </xdr:spPr>
    </xdr:pic>
    <xdr:clientData/>
  </xdr:twoCellAnchor>
  <xdr:twoCellAnchor editAs="oneCell">
    <xdr:from>
      <xdr:col>0</xdr:col>
      <xdr:colOff>0</xdr:colOff>
      <xdr:row>128</xdr:row>
      <xdr:rowOff>0</xdr:rowOff>
    </xdr:from>
    <xdr:to>
      <xdr:col>8</xdr:col>
      <xdr:colOff>0</xdr:colOff>
      <xdr:row>176</xdr:row>
      <xdr:rowOff>93980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457920"/>
          <a:ext cx="8728710" cy="8140700"/>
        </a:xfrm>
        <a:prstGeom prst="rect">
          <a:avLst/>
        </a:prstGeom>
      </xdr:spPr>
    </xdr:pic>
    <xdr:clientData/>
  </xdr:twoCellAnchor>
  <xdr:twoCellAnchor editAs="oneCell">
    <xdr:from>
      <xdr:col>7</xdr:col>
      <xdr:colOff>0</xdr:colOff>
      <xdr:row>131</xdr:row>
      <xdr:rowOff>0</xdr:rowOff>
    </xdr:from>
    <xdr:to>
      <xdr:col>15</xdr:col>
      <xdr:colOff>560705</xdr:colOff>
      <xdr:row>157</xdr:row>
      <xdr:rowOff>18415</xdr:rowOff>
    </xdr:to>
    <xdr:pic>
      <xdr:nvPicPr>
        <xdr:cNvPr id="7" name="图片 6"/>
        <xdr:cNvPicPr>
          <a:picLocks noChangeAspect="1"/>
        </xdr:cNvPicPr>
      </xdr:nvPicPr>
      <xdr:blipFill>
        <a:blip xmlns:r="http://schemas.openxmlformats.org/officeDocument/2006/relationships" r:embed="rId6"/>
        <a:stretch>
          <a:fillRect/>
        </a:stretch>
      </xdr:blipFill>
      <xdr:spPr>
        <a:xfrm>
          <a:off x="7305675" y="21960840"/>
          <a:ext cx="5773420" cy="4377055"/>
        </a:xfrm>
        <a:prstGeom prst="rect">
          <a:avLst/>
        </a:prstGeom>
      </xdr:spPr>
    </xdr:pic>
    <xdr:clientData/>
  </xdr:twoCellAnchor>
  <xdr:twoCellAnchor editAs="oneCell">
    <xdr:from>
      <xdr:col>0</xdr:col>
      <xdr:colOff>962025</xdr:colOff>
      <xdr:row>178</xdr:row>
      <xdr:rowOff>152400</xdr:rowOff>
    </xdr:from>
    <xdr:to>
      <xdr:col>6</xdr:col>
      <xdr:colOff>303530</xdr:colOff>
      <xdr:row>204</xdr:row>
      <xdr:rowOff>75565</xdr:rowOff>
    </xdr:to>
    <xdr:pic>
      <xdr:nvPicPr>
        <xdr:cNvPr id="8" name="图片 7"/>
        <xdr:cNvPicPr>
          <a:picLocks noChangeAspect="1"/>
        </xdr:cNvPicPr>
      </xdr:nvPicPr>
      <xdr:blipFill>
        <a:blip xmlns:r="http://schemas.openxmlformats.org/officeDocument/2006/relationships" r:embed="rId7"/>
        <a:stretch>
          <a:fillRect/>
        </a:stretch>
      </xdr:blipFill>
      <xdr:spPr>
        <a:xfrm>
          <a:off x="962025" y="29992320"/>
          <a:ext cx="5952490" cy="4281805"/>
        </a:xfrm>
        <a:prstGeom prst="rect">
          <a:avLst/>
        </a:prstGeom>
      </xdr:spPr>
    </xdr:pic>
    <xdr:clientData/>
  </xdr:twoCellAnchor>
  <xdr:twoCellAnchor editAs="oneCell">
    <xdr:from>
      <xdr:col>0</xdr:col>
      <xdr:colOff>0</xdr:colOff>
      <xdr:row>207</xdr:row>
      <xdr:rowOff>0</xdr:rowOff>
    </xdr:from>
    <xdr:to>
      <xdr:col>7</xdr:col>
      <xdr:colOff>1017905</xdr:colOff>
      <xdr:row>221</xdr:row>
      <xdr:rowOff>132715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4701480"/>
          <a:ext cx="8323580" cy="2479675"/>
        </a:xfrm>
        <a:prstGeom prst="rect">
          <a:avLst/>
        </a:prstGeom>
      </xdr:spPr>
    </xdr:pic>
    <xdr:clientData/>
  </xdr:twoCellAnchor>
  <xdr:twoCellAnchor editAs="oneCell">
    <xdr:from>
      <xdr:col>0</xdr:col>
      <xdr:colOff>0</xdr:colOff>
      <xdr:row>223</xdr:row>
      <xdr:rowOff>0</xdr:rowOff>
    </xdr:from>
    <xdr:to>
      <xdr:col>7</xdr:col>
      <xdr:colOff>675005</xdr:colOff>
      <xdr:row>238</xdr:row>
      <xdr:rowOff>104140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7383720"/>
          <a:ext cx="7980680" cy="2618740"/>
        </a:xfrm>
        <a:prstGeom prst="rect">
          <a:avLst/>
        </a:prstGeom>
      </xdr:spPr>
    </xdr:pic>
    <xdr:clientData/>
  </xdr:twoCellAnchor>
  <xdr:twoCellAnchor editAs="oneCell">
    <xdr:from>
      <xdr:col>0</xdr:col>
      <xdr:colOff>0</xdr:colOff>
      <xdr:row>240</xdr:row>
      <xdr:rowOff>0</xdr:rowOff>
    </xdr:from>
    <xdr:to>
      <xdr:col>7</xdr:col>
      <xdr:colOff>894080</xdr:colOff>
      <xdr:row>255</xdr:row>
      <xdr:rowOff>56515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0233600"/>
          <a:ext cx="8199755" cy="2571115"/>
        </a:xfrm>
        <a:prstGeom prst="rect">
          <a:avLst/>
        </a:prstGeom>
      </xdr:spPr>
    </xdr:pic>
    <xdr:clientData/>
  </xdr:twoCellAnchor>
  <xdr:twoCellAnchor editAs="oneCell">
    <xdr:from>
      <xdr:col>0</xdr:col>
      <xdr:colOff>0</xdr:colOff>
      <xdr:row>257</xdr:row>
      <xdr:rowOff>0</xdr:rowOff>
    </xdr:from>
    <xdr:to>
      <xdr:col>4</xdr:col>
      <xdr:colOff>113030</xdr:colOff>
      <xdr:row>281</xdr:row>
      <xdr:rowOff>94615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083480"/>
          <a:ext cx="5523230" cy="4117975"/>
        </a:xfrm>
        <a:prstGeom prst="rect">
          <a:avLst/>
        </a:prstGeom>
      </xdr:spPr>
    </xdr:pic>
    <xdr:clientData/>
  </xdr:twoCellAnchor>
  <xdr:twoCellAnchor editAs="oneCell">
    <xdr:from>
      <xdr:col>0</xdr:col>
      <xdr:colOff>142875</xdr:colOff>
      <xdr:row>304</xdr:row>
      <xdr:rowOff>142875</xdr:rowOff>
    </xdr:from>
    <xdr:to>
      <xdr:col>4</xdr:col>
      <xdr:colOff>227330</xdr:colOff>
      <xdr:row>328</xdr:row>
      <xdr:rowOff>132715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42875" y="51105435"/>
          <a:ext cx="5494655" cy="4013200"/>
        </a:xfrm>
        <a:prstGeom prst="rect">
          <a:avLst/>
        </a:prstGeom>
      </xdr:spPr>
    </xdr:pic>
    <xdr:clientData/>
  </xdr:twoCellAnchor>
  <xdr:twoCellAnchor editAs="oneCell">
    <xdr:from>
      <xdr:col>0</xdr:col>
      <xdr:colOff>0</xdr:colOff>
      <xdr:row>285</xdr:row>
      <xdr:rowOff>0</xdr:rowOff>
    </xdr:from>
    <xdr:to>
      <xdr:col>7</xdr:col>
      <xdr:colOff>1056005</xdr:colOff>
      <xdr:row>301</xdr:row>
      <xdr:rowOff>104140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777400"/>
          <a:ext cx="8361680" cy="2786380"/>
        </a:xfrm>
        <a:prstGeom prst="rect">
          <a:avLst/>
        </a:prstGeom>
      </xdr:spPr>
    </xdr:pic>
    <xdr:clientData/>
  </xdr:twoCellAnchor>
  <xdr:twoCellAnchor editAs="oneCell">
    <xdr:from>
      <xdr:col>0</xdr:col>
      <xdr:colOff>0</xdr:colOff>
      <xdr:row>331</xdr:row>
      <xdr:rowOff>0</xdr:rowOff>
    </xdr:from>
    <xdr:to>
      <xdr:col>5</xdr:col>
      <xdr:colOff>198755</xdr:colOff>
      <xdr:row>370</xdr:row>
      <xdr:rowOff>141605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5488840"/>
          <a:ext cx="6149340" cy="6679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5353;&#25151;&#26412;&#27604;&#20363;&#22993;&#3348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0"/>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cell r="D3" t="str">
            <v>土地估价师</v>
          </cell>
        </row>
        <row r="4">
          <cell r="A4" t="str">
            <v>梁津</v>
          </cell>
          <cell r="D4" t="str">
            <v>梁津</v>
          </cell>
        </row>
        <row r="5">
          <cell r="A5" t="str">
            <v>李立</v>
          </cell>
          <cell r="D5" t="str">
            <v>李立</v>
          </cell>
        </row>
        <row r="6">
          <cell r="A6" t="str">
            <v>叶凌</v>
          </cell>
          <cell r="D6" t="str">
            <v>叶凌</v>
          </cell>
        </row>
        <row r="7">
          <cell r="A7" t="str">
            <v>王鹏</v>
          </cell>
          <cell r="D7" t="str">
            <v>王鹏</v>
          </cell>
        </row>
        <row r="8">
          <cell r="A8" t="str">
            <v>欧红伟</v>
          </cell>
          <cell r="D8" t="str">
            <v>欧红伟</v>
          </cell>
        </row>
        <row r="9">
          <cell r="A9" t="str">
            <v>吴薇</v>
          </cell>
          <cell r="D9" t="str">
            <v>吴薇</v>
          </cell>
        </row>
        <row r="10">
          <cell r="A10" t="str">
            <v>陈颖</v>
          </cell>
          <cell r="D10" t="str">
            <v>陈颖</v>
          </cell>
        </row>
        <row r="11">
          <cell r="A11" t="str">
            <v>崔锴</v>
          </cell>
          <cell r="D11" t="str">
            <v>崔锴</v>
          </cell>
        </row>
        <row r="13">
          <cell r="A13" t="str">
            <v>郑燚</v>
          </cell>
          <cell r="D13" t="str">
            <v>郑燚</v>
          </cell>
        </row>
        <row r="14">
          <cell r="A14" t="str">
            <v>苏海</v>
          </cell>
          <cell r="D14" t="str">
            <v>苏海</v>
          </cell>
        </row>
        <row r="15">
          <cell r="A15" t="str">
            <v>杨红英</v>
          </cell>
          <cell r="D15" t="str">
            <v>杨红英</v>
          </cell>
        </row>
        <row r="16">
          <cell r="A16" t="str">
            <v>刘梅</v>
          </cell>
          <cell r="D16" t="str">
            <v>刘梅</v>
          </cell>
        </row>
        <row r="17">
          <cell r="D17" t="str">
            <v>张津夷</v>
          </cell>
        </row>
        <row r="21">
          <cell r="D21" t="str">
            <v>赵雯</v>
          </cell>
        </row>
        <row r="22">
          <cell r="A22" t="str">
            <v>刘敬东</v>
          </cell>
          <cell r="D22" t="str">
            <v>刘敬东</v>
          </cell>
        </row>
        <row r="24">
          <cell r="A24" t="str">
            <v>——</v>
          </cell>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车库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住宅</v>
          </cell>
          <cell r="D77" t="str">
            <v>商住</v>
          </cell>
        </row>
        <row r="108">
          <cell r="B108" t="str">
            <v>毗邻道路的类型与等级</v>
          </cell>
          <cell r="C108" t="str">
            <v>城市次干道</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row>
        <row r="125">
          <cell r="B125" t="str">
            <v>宗地开发程度</v>
          </cell>
        </row>
        <row r="127">
          <cell r="B127" t="str">
            <v>工程地质条件</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ow r="19">
          <cell r="N19" t="str">
            <v>相差季度数</v>
          </cell>
          <cell r="O19">
            <v>22</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ow r="1">
          <cell r="I1" t="str">
            <v>一级</v>
          </cell>
          <cell r="J1" t="str">
            <v>二级</v>
          </cell>
          <cell r="K1" t="str">
            <v>三级</v>
          </cell>
          <cell r="L1" t="str">
            <v>四级</v>
          </cell>
          <cell r="M1" t="str">
            <v>五级</v>
          </cell>
          <cell r="N1" t="str">
            <v>六级</v>
          </cell>
          <cell r="O1" t="str">
            <v>七级</v>
          </cell>
          <cell r="P1" t="str">
            <v>八级</v>
          </cell>
          <cell r="Q1" t="str">
            <v>九级</v>
          </cell>
          <cell r="R1" t="str">
            <v>十级</v>
          </cell>
          <cell r="S1" t="str">
            <v>十一级</v>
          </cell>
          <cell r="T1" t="str">
            <v>十二级</v>
          </cell>
        </row>
        <row r="2">
          <cell r="I2" t="str">
            <v>Ⅰ—01</v>
          </cell>
          <cell r="J2" t="str">
            <v>Ⅱ—01</v>
          </cell>
          <cell r="K2" t="str">
            <v>Ⅲ—01</v>
          </cell>
          <cell r="L2" t="str">
            <v>Ⅳ-01</v>
          </cell>
          <cell r="M2" t="str">
            <v>Ⅴ-01</v>
          </cell>
          <cell r="N2" t="str">
            <v>Ⅵ-01</v>
          </cell>
          <cell r="O2" t="str">
            <v>Ⅶ-01</v>
          </cell>
          <cell r="P2" t="str">
            <v>Ⅷ-01</v>
          </cell>
          <cell r="Q2" t="str">
            <v>Ⅸ-01</v>
          </cell>
          <cell r="R2" t="str">
            <v>Ⅹ-01</v>
          </cell>
          <cell r="S2" t="str">
            <v>Ⅺ-门1</v>
          </cell>
          <cell r="T2" t="str">
            <v>Ⅻ-门1</v>
          </cell>
        </row>
        <row r="3">
          <cell r="I3" t="str">
            <v>Ⅰ—02</v>
          </cell>
          <cell r="J3" t="str">
            <v>Ⅱ—02</v>
          </cell>
          <cell r="K3" t="str">
            <v>Ⅲ—02</v>
          </cell>
          <cell r="L3" t="str">
            <v>Ⅳ-02</v>
          </cell>
          <cell r="M3" t="str">
            <v>Ⅴ-02</v>
          </cell>
          <cell r="N3" t="str">
            <v>Ⅵ-02</v>
          </cell>
          <cell r="O3" t="str">
            <v>Ⅶ-02</v>
          </cell>
          <cell r="P3" t="str">
            <v>Ⅷ-02</v>
          </cell>
          <cell r="Q3" t="str">
            <v>Ⅸ-02</v>
          </cell>
          <cell r="R3" t="str">
            <v>Ⅹ-02</v>
          </cell>
          <cell r="S3" t="str">
            <v>Ⅺ-门斋</v>
          </cell>
          <cell r="T3" t="str">
            <v>Ⅻ-房1</v>
          </cell>
        </row>
        <row r="4">
          <cell r="I4" t="str">
            <v>Ⅰ—03</v>
          </cell>
          <cell r="J4" t="str">
            <v>Ⅱ—03</v>
          </cell>
          <cell r="K4" t="str">
            <v>Ⅲ—03</v>
          </cell>
          <cell r="L4" t="str">
            <v>Ⅳ-03</v>
          </cell>
          <cell r="M4" t="str">
            <v>Ⅴ-03</v>
          </cell>
          <cell r="N4" t="str">
            <v>Ⅵ-03</v>
          </cell>
          <cell r="O4" t="str">
            <v>Ⅶ-03</v>
          </cell>
          <cell r="P4" t="str">
            <v>Ⅷ-03</v>
          </cell>
          <cell r="Q4" t="str">
            <v>Ⅸ-门1</v>
          </cell>
          <cell r="R4" t="str">
            <v>Ⅹ-门1</v>
          </cell>
          <cell r="S4" t="str">
            <v>Ⅺ-房1</v>
          </cell>
          <cell r="T4" t="str">
            <v>Ⅻ-昌1</v>
          </cell>
        </row>
        <row r="5">
          <cell r="I5" t="str">
            <v>Ⅰ—04</v>
          </cell>
          <cell r="J5" t="str">
            <v>Ⅱ—04</v>
          </cell>
          <cell r="K5" t="str">
            <v>Ⅲ—04</v>
          </cell>
          <cell r="L5" t="str">
            <v>Ⅳ-04</v>
          </cell>
          <cell r="M5" t="str">
            <v>Ⅴ-04</v>
          </cell>
          <cell r="N5" t="str">
            <v>Ⅵ-04</v>
          </cell>
          <cell r="O5" t="str">
            <v>Ⅶ-04</v>
          </cell>
          <cell r="P5" t="str">
            <v>Ⅷ-04</v>
          </cell>
          <cell r="Q5" t="str">
            <v>Ⅸ-门2</v>
          </cell>
          <cell r="R5" t="str">
            <v>Ⅹ-房1</v>
          </cell>
          <cell r="S5" t="str">
            <v>Ⅺ-房2</v>
          </cell>
          <cell r="T5" t="str">
            <v>Ⅻ-平1</v>
          </cell>
        </row>
        <row r="6">
          <cell r="I6" t="str">
            <v>Ⅰ—05</v>
          </cell>
          <cell r="J6" t="str">
            <v>Ⅱ—05</v>
          </cell>
          <cell r="K6" t="str">
            <v>Ⅲ—05</v>
          </cell>
          <cell r="L6" t="str">
            <v>Ⅳ-05</v>
          </cell>
          <cell r="M6" t="str">
            <v>Ⅴ-05</v>
          </cell>
          <cell r="N6" t="str">
            <v>Ⅵ-05</v>
          </cell>
          <cell r="O6" t="str">
            <v>Ⅶ-05</v>
          </cell>
          <cell r="P6" t="str">
            <v>Ⅷ-门1</v>
          </cell>
          <cell r="Q6" t="str">
            <v>Ⅸ-门潭</v>
          </cell>
          <cell r="R6" t="str">
            <v>Ⅹ-房2</v>
          </cell>
          <cell r="S6" t="str">
            <v>Ⅺ-通1</v>
          </cell>
          <cell r="T6" t="str">
            <v>Ⅻ-怀1</v>
          </cell>
        </row>
        <row r="7">
          <cell r="J7" t="str">
            <v>Ⅱ—06</v>
          </cell>
          <cell r="K7" t="str">
            <v>Ⅲ—06</v>
          </cell>
          <cell r="L7" t="str">
            <v>Ⅳ-06</v>
          </cell>
          <cell r="M7" t="str">
            <v>Ⅴ-06</v>
          </cell>
          <cell r="N7" t="str">
            <v>Ⅵ-06</v>
          </cell>
          <cell r="O7" t="str">
            <v>Ⅶ-06</v>
          </cell>
          <cell r="P7" t="str">
            <v>Ⅷ-门军</v>
          </cell>
          <cell r="Q7" t="str">
            <v>Ⅸ-房1</v>
          </cell>
          <cell r="R7" t="str">
            <v>Ⅹ-通1</v>
          </cell>
          <cell r="S7" t="str">
            <v>Ⅺ-顺1</v>
          </cell>
          <cell r="T7" t="str">
            <v>Ⅻ-密1</v>
          </cell>
        </row>
        <row r="8">
          <cell r="J8" t="str">
            <v>Ⅱ—07</v>
          </cell>
          <cell r="K8" t="str">
            <v>Ⅲ—07</v>
          </cell>
          <cell r="L8" t="str">
            <v>Ⅳ-07</v>
          </cell>
          <cell r="M8" t="str">
            <v>Ⅴ-07</v>
          </cell>
          <cell r="N8" t="str">
            <v>Ⅵ-07</v>
          </cell>
          <cell r="O8" t="str">
            <v>Ⅶ-07</v>
          </cell>
          <cell r="P8" t="str">
            <v>Ⅷ-房1</v>
          </cell>
          <cell r="Q8" t="str">
            <v>Ⅸ-房2</v>
          </cell>
          <cell r="R8" t="str">
            <v>Ⅹ-顺1</v>
          </cell>
          <cell r="S8" t="str">
            <v>Ⅺ-兴1</v>
          </cell>
          <cell r="T8" t="str">
            <v>Ⅻ-延1</v>
          </cell>
        </row>
        <row r="9">
          <cell r="J9" t="str">
            <v>Ⅱ—08</v>
          </cell>
          <cell r="K9" t="str">
            <v>Ⅲ—08</v>
          </cell>
          <cell r="L9" t="str">
            <v>Ⅳ-08</v>
          </cell>
          <cell r="M9" t="str">
            <v>Ⅴ-08</v>
          </cell>
          <cell r="N9" t="str">
            <v>Ⅵ-08</v>
          </cell>
          <cell r="O9" t="str">
            <v>Ⅶ-08</v>
          </cell>
          <cell r="P9" t="str">
            <v>Ⅷ-房2</v>
          </cell>
          <cell r="Q9" t="str">
            <v>Ⅸ-房3</v>
          </cell>
          <cell r="R9" t="str">
            <v>Ⅹ-顺2</v>
          </cell>
          <cell r="S9" t="str">
            <v>Ⅺ-兴2</v>
          </cell>
        </row>
        <row r="10">
          <cell r="J10" t="str">
            <v>Ⅱ—09</v>
          </cell>
          <cell r="K10" t="str">
            <v>Ⅲ—09</v>
          </cell>
          <cell r="L10" t="str">
            <v>Ⅳ-09</v>
          </cell>
          <cell r="M10" t="str">
            <v>Ⅴ-09</v>
          </cell>
          <cell r="N10" t="str">
            <v>Ⅵ-09</v>
          </cell>
          <cell r="O10" t="str">
            <v>Ⅶ-09</v>
          </cell>
          <cell r="P10" t="str">
            <v>Ⅷ-房3</v>
          </cell>
          <cell r="Q10" t="str">
            <v>Ⅸ-房4</v>
          </cell>
          <cell r="R10" t="str">
            <v>Ⅹ-顺3</v>
          </cell>
          <cell r="S10" t="str">
            <v>Ⅺ-昌1</v>
          </cell>
        </row>
        <row r="11">
          <cell r="J11" t="str">
            <v>Ⅱ—10</v>
          </cell>
          <cell r="K11" t="str">
            <v>Ⅲ—10</v>
          </cell>
          <cell r="L11" t="str">
            <v>Ⅳ-10</v>
          </cell>
          <cell r="M11" t="str">
            <v>Ⅴ-10</v>
          </cell>
          <cell r="N11" t="str">
            <v>Ⅵ-10</v>
          </cell>
          <cell r="O11" t="str">
            <v>Ⅶ-10</v>
          </cell>
          <cell r="P11" t="str">
            <v>Ⅷ-通1</v>
          </cell>
          <cell r="Q11" t="str">
            <v>Ⅸ-房5</v>
          </cell>
          <cell r="R11" t="str">
            <v>Ⅹ-兴1</v>
          </cell>
          <cell r="S11" t="str">
            <v>Ⅺ-昌2</v>
          </cell>
        </row>
        <row r="12">
          <cell r="J12" t="str">
            <v>Ⅱ—11</v>
          </cell>
          <cell r="K12" t="str">
            <v>Ⅲ—11</v>
          </cell>
          <cell r="L12" t="str">
            <v>Ⅳ-11</v>
          </cell>
          <cell r="M12" t="str">
            <v>Ⅴ-11</v>
          </cell>
          <cell r="N12" t="str">
            <v>Ⅵ-11</v>
          </cell>
          <cell r="O12" t="str">
            <v>Ⅶ-11</v>
          </cell>
          <cell r="P12" t="str">
            <v>Ⅷ-通2</v>
          </cell>
          <cell r="Q12" t="str">
            <v>Ⅸ-房6</v>
          </cell>
          <cell r="R12" t="str">
            <v>Ⅹ-兴2</v>
          </cell>
          <cell r="S12" t="str">
            <v>Ⅺ-平1</v>
          </cell>
        </row>
        <row r="13">
          <cell r="J13" t="str">
            <v>Ⅱ—12</v>
          </cell>
          <cell r="K13" t="str">
            <v>Ⅲ—12</v>
          </cell>
          <cell r="L13" t="str">
            <v>Ⅳ-12</v>
          </cell>
          <cell r="M13" t="str">
            <v>Ⅴ-12</v>
          </cell>
          <cell r="N13" t="str">
            <v>Ⅵ-12</v>
          </cell>
          <cell r="O13" t="str">
            <v>Ⅶ-12</v>
          </cell>
          <cell r="P13" t="str">
            <v>Ⅷ-通3</v>
          </cell>
          <cell r="Q13" t="str">
            <v>Ⅸ-通1</v>
          </cell>
          <cell r="R13" t="str">
            <v>Ⅹ-昌1</v>
          </cell>
          <cell r="S13" t="str">
            <v>Ⅺ-平2</v>
          </cell>
        </row>
        <row r="14">
          <cell r="J14" t="str">
            <v>Ⅱ—13</v>
          </cell>
          <cell r="K14" t="str">
            <v>Ⅲ—13</v>
          </cell>
          <cell r="L14" t="str">
            <v>Ⅳ-13</v>
          </cell>
          <cell r="M14" t="str">
            <v>Ⅴ-13</v>
          </cell>
          <cell r="N14" t="str">
            <v>Ⅵ-13</v>
          </cell>
          <cell r="O14" t="str">
            <v>Ⅶ-13</v>
          </cell>
          <cell r="P14" t="str">
            <v>Ⅷ-顺1</v>
          </cell>
          <cell r="Q14" t="str">
            <v>Ⅸ-通2</v>
          </cell>
          <cell r="R14" t="str">
            <v>Ⅹ-昌2</v>
          </cell>
          <cell r="S14" t="str">
            <v>Ⅺ-平3</v>
          </cell>
        </row>
        <row r="15">
          <cell r="J15" t="str">
            <v>Ⅱ—14</v>
          </cell>
          <cell r="K15" t="str">
            <v>Ⅲ—14</v>
          </cell>
          <cell r="L15" t="str">
            <v>Ⅳ-14</v>
          </cell>
          <cell r="M15" t="str">
            <v>Ⅴ-14</v>
          </cell>
          <cell r="N15" t="str">
            <v>Ⅵ-14</v>
          </cell>
          <cell r="O15" t="str">
            <v>Ⅶ-门1</v>
          </cell>
          <cell r="P15" t="str">
            <v>Ⅷ-顺2</v>
          </cell>
          <cell r="Q15" t="str">
            <v>Ⅸ-通3</v>
          </cell>
          <cell r="R15" t="str">
            <v>Ⅹ-昌3</v>
          </cell>
          <cell r="S15" t="str">
            <v>Ⅺ-平4</v>
          </cell>
        </row>
        <row r="16">
          <cell r="J16" t="str">
            <v>Ⅱ—15</v>
          </cell>
          <cell r="K16" t="str">
            <v>Ⅲ—15</v>
          </cell>
          <cell r="L16" t="str">
            <v>Ⅳ-15</v>
          </cell>
          <cell r="M16" t="str">
            <v>Ⅴ-15</v>
          </cell>
          <cell r="N16" t="str">
            <v>Ⅵ-15</v>
          </cell>
          <cell r="O16" t="str">
            <v>Ⅶ-房1</v>
          </cell>
          <cell r="P16" t="str">
            <v>Ⅷ-顺3</v>
          </cell>
          <cell r="Q16" t="str">
            <v>Ⅸ-顺1</v>
          </cell>
          <cell r="R16" t="str">
            <v>Ⅹ-平1</v>
          </cell>
          <cell r="S16" t="str">
            <v>Ⅺ-怀1</v>
          </cell>
        </row>
        <row r="17">
          <cell r="J17" t="str">
            <v>Ⅱ—16</v>
          </cell>
          <cell r="K17" t="str">
            <v>Ⅲ—16</v>
          </cell>
          <cell r="L17" t="str">
            <v>Ⅳ-16</v>
          </cell>
          <cell r="M17" t="str">
            <v>Ⅴ-16</v>
          </cell>
          <cell r="N17" t="str">
            <v>Ⅵ-16</v>
          </cell>
          <cell r="O17" t="str">
            <v>Ⅶ-房2</v>
          </cell>
          <cell r="P17" t="str">
            <v>Ⅷ-顺4</v>
          </cell>
          <cell r="Q17" t="str">
            <v>Ⅸ-顺2</v>
          </cell>
          <cell r="R17" t="str">
            <v>Ⅹ-平2</v>
          </cell>
          <cell r="S17" t="str">
            <v>Ⅺ-怀2</v>
          </cell>
        </row>
        <row r="18">
          <cell r="J18" t="str">
            <v>Ⅱ—17</v>
          </cell>
          <cell r="K18" t="str">
            <v>Ⅲ—17</v>
          </cell>
          <cell r="L18" t="str">
            <v>Ⅳ-17</v>
          </cell>
          <cell r="M18" t="str">
            <v>Ⅴ-17</v>
          </cell>
          <cell r="N18" t="str">
            <v>Ⅵ-17</v>
          </cell>
          <cell r="O18" t="str">
            <v>Ⅶ-通1</v>
          </cell>
          <cell r="P18" t="str">
            <v>Ⅷ-顺5</v>
          </cell>
          <cell r="Q18" t="str">
            <v>Ⅸ-顺3</v>
          </cell>
          <cell r="R18" t="str">
            <v>Ⅹ-怀1</v>
          </cell>
          <cell r="S18" t="str">
            <v>Ⅺ-密1</v>
          </cell>
        </row>
        <row r="19">
          <cell r="J19" t="str">
            <v>Ⅱ—18</v>
          </cell>
          <cell r="K19" t="str">
            <v>Ⅲ—18</v>
          </cell>
          <cell r="L19" t="str">
            <v>Ⅳ-18</v>
          </cell>
          <cell r="M19" t="str">
            <v>Ⅴ-18</v>
          </cell>
          <cell r="N19" t="str">
            <v>Ⅵ-18</v>
          </cell>
          <cell r="O19" t="str">
            <v>Ⅶ-顺1</v>
          </cell>
          <cell r="P19" t="str">
            <v>Ⅷ-顺6</v>
          </cell>
          <cell r="Q19" t="str">
            <v>Ⅸ-顺4</v>
          </cell>
          <cell r="R19" t="str">
            <v>Ⅹ-怀2</v>
          </cell>
          <cell r="S19" t="str">
            <v>Ⅺ-密2</v>
          </cell>
        </row>
        <row r="20">
          <cell r="J20" t="str">
            <v>Ⅱ—19</v>
          </cell>
          <cell r="K20" t="str">
            <v>Ⅲ—19</v>
          </cell>
          <cell r="L20" t="str">
            <v>Ⅳ-19</v>
          </cell>
          <cell r="M20" t="str">
            <v>Ⅴ-19</v>
          </cell>
          <cell r="N20" t="str">
            <v>Ⅵ-19</v>
          </cell>
          <cell r="O20" t="str">
            <v>Ⅶ-顺2</v>
          </cell>
          <cell r="P20" t="str">
            <v>Ⅷ-顺7</v>
          </cell>
          <cell r="Q20" t="str">
            <v>Ⅸ-兴1</v>
          </cell>
          <cell r="R20" t="str">
            <v>Ⅹ-怀3</v>
          </cell>
          <cell r="S20" t="str">
            <v>Ⅺ-密3</v>
          </cell>
        </row>
        <row r="21">
          <cell r="K21" t="str">
            <v>Ⅲ—20</v>
          </cell>
          <cell r="L21" t="str">
            <v>Ⅳ-20</v>
          </cell>
          <cell r="M21" t="str">
            <v>Ⅴ-20</v>
          </cell>
          <cell r="N21" t="str">
            <v>Ⅵ-20</v>
          </cell>
          <cell r="O21" t="str">
            <v>Ⅶ-兴1</v>
          </cell>
          <cell r="P21" t="str">
            <v>Ⅷ-兴1</v>
          </cell>
          <cell r="Q21" t="str">
            <v>Ⅸ-兴2</v>
          </cell>
          <cell r="R21" t="str">
            <v>Ⅹ-密1</v>
          </cell>
          <cell r="S21" t="str">
            <v>Ⅺ-延1</v>
          </cell>
        </row>
        <row r="22">
          <cell r="L22" t="str">
            <v>Ⅳ-21</v>
          </cell>
          <cell r="M22" t="str">
            <v>Ⅴ-21</v>
          </cell>
          <cell r="N22" t="str">
            <v>Ⅵ-21</v>
          </cell>
          <cell r="O22" t="str">
            <v>Ⅶ-兴2</v>
          </cell>
          <cell r="P22" t="str">
            <v>Ⅷ-兴2</v>
          </cell>
          <cell r="Q22" t="str">
            <v>Ⅸ-兴3</v>
          </cell>
          <cell r="R22" t="str">
            <v>Ⅹ-延1</v>
          </cell>
          <cell r="S22" t="str">
            <v>Ⅺ-延2</v>
          </cell>
        </row>
        <row r="23">
          <cell r="L23" t="str">
            <v>Ⅳ-22</v>
          </cell>
          <cell r="M23" t="str">
            <v>Ⅴ-22</v>
          </cell>
          <cell r="N23" t="str">
            <v>Ⅵ-22</v>
          </cell>
          <cell r="O23" t="str">
            <v>Ⅶ-兴3</v>
          </cell>
          <cell r="P23" t="str">
            <v>Ⅷ-昌1</v>
          </cell>
          <cell r="Q23" t="str">
            <v>Ⅸ-兴4</v>
          </cell>
          <cell r="R23" t="str">
            <v>Ⅹ-延2</v>
          </cell>
        </row>
        <row r="24">
          <cell r="L24" t="str">
            <v>Ⅳ-23</v>
          </cell>
          <cell r="M24" t="str">
            <v>Ⅴ-23</v>
          </cell>
          <cell r="N24" t="str">
            <v>Ⅵ-23</v>
          </cell>
          <cell r="O24" t="str">
            <v>Ⅶ-昌1</v>
          </cell>
          <cell r="P24" t="str">
            <v>Ⅷ-昌2</v>
          </cell>
          <cell r="Q24" t="str">
            <v>Ⅸ-兴5</v>
          </cell>
          <cell r="R24" t="str">
            <v>Ⅹ-亦1</v>
          </cell>
        </row>
        <row r="25">
          <cell r="L25" t="str">
            <v>Ⅳ-电子城东</v>
          </cell>
          <cell r="M25" t="str">
            <v>Ⅴ-24</v>
          </cell>
          <cell r="N25" t="str">
            <v>Ⅵ-24</v>
          </cell>
          <cell r="O25" t="str">
            <v>Ⅶ-昌2</v>
          </cell>
          <cell r="P25" t="str">
            <v>Ⅷ-昌3</v>
          </cell>
          <cell r="Q25" t="str">
            <v>Ⅸ-昌1</v>
          </cell>
          <cell r="R25" t="str">
            <v>Ⅹ-马坊工业园</v>
          </cell>
        </row>
        <row r="26">
          <cell r="L26" t="str">
            <v>Ⅳ-电子城西</v>
          </cell>
          <cell r="M26" t="str">
            <v>Ⅴ-25</v>
          </cell>
          <cell r="N26" t="str">
            <v>Ⅵ-通1</v>
          </cell>
          <cell r="O26" t="str">
            <v>Ⅶ-昌3</v>
          </cell>
          <cell r="P26" t="str">
            <v>Ⅷ-昌4</v>
          </cell>
          <cell r="Q26" t="str">
            <v>Ⅸ-昌2</v>
          </cell>
          <cell r="R26" t="str">
            <v>Ⅹ-延庆开发区</v>
          </cell>
        </row>
        <row r="27">
          <cell r="L27" t="str">
            <v>Ⅳ-上地核心</v>
          </cell>
          <cell r="M27" t="str">
            <v>Ⅴ-26</v>
          </cell>
          <cell r="N27" t="str">
            <v>Ⅵ-通2</v>
          </cell>
          <cell r="O27" t="str">
            <v>Ⅶ-昌4</v>
          </cell>
          <cell r="P27" t="str">
            <v>Ⅷ-平1</v>
          </cell>
          <cell r="Q27" t="str">
            <v>Ⅸ-昌3</v>
          </cell>
          <cell r="R27" t="str">
            <v>Ⅹ-八达岭开发区</v>
          </cell>
        </row>
        <row r="28">
          <cell r="L28" t="str">
            <v>Ⅳ-丰台园东</v>
          </cell>
          <cell r="M28" t="str">
            <v>Ⅴ-电子城北</v>
          </cell>
          <cell r="N28" t="str">
            <v>Ⅵ-通3</v>
          </cell>
          <cell r="O28" t="str">
            <v>Ⅶ-昌5</v>
          </cell>
          <cell r="P28" t="str">
            <v>Ⅷ-怀1</v>
          </cell>
          <cell r="Q28" t="str">
            <v>Ⅸ-昌4</v>
          </cell>
        </row>
        <row r="29">
          <cell r="M29" t="str">
            <v>Ⅴ-永丰产业基地</v>
          </cell>
          <cell r="N29" t="str">
            <v>Ⅵ-通4</v>
          </cell>
          <cell r="O29" t="str">
            <v>Ⅶ-亦1</v>
          </cell>
          <cell r="P29" t="str">
            <v>Ⅷ-密1</v>
          </cell>
          <cell r="Q29" t="str">
            <v>Ⅸ-昌5</v>
          </cell>
        </row>
        <row r="30">
          <cell r="M30" t="str">
            <v>Ⅴ-航天城</v>
          </cell>
          <cell r="N30" t="str">
            <v>Ⅵ-顺1</v>
          </cell>
          <cell r="O30" t="str">
            <v>Ⅶ-国际教育园</v>
          </cell>
          <cell r="P30" t="str">
            <v>Ⅷ-延1</v>
          </cell>
          <cell r="Q30" t="str">
            <v>Ⅸ-昌南</v>
          </cell>
        </row>
        <row r="31">
          <cell r="M31" t="str">
            <v>Ⅴ-西北旺Ⅰ</v>
          </cell>
          <cell r="N31" t="str">
            <v>Ⅵ-兴1</v>
          </cell>
          <cell r="O31" t="str">
            <v>Ⅶ-农林园</v>
          </cell>
          <cell r="P31" t="str">
            <v>Ⅷ-亦1</v>
          </cell>
          <cell r="Q31" t="str">
            <v>Ⅸ-平1</v>
          </cell>
        </row>
        <row r="32">
          <cell r="M32" t="str">
            <v>Ⅴ-西北旺Ⅱ</v>
          </cell>
          <cell r="N32" t="str">
            <v>Ⅵ-昌1</v>
          </cell>
          <cell r="O32" t="str">
            <v>Ⅶ-上庄科技</v>
          </cell>
          <cell r="P32" t="str">
            <v>Ⅷ-亦2</v>
          </cell>
          <cell r="Q32" t="str">
            <v>Ⅸ-怀1</v>
          </cell>
        </row>
        <row r="33">
          <cell r="M33" t="str">
            <v>Ⅴ-石景山园南区</v>
          </cell>
          <cell r="N33" t="str">
            <v>Ⅵ-昌2</v>
          </cell>
          <cell r="O33" t="str">
            <v>Ⅶ-文化教育基地</v>
          </cell>
          <cell r="P33" t="str">
            <v>Ⅷ-良乡开发区A</v>
          </cell>
          <cell r="Q33" t="str">
            <v>Ⅸ-密1</v>
          </cell>
        </row>
        <row r="34">
          <cell r="M34" t="str">
            <v>Ⅴ-石景山园北Ⅰ</v>
          </cell>
          <cell r="N34" t="str">
            <v>Ⅵ-昌3</v>
          </cell>
          <cell r="O34" t="str">
            <v>Ⅶ-苏家坨科技Ⅰ</v>
          </cell>
          <cell r="P34" t="str">
            <v>Ⅷ-良乡开发区B</v>
          </cell>
          <cell r="Q34" t="str">
            <v>Ⅸ-延1</v>
          </cell>
        </row>
        <row r="35">
          <cell r="M35" t="str">
            <v>Ⅴ-石景山园北Ⅱ</v>
          </cell>
          <cell r="N35" t="str">
            <v>Ⅵ-昌4</v>
          </cell>
          <cell r="O35" t="str">
            <v>Ⅶ-苏家坨科技Ⅱ</v>
          </cell>
          <cell r="P35" t="str">
            <v>Ⅷ-良乡开发区C</v>
          </cell>
          <cell r="Q35" t="str">
            <v>Ⅸ-亦1</v>
          </cell>
        </row>
        <row r="36">
          <cell r="N36" t="str">
            <v>Ⅵ-亦1</v>
          </cell>
          <cell r="O36" t="str">
            <v>Ⅶ-丰台园西Ⅰ</v>
          </cell>
          <cell r="P36" t="str">
            <v>Ⅷ-通州环保园</v>
          </cell>
          <cell r="Q36" t="str">
            <v>Ⅸ-房山工业园东</v>
          </cell>
        </row>
        <row r="37">
          <cell r="N37" t="str">
            <v>Ⅵ-创新园</v>
          </cell>
          <cell r="O37" t="str">
            <v>Ⅶ-丰台园西Ⅱ</v>
          </cell>
          <cell r="P37" t="str">
            <v>Ⅷ-空港北区A</v>
          </cell>
          <cell r="Q37" t="str">
            <v>Ⅸ-房山工业园西</v>
          </cell>
        </row>
        <row r="38">
          <cell r="N38" t="str">
            <v>Ⅵ-海淀环保园</v>
          </cell>
          <cell r="O38" t="str">
            <v>Ⅶ-石龙开发区</v>
          </cell>
          <cell r="P38" t="str">
            <v>Ⅷ-空港北区B</v>
          </cell>
          <cell r="Q38" t="str">
            <v>Ⅸ-通州开发区东</v>
          </cell>
        </row>
        <row r="39">
          <cell r="N39" t="str">
            <v>Ⅵ-温泉科技Ⅰ</v>
          </cell>
          <cell r="O39" t="str">
            <v>Ⅶ-光机电</v>
          </cell>
          <cell r="P39" t="str">
            <v>Ⅷ-生物医药基地</v>
          </cell>
          <cell r="Q39" t="str">
            <v>Ⅸ-永乐开发区</v>
          </cell>
        </row>
        <row r="40">
          <cell r="N40" t="str">
            <v>Ⅵ-温泉科技Ⅱ</v>
          </cell>
          <cell r="O40" t="str">
            <v>Ⅶ-通州开发区西</v>
          </cell>
          <cell r="P40" t="str">
            <v>Ⅷ-小汤山工业园</v>
          </cell>
          <cell r="Q40" t="str">
            <v>Ⅸ-采育开发区</v>
          </cell>
        </row>
        <row r="41">
          <cell r="N41" t="str">
            <v>Ⅵ-温泉科技Ⅲ</v>
          </cell>
          <cell r="O41" t="str">
            <v>Ⅶ-林河开发区</v>
          </cell>
          <cell r="Q41" t="str">
            <v>Ⅸ-兴谷开发区A</v>
          </cell>
        </row>
        <row r="42">
          <cell r="N42" t="str">
            <v>Ⅵ-天竺保税区南</v>
          </cell>
          <cell r="O42" t="str">
            <v>Ⅶ-大兴开发区</v>
          </cell>
          <cell r="Q42" t="str">
            <v>Ⅸ-兴谷开发区B</v>
          </cell>
        </row>
        <row r="43">
          <cell r="N43" t="str">
            <v>Ⅵ-天竺保税区北1</v>
          </cell>
          <cell r="O43" t="str">
            <v>Ⅶ-昌平园南Ⅰ</v>
          </cell>
          <cell r="Q43" t="str">
            <v>Ⅸ-雁栖开发区A</v>
          </cell>
        </row>
        <row r="44">
          <cell r="N44" t="str">
            <v>Ⅵ-天竺保税区北2</v>
          </cell>
          <cell r="O44" t="str">
            <v>Ⅶ-昌平园南Ⅱ</v>
          </cell>
          <cell r="Q44" t="str">
            <v>Ⅸ-雁栖开发区B</v>
          </cell>
        </row>
        <row r="45">
          <cell r="N45" t="str">
            <v>Ⅵ-空港A</v>
          </cell>
          <cell r="O45" t="str">
            <v>Ⅶ-昌平园北Ⅰ</v>
          </cell>
          <cell r="Q45" t="str">
            <v>Ⅸ-雁栖开发区C</v>
          </cell>
        </row>
        <row r="46">
          <cell r="N46" t="str">
            <v>Ⅵ-空港B</v>
          </cell>
          <cell r="O46" t="str">
            <v>Ⅶ-昌平园北Ⅱ</v>
          </cell>
          <cell r="Q46" t="str">
            <v>Ⅸ-密云开发区</v>
          </cell>
        </row>
        <row r="47">
          <cell r="N47" t="str">
            <v>Ⅵ-生命科学园</v>
          </cell>
          <cell r="O47" t="str">
            <v>Ⅶ-昌平园北Ⅲ</v>
          </cell>
        </row>
        <row r="48">
          <cell r="N48" t="str">
            <v>Ⅵ-昌三一光电</v>
          </cell>
          <cell r="O48" t="str">
            <v>Ⅶ-BDA东</v>
          </cell>
        </row>
        <row r="49">
          <cell r="N49" t="str">
            <v>Ⅵ-BDA核心</v>
          </cell>
          <cell r="O49" t="str">
            <v>Ⅶ-BDA西</v>
          </cell>
        </row>
      </sheetData>
      <sheetData sheetId="24" refreshError="1"/>
      <sheetData sheetId="25" refreshError="1"/>
      <sheetData sheetId="26">
        <row r="3">
          <cell r="A3" t="str">
            <v>本行不参与计算</v>
          </cell>
        </row>
        <row r="5">
          <cell r="A5" t="str">
            <v>2019-3</v>
          </cell>
        </row>
        <row r="6">
          <cell r="A6" t="str">
            <v>2019-2</v>
          </cell>
        </row>
        <row r="7">
          <cell r="A7" t="str">
            <v>2019-1</v>
          </cell>
        </row>
        <row r="8">
          <cell r="A8" t="str">
            <v>2018-4</v>
          </cell>
        </row>
        <row r="9">
          <cell r="A9" t="str">
            <v>2018-3</v>
          </cell>
        </row>
        <row r="10">
          <cell r="A10" t="str">
            <v>2018-2</v>
          </cell>
        </row>
        <row r="11">
          <cell r="A11" t="str">
            <v>2018-1</v>
          </cell>
        </row>
        <row r="12">
          <cell r="A12" t="str">
            <v>2017-4</v>
          </cell>
        </row>
        <row r="13">
          <cell r="A13" t="str">
            <v>2017-3</v>
          </cell>
        </row>
        <row r="14">
          <cell r="A14" t="str">
            <v>2017-2</v>
          </cell>
        </row>
        <row r="15">
          <cell r="A15" t="str">
            <v>2017-1</v>
          </cell>
        </row>
        <row r="16">
          <cell r="A16" t="str">
            <v>2016-4</v>
          </cell>
        </row>
        <row r="17">
          <cell r="A17" t="str">
            <v>2016-3</v>
          </cell>
        </row>
        <row r="18">
          <cell r="A18" t="str">
            <v>2016-2</v>
          </cell>
        </row>
        <row r="19">
          <cell r="A19" t="str">
            <v>2016-1</v>
          </cell>
        </row>
        <row r="20">
          <cell r="A20" t="str">
            <v>2015-4</v>
          </cell>
        </row>
        <row r="21">
          <cell r="A21" t="str">
            <v>2015-3</v>
          </cell>
        </row>
        <row r="22">
          <cell r="A22" t="str">
            <v>2015-2</v>
          </cell>
        </row>
        <row r="23">
          <cell r="A23" t="str">
            <v>2015-1</v>
          </cell>
        </row>
        <row r="24">
          <cell r="A24" t="str">
            <v>2014-4</v>
          </cell>
        </row>
        <row r="25">
          <cell r="A25" t="str">
            <v>2014-3</v>
          </cell>
        </row>
        <row r="26">
          <cell r="A26" t="str">
            <v>2014-2</v>
          </cell>
        </row>
        <row r="27">
          <cell r="A27" t="str">
            <v>2014-1</v>
          </cell>
        </row>
      </sheetData>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0">
          <cell r="B120" t="str">
            <v>单套/主力户型建筑面积</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09">
          <cell r="B109" t="str">
            <v>成新度</v>
          </cell>
          <cell r="C109" t="str">
            <v>0.5(含)-0.6</v>
          </cell>
          <cell r="D109" t="str">
            <v>0.6(含)-0.7</v>
          </cell>
          <cell r="E109" t="str">
            <v>0.7(含)-0.8</v>
          </cell>
          <cell r="F109" t="str">
            <v>0.8(含)-0.9</v>
          </cell>
          <cell r="G109" t="str">
            <v>0.9(含)-1</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44" customWidth="1"/>
    <col min="2" max="2" width="78.21875" style="3145" customWidth="1"/>
    <col min="3" max="18" width="9" style="3146"/>
    <col min="19" max="19" width="17.88671875" style="3146" customWidth="1"/>
    <col min="20" max="51" width="9" style="3146"/>
    <col min="52" max="52" width="13.21875" style="3146" customWidth="1"/>
    <col min="53" max="53" width="13.44140625" style="3146" customWidth="1"/>
    <col min="54" max="54" width="11.6640625" style="3146" customWidth="1"/>
    <col min="55" max="55" width="13.44140625" style="3146" customWidth="1"/>
    <col min="56" max="16384" width="9" style="3146"/>
  </cols>
  <sheetData>
    <row r="1" spans="1:55" s="3138" customFormat="1">
      <c r="A1" s="3147" t="s">
        <v>0</v>
      </c>
      <c r="B1" s="3148" t="s">
        <v>1</v>
      </c>
    </row>
    <row r="2" spans="1:55" s="3139" customFormat="1">
      <c r="A2" s="3149" t="s">
        <v>2</v>
      </c>
      <c r="B2" s="3150" t="str">
        <f>'预评函-封皮'!B37</f>
        <v>江苏省苏州市姑苏区金门路100-1号（北）出让国有建设用地使用权抵押价格预评估</v>
      </c>
      <c r="AX2" s="3161"/>
      <c r="AZ2" s="3161"/>
      <c r="BA2" s="3162"/>
      <c r="BC2" s="3162"/>
    </row>
    <row r="3" spans="1:55" s="3140" customFormat="1">
      <c r="A3" s="3151" t="s">
        <v>3</v>
      </c>
      <c r="B3" s="3152" t="str">
        <f>'预评函-封皮'!B40</f>
        <v>苏州国展商业广场开发有限公司</v>
      </c>
    </row>
    <row r="4" spans="1:55" s="3141" customFormat="1">
      <c r="A4" s="3151" t="s">
        <v>4</v>
      </c>
      <c r="B4" s="3153" t="str">
        <f>'预评函-封皮'!B46</f>
        <v>吴薇、郑燚</v>
      </c>
      <c r="N4" s="3141" t="str">
        <f>'预评函-1'!A28</f>
        <v/>
      </c>
    </row>
    <row r="5" spans="1:55" s="3138" customFormat="1">
      <c r="A5" s="3154" t="s">
        <v>5</v>
      </c>
      <c r="B5" s="3155" t="str">
        <f>'预评函-封皮'!B49</f>
        <v>康正预评字号</v>
      </c>
    </row>
    <row r="6" spans="1:55" s="3142" customFormat="1">
      <c r="A6" s="3149" t="s">
        <v>6</v>
      </c>
      <c r="B6" s="3150" t="str">
        <f>'预评函-1'!A4</f>
        <v>受贵公司委托，我公司对江苏省苏州市姑苏区金门路100-1号（北）出让国有建设用地使用权抵押价格进行了预评估。</v>
      </c>
      <c r="AM6" s="3159"/>
    </row>
    <row r="7" spans="1:55" s="3143" customFormat="1">
      <c r="A7" s="3151" t="s">
        <v>7</v>
      </c>
      <c r="B7" s="3153" t="str">
        <f>'预评函-1'!A6</f>
        <v>估价对象为苏州国展商业广场开发有限公司使用的、位于江苏省苏州市姑苏区金门路100-1号（北）出让国有建设用地使用权。根据《国有土地使用证》[]，估价对象（分摊）出让国有建设用地使用权面积为10309.6平方米。根据《建设工程规划许可证》[]、《出让合同》[]，估价对象规划建筑面积为124721平方米。</v>
      </c>
    </row>
    <row r="8" spans="1:55" s="3143" customFormat="1">
      <c r="A8" s="3151" t="s">
        <v>8</v>
      </c>
      <c r="B8" s="3153" t="str">
        <f>'预评函-1'!A7</f>
        <v xml:space="preserve">简述项目推广名，项目类型（用途），估价对象分布，各用途面积明细情况：XX用途建筑面积XX平方米，XX用途建筑面积XX平方米，……。复杂面积清单需设‘附表’列示：抵押物清单详见附表。        </v>
      </c>
    </row>
    <row r="9" spans="1:55" s="3143" customFormat="1">
      <c r="A9" s="3151" t="s">
        <v>9</v>
      </c>
      <c r="B9" s="3153"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3143" customFormat="1">
      <c r="A10" s="3151" t="s">
        <v>10</v>
      </c>
      <c r="B10" s="3153" t="str">
        <f>'预评函-1'!A11</f>
        <v>2019年7月8日（评估专业人员勘察现场之日）</v>
      </c>
    </row>
    <row r="11" spans="1:55" s="3143" customFormat="1">
      <c r="A11" s="3151" t="s">
        <v>11</v>
      </c>
      <c r="B11" s="3153" t="str">
        <f>'预评函-1'!A14</f>
        <v>根据《不动产权证书》[苏（2016）苏州市不动产权第8030236号]，本次评估估价对象证载（地类）用途为城镇住宅用地、其他商服用地。</v>
      </c>
    </row>
    <row r="12" spans="1:55" s="3143" customFormat="1">
      <c r="A12" s="3151" t="s">
        <v>12</v>
      </c>
      <c r="B12" s="3153" t="str">
        <f>'预评函-1'!A15</f>
        <v>本次评估设定用途即为证载用途。</v>
      </c>
    </row>
    <row r="13" spans="1:55" s="3143" customFormat="1">
      <c r="A13" s="3151" t="s">
        <v>13</v>
      </c>
      <c r="B13" s="3153" t="str">
        <f>'预评函-1'!A17</f>
        <v>根据委托估价方介绍及评估专业人员现场勘查，本次评估估价对象实际土地开发程度为红线外市政基础设施达“七通”（即、、、、、、）、宗地红线内场地平整。</v>
      </c>
    </row>
    <row r="14" spans="1:55" s="3143" customFormat="1">
      <c r="A14" s="3151" t="s">
        <v>14</v>
      </c>
      <c r="B14" s="3153" t="str">
        <f>'预评函-1'!A18</f>
        <v>。本次评估设定土地开发程度为红线外市政基础设施达“七通”、宗地红线内场地平整。</v>
      </c>
    </row>
    <row r="15" spans="1:55" s="3143" customFormat="1">
      <c r="A15" s="3151" t="s">
        <v>15</v>
      </c>
      <c r="B15" s="3153" t="str">
        <f>'预评函-1'!A20</f>
        <v>根据《国有土地使用证》[]，估价对象（分摊）出让国有建设用地使用权面积为10309.6平方米。根据《建设工程规划许可证》[]、《出让合同》[]，估价对象规划建筑面积为124721平方米。</v>
      </c>
    </row>
    <row r="16" spans="1:55" s="3143" customFormat="1">
      <c r="A16" s="3151" t="s">
        <v>16</v>
      </c>
      <c r="B16" s="3153" t="str">
        <f>'预评函-1'!A22</f>
        <v>本次估价对象为出让国有建设用地使用权，《不动产权证书》[苏（2016）苏州市不动产权第8030236号]证载土地终止日期为住宅2084年3月24日、商业2054年3月24日、办公2054年3月24日、车库2054年3月24日。截至估价期日，出让国有建设用地使用权剩余土地使用年限为。</v>
      </c>
    </row>
    <row r="17" spans="1:48" s="3143" customFormat="1">
      <c r="A17" s="3151" t="s">
        <v>17</v>
      </c>
      <c r="B17" s="3153" t="str">
        <f>'预评函-1'!A23</f>
        <v>本次评估设定估价对象剩余土地使用年限为。</v>
      </c>
    </row>
    <row r="18" spans="1:48" s="3143" customFormat="1">
      <c r="A18" s="3151" t="s">
        <v>18</v>
      </c>
      <c r="B18" s="3153" t="str">
        <f>'预评函-1'!A25</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19" spans="1:48" s="3143" customFormat="1">
      <c r="A19" s="3151" t="s">
        <v>19</v>
      </c>
      <c r="B19" s="3153" t="str">
        <f>'预评函-1'!A26</f>
        <v>本次估价的“抵押价格”是指估价对象在估价期日的“出让国有建设用地使用权价格”扣减估价师于估价期日所知悉的法定优先受偿款后的余额。</v>
      </c>
    </row>
    <row r="20" spans="1:48" s="3143" customFormat="1">
      <c r="A20" s="3151" t="s">
        <v>20</v>
      </c>
      <c r="B20" s="31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8" customFormat="1">
      <c r="A21" s="3154" t="s">
        <v>21</v>
      </c>
      <c r="B21" s="3155" t="str">
        <f>'预评函-1'!A28</f>
        <v/>
      </c>
    </row>
    <row r="22" spans="1:48">
      <c r="A22" s="3156" t="s">
        <v>22</v>
      </c>
      <c r="B22" s="315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51" t="s">
        <v>23</v>
      </c>
      <c r="B23" s="3153" t="str">
        <f>'预评函-2'!K2</f>
        <v>估价期日：2019年7月8日</v>
      </c>
    </row>
    <row r="24" spans="1:48">
      <c r="A24" s="3151" t="s">
        <v>24</v>
      </c>
      <c r="B24" s="3153" t="str">
        <f>'预评函-2'!R2</f>
        <v>估价期日的国有建设用地使用权性质：出让</v>
      </c>
    </row>
    <row r="25" spans="1:48">
      <c r="A25" s="3151" t="s">
        <v>25</v>
      </c>
      <c r="B25" s="3153" t="str">
        <f>'预评函-2'!A3</f>
        <v>估价期日土地使用者</v>
      </c>
    </row>
    <row r="26" spans="1:48">
      <c r="A26" s="3151" t="s">
        <v>26</v>
      </c>
      <c r="B26" s="3153" t="str">
        <f>'预评函-2'!A5</f>
        <v>中信开发</v>
      </c>
    </row>
    <row r="27" spans="1:48">
      <c r="A27" s="3151" t="s">
        <v>27</v>
      </c>
      <c r="B27" s="3153" t="str">
        <f>'预评函-2'!B3</f>
        <v>宗地编号/不动产单元号</v>
      </c>
    </row>
    <row r="28" spans="1:48">
      <c r="A28" s="3151" t="s">
        <v>28</v>
      </c>
      <c r="B28" s="3153" t="str">
        <f>'预评函-2'!B5</f>
        <v>11111111111</v>
      </c>
    </row>
    <row r="29" spans="1:48">
      <c r="A29" s="3151" t="s">
        <v>29</v>
      </c>
      <c r="B29" s="3153">
        <f>'预评函-2'!C5</f>
        <v>22</v>
      </c>
    </row>
    <row r="30" spans="1:48">
      <c r="A30" s="3151" t="s">
        <v>30</v>
      </c>
      <c r="B30" s="3153" t="str">
        <f>'预评函-2'!D3</f>
        <v>土地使用证编号/不动产权证书编号</v>
      </c>
    </row>
    <row r="31" spans="1:48">
      <c r="A31" s="3151" t="s">
        <v>31</v>
      </c>
      <c r="B31" s="3153" t="str">
        <f>'预评函-2'!D5</f>
        <v>京国土字第111号</v>
      </c>
    </row>
    <row r="32" spans="1:48">
      <c r="A32" s="3151" t="s">
        <v>32</v>
      </c>
      <c r="B32" s="3153" t="str">
        <f>'预评函-2'!E5</f>
        <v>城镇住宅用地、其他商服用地</v>
      </c>
      <c r="AV32" s="3160"/>
    </row>
    <row r="33" spans="1:2">
      <c r="A33" s="3151" t="s">
        <v>33</v>
      </c>
      <c r="B33" s="3153">
        <f>'预评函-2'!F5</f>
        <v>258</v>
      </c>
    </row>
    <row r="34" spans="1:2">
      <c r="A34" s="3151" t="s">
        <v>34</v>
      </c>
      <c r="B34" s="3153">
        <f>'预评函-2'!G5</f>
        <v>0</v>
      </c>
    </row>
    <row r="35" spans="1:2">
      <c r="A35" s="3151" t="s">
        <v>35</v>
      </c>
      <c r="B35" s="3153">
        <f>'预评函-2'!H5</f>
        <v>1.5</v>
      </c>
    </row>
    <row r="36" spans="1:2">
      <c r="A36" s="3151" t="s">
        <v>36</v>
      </c>
      <c r="B36" s="3153">
        <f>'预评函-2'!I5</f>
        <v>1.5</v>
      </c>
    </row>
    <row r="37" spans="1:2">
      <c r="A37" s="3151" t="s">
        <v>37</v>
      </c>
      <c r="B37" s="3153">
        <f>'预评函-2'!J5</f>
        <v>1.5</v>
      </c>
    </row>
    <row r="38" spans="1:2">
      <c r="A38" s="3151" t="s">
        <v>38</v>
      </c>
      <c r="B38" s="3153" t="str">
        <f>'预评函-2'!K5</f>
        <v>红线外七通、宗地红线内</v>
      </c>
    </row>
    <row r="39" spans="1:2">
      <c r="A39" s="3151" t="s">
        <v>39</v>
      </c>
      <c r="B39" s="3153" t="str">
        <f>'预评函-2'!L5</f>
        <v>红线外七通、宗地红线内场地</v>
      </c>
    </row>
    <row r="40" spans="1:2">
      <c r="A40" s="3151" t="s">
        <v>40</v>
      </c>
      <c r="B40" s="3153" t="str">
        <f>'预评函-2'!M3</f>
        <v>（剩余）土地使用年限/年</v>
      </c>
    </row>
    <row r="41" spans="1:2">
      <c r="A41" s="3151" t="s">
        <v>41</v>
      </c>
      <c r="B41" s="3153">
        <f>'预评函-2'!M5</f>
        <v>0</v>
      </c>
    </row>
    <row r="42" spans="1:2">
      <c r="A42" s="3151" t="s">
        <v>42</v>
      </c>
      <c r="B42" s="3153" t="str">
        <f>'预评函-2'!N3</f>
        <v>（分摊）出让国有建设用地使用权面积/㎡</v>
      </c>
    </row>
    <row r="43" spans="1:2">
      <c r="A43" s="3151" t="s">
        <v>43</v>
      </c>
      <c r="B43" s="3153">
        <f>'预评函-2'!N5</f>
        <v>10309.6</v>
      </c>
    </row>
    <row r="44" spans="1:2">
      <c r="A44" s="3151" t="s">
        <v>44</v>
      </c>
      <c r="B44" s="3153" t="str">
        <f>'预评函-2'!O3</f>
        <v>规划建筑面积/㎡</v>
      </c>
    </row>
    <row r="45" spans="1:2">
      <c r="A45" s="3151" t="s">
        <v>45</v>
      </c>
      <c r="B45" s="3153">
        <f>'预评函-2'!O5</f>
        <v>124721</v>
      </c>
    </row>
    <row r="46" spans="1:2">
      <c r="A46" s="3151" t="s">
        <v>46</v>
      </c>
      <c r="B46" s="3153">
        <f ca="1">'预评函-2'!P5</f>
        <v>160191</v>
      </c>
    </row>
    <row r="47" spans="1:2">
      <c r="A47" s="3151" t="s">
        <v>47</v>
      </c>
      <c r="B47" s="3153">
        <f ca="1">'预评函-2'!Q5</f>
        <v>13242</v>
      </c>
    </row>
    <row r="48" spans="1:2">
      <c r="A48" s="3151" t="s">
        <v>48</v>
      </c>
      <c r="B48" s="3153">
        <f ca="1">'预评函-2'!R5</f>
        <v>165151</v>
      </c>
    </row>
    <row r="49" spans="1:2">
      <c r="A49" s="3151" t="s">
        <v>49</v>
      </c>
      <c r="B49" s="3153" t="str">
        <f>'预评函-2'!A6</f>
        <v>抵押价格</v>
      </c>
    </row>
    <row r="50" spans="1:2">
      <c r="A50" s="3151" t="s">
        <v>50</v>
      </c>
      <c r="B50" s="3153">
        <f ca="1">'预评函-2'!R6</f>
        <v>165151</v>
      </c>
    </row>
    <row r="51" spans="1:2">
      <c r="A51" s="3151" t="s">
        <v>51</v>
      </c>
      <c r="B51" s="3153" t="str">
        <f>'预评函-2'!A7</f>
        <v>——</v>
      </c>
    </row>
    <row r="52" spans="1:2">
      <c r="A52" s="3151" t="s">
        <v>52</v>
      </c>
      <c r="B52" s="3153" t="str">
        <f>'预评函-2'!R7</f>
        <v>——</v>
      </c>
    </row>
    <row r="53" spans="1:2">
      <c r="A53" s="3151" t="s">
        <v>53</v>
      </c>
      <c r="B53" s="3153" t="str">
        <f>'预评函-2'!A8</f>
        <v>——</v>
      </c>
    </row>
    <row r="54" spans="1:2" s="3138" customFormat="1">
      <c r="A54" s="3154" t="s">
        <v>54</v>
      </c>
      <c r="B54" s="3155" t="str">
        <f>'预评函-2'!R8</f>
        <v>——</v>
      </c>
    </row>
    <row r="55" spans="1:2">
      <c r="A55" s="3156" t="s">
        <v>55</v>
      </c>
      <c r="B55" s="3157" t="str">
        <f>'预评函-3'!A2</f>
        <v>1.权利限制：根据估价对象《不动产权证书》原件、《国有土地使用权》复印件，截至估价期日，估价对象抵押权未见登记。未设定租赁等其他他项权利。</v>
      </c>
    </row>
    <row r="56" spans="1:2">
      <c r="A56" s="3151" t="s">
        <v>56</v>
      </c>
      <c r="B56" s="3153" t="str">
        <f>'预评函-3'!A3</f>
        <v>2.基础设施条件：估价对象实际开发程度为红线外七通、宗地红线内；本次评估设定开发程度为红线外七通、宗地红线内场地。</v>
      </c>
    </row>
    <row r="57" spans="1:2">
      <c r="A57" s="3151" t="s">
        <v>57</v>
      </c>
      <c r="B57" s="3153" t="str">
        <f>'预评函-3'!A4</f>
        <v>3.估价规划限制条件：详见《建设工程规划许可证》[]、《出让合同》[]。</v>
      </c>
    </row>
    <row r="58" spans="1:2" s="3138" customFormat="1">
      <c r="A58" s="3154" t="s">
        <v>58</v>
      </c>
      <c r="B58" s="3155" t="str">
        <f>'预评函-3'!A5</f>
        <v>4.影响价格的其他限定条件：无。</v>
      </c>
    </row>
    <row r="59" spans="1:2">
      <c r="A59" s="3156" t="s">
        <v>59</v>
      </c>
      <c r="B59" s="3157" t="str">
        <f>'预评函-3'!A8</f>
        <v>2.本《评估意见函》仅供金融机构进行内部审核使用，不做其他目的之用。</v>
      </c>
    </row>
    <row r="60" spans="1:2">
      <c r="A60" s="3151" t="s">
        <v>60</v>
      </c>
      <c r="B60" s="3153" t="str">
        <f>'预评函-3'!A9</f>
        <v>3.抵押双方在办理抵押登记手续时，应使用本公司出具的正式《土地估价报告》，特提请报告使用者注意。</v>
      </c>
    </row>
    <row r="61" spans="1:2">
      <c r="A61" s="3151" t="s">
        <v>61</v>
      </c>
      <c r="B61" s="3153" t="str">
        <f>'预评函-3'!A10</f>
        <v>4.估价师所知悉的法定优先受偿款情况为：</v>
      </c>
    </row>
    <row r="62" spans="1:2">
      <c r="A62" s="3151" t="s">
        <v>62</v>
      </c>
      <c r="B62" s="31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1" t="s">
        <v>63</v>
      </c>
      <c r="B63" s="31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1" t="s">
        <v>64</v>
      </c>
      <c r="B64" s="3158" t="str">
        <f>'预评函-3'!A13</f>
        <v>（3）。</v>
      </c>
    </row>
    <row r="65" spans="1:2">
      <c r="A65" s="3151" t="s">
        <v>65</v>
      </c>
      <c r="B65" s="3163" t="str">
        <f>'预评函-3'!A14</f>
        <v>综上，本次评估不存在估价师知悉的法定优先受偿款</v>
      </c>
    </row>
    <row r="66" spans="1:2">
      <c r="A66" s="3151" t="s">
        <v>66</v>
      </c>
      <c r="B66" s="3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1" t="s">
        <v>67</v>
      </c>
      <c r="B67" s="3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8" customFormat="1">
      <c r="A68" s="3154" t="s">
        <v>68</v>
      </c>
      <c r="B68" s="3164">
        <f>'预评函-3'!D30</f>
        <v>42558</v>
      </c>
    </row>
    <row r="69" spans="1:2">
      <c r="A69" s="3156" t="s">
        <v>69</v>
      </c>
      <c r="B69" s="3157" t="str">
        <f>'预评函-3'!A20</f>
        <v>吴薇</v>
      </c>
    </row>
    <row r="70" spans="1:2">
      <c r="A70" s="3151" t="s">
        <v>69</v>
      </c>
      <c r="B70" s="3163">
        <f ca="1">'预评函-3'!B20</f>
        <v>2002110125</v>
      </c>
    </row>
    <row r="71" spans="1:2">
      <c r="A71" s="3151" t="s">
        <v>70</v>
      </c>
      <c r="B71" s="3153" t="str">
        <f>'预评函-3'!A21</f>
        <v>郑燚</v>
      </c>
    </row>
    <row r="72" spans="1:2" s="3138" customFormat="1">
      <c r="A72" s="3154" t="s">
        <v>70</v>
      </c>
      <c r="B72" s="3165">
        <f ca="1">'预评函-3'!B21</f>
        <v>2014110011</v>
      </c>
    </row>
    <row r="73" spans="1:2">
      <c r="A73" s="3156" t="s">
        <v>71</v>
      </c>
      <c r="B73" s="31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1" t="s">
        <v>72</v>
      </c>
      <c r="B74" s="3167" t="str">
        <f>'预评函-1 (储备)'!A18</f>
        <v>由于本次评估估价目的是评估储备国有建设用地使用权的“抵押价格”，因此本次评估设定土地开发程度为红线外市政基础设施达“七通”、宗地红线内场地平整。</v>
      </c>
    </row>
    <row r="75" spans="1:2" s="3138" customFormat="1">
      <c r="A75" s="3154" t="s">
        <v>73</v>
      </c>
      <c r="B75" s="31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4" t="s">
        <v>74</v>
      </c>
      <c r="B76" s="3145"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5.6"/>
  <cols>
    <col min="1" max="1" width="15.33203125" style="2879" customWidth="1"/>
    <col min="2" max="2" width="11.33203125" style="2879" customWidth="1"/>
    <col min="3" max="3" width="12.6640625" style="2879" customWidth="1"/>
    <col min="4" max="4" width="10" style="2879" customWidth="1"/>
    <col min="5" max="5" width="12.44140625" style="2879" customWidth="1"/>
    <col min="6" max="6" width="11.33203125" style="2879" customWidth="1"/>
    <col min="7" max="7" width="12.33203125" style="2879" customWidth="1"/>
    <col min="8" max="8" width="10" style="2879" customWidth="1"/>
    <col min="9" max="9" width="12.441406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352</v>
      </c>
      <c r="B1" s="3205" t="str">
        <f>IF(B10="北京市","北京市",C10)&amp;F10&amp;B16&amp;"国有建设用地使用权"&amp;B9&amp;"预评估"</f>
        <v>江苏省苏州市姑苏区金门路100-1号（北）出让国有建设用地使用权抵押价格预评估</v>
      </c>
      <c r="C1" s="3206"/>
      <c r="D1" s="3206"/>
      <c r="E1" s="3206"/>
      <c r="F1" s="3206"/>
      <c r="G1" s="3206"/>
      <c r="H1" s="3206"/>
      <c r="I1" s="3207"/>
      <c r="J1" s="2886"/>
      <c r="K1" s="3004" t="str">
        <f>IF(B10="北京市","北京市",C10)&amp;F10&amp;B16&amp;"国有建设用地使用权"&amp;B9</f>
        <v>江苏省苏州市姑苏区金门路100-1号（北）出让国有建设用地使用权抵押价格</v>
      </c>
      <c r="L1" s="3005"/>
      <c r="M1" s="3005"/>
      <c r="N1" s="2886"/>
      <c r="O1" s="3006"/>
      <c r="P1" s="2886"/>
      <c r="Q1" s="2886"/>
      <c r="R1" s="2886"/>
      <c r="S1" s="2886"/>
      <c r="T1" s="2886"/>
      <c r="U1" s="2886"/>
    </row>
    <row r="2" spans="1:21">
      <c r="A2" s="2884" t="s">
        <v>353</v>
      </c>
      <c r="B2" s="2885"/>
      <c r="D2" s="2886"/>
      <c r="E2" s="2886"/>
      <c r="F2" s="2886"/>
      <c r="G2" s="2886"/>
      <c r="H2" s="2884"/>
      <c r="I2" s="3006"/>
      <c r="J2" s="2886"/>
      <c r="K2" s="3004" t="str">
        <f>IF(B10="北京市","北京市",C10)&amp;F10&amp;B16&amp;"国有建设用地使用权"</f>
        <v>江苏省苏州市姑苏区金门路100-1号（北）出让国有建设用地使用权</v>
      </c>
      <c r="L2" s="3005"/>
      <c r="M2" s="3005"/>
      <c r="N2" s="2886"/>
      <c r="O2" s="3006"/>
      <c r="P2" s="2886"/>
      <c r="Q2" s="2886"/>
      <c r="R2" s="2886"/>
      <c r="S2" s="2886"/>
      <c r="T2" s="2886"/>
      <c r="U2" s="2886"/>
    </row>
    <row r="3" spans="1:21">
      <c r="A3" s="2887" t="s">
        <v>354</v>
      </c>
      <c r="B3" s="2888">
        <v>43654</v>
      </c>
      <c r="C3" s="2889" t="s">
        <v>355</v>
      </c>
      <c r="D3" s="2888">
        <v>43654</v>
      </c>
      <c r="E3" s="2886"/>
      <c r="F3" s="2886"/>
      <c r="G3" s="2886"/>
      <c r="H3" s="2884"/>
      <c r="I3" s="3006"/>
      <c r="J3" s="2886"/>
      <c r="K3" s="3007"/>
      <c r="L3" s="3005"/>
      <c r="M3" s="3005"/>
      <c r="N3" s="2886"/>
      <c r="O3" s="3006"/>
      <c r="P3" s="2886"/>
      <c r="Q3" s="2886"/>
      <c r="R3" s="2886"/>
      <c r="S3" s="2886"/>
      <c r="T3" s="2886"/>
      <c r="U3" s="2886"/>
    </row>
    <row r="4" spans="1:21">
      <c r="A4" s="2890" t="s">
        <v>356</v>
      </c>
      <c r="B4" s="2891" t="s">
        <v>196</v>
      </c>
      <c r="C4" s="2892">
        <f ca="1">SUMIF(土地估价师,B4,估价师及机构信息!E3:E24)</f>
        <v>2002110125</v>
      </c>
      <c r="D4" s="2891" t="s">
        <v>199</v>
      </c>
      <c r="E4" s="2892">
        <f ca="1">SUMIF(土地估价师,D4,估价师及机构信息!E3:E24)</f>
        <v>2014110011</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吴薇、郑燚</v>
      </c>
      <c r="L4" s="3005"/>
      <c r="M4" s="3005"/>
      <c r="N4" s="2886"/>
      <c r="O4" s="3006"/>
      <c r="P4" s="2886"/>
      <c r="Q4" s="2886"/>
      <c r="R4" s="2886"/>
      <c r="S4" s="2886"/>
      <c r="T4" s="2886"/>
      <c r="U4" s="2886"/>
    </row>
    <row r="5" spans="1:21">
      <c r="A5" s="2893" t="s">
        <v>357</v>
      </c>
      <c r="B5" s="2894" t="s">
        <v>358</v>
      </c>
      <c r="C5" s="2895"/>
      <c r="D5" s="2896"/>
      <c r="E5" s="2886"/>
      <c r="F5" s="2886"/>
      <c r="G5" s="2886"/>
      <c r="H5" s="2884"/>
      <c r="I5" s="3006"/>
      <c r="J5" s="2886"/>
      <c r="K5" s="3007"/>
      <c r="L5" s="3005"/>
      <c r="M5" s="3005"/>
      <c r="N5" s="2886"/>
      <c r="O5" s="3006"/>
      <c r="P5" s="2886"/>
      <c r="Q5" s="2886"/>
      <c r="R5" s="2886"/>
      <c r="S5" s="2886"/>
      <c r="T5" s="2886"/>
      <c r="U5" s="2886"/>
    </row>
    <row r="6" spans="1:21" ht="27.6">
      <c r="A6" s="2889" t="s">
        <v>359</v>
      </c>
      <c r="B6" s="2894" t="s">
        <v>360</v>
      </c>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361</v>
      </c>
      <c r="B7" s="2894" t="s">
        <v>358</v>
      </c>
      <c r="C7" s="2897"/>
      <c r="D7" s="2898"/>
      <c r="E7" s="2886"/>
      <c r="F7" s="2886"/>
      <c r="G7" s="2886"/>
      <c r="H7" s="2884"/>
      <c r="I7" s="3006"/>
      <c r="J7" s="2886"/>
      <c r="K7" s="3007"/>
      <c r="L7" s="3005"/>
      <c r="M7" s="3005"/>
      <c r="N7" s="2886"/>
      <c r="O7" s="3006"/>
      <c r="P7" s="2886"/>
      <c r="Q7" s="2886"/>
      <c r="R7" s="2886"/>
      <c r="S7" s="2886"/>
      <c r="T7" s="2886"/>
      <c r="U7" s="2886"/>
    </row>
    <row r="8" spans="1:21">
      <c r="A8" s="2899" t="s">
        <v>337</v>
      </c>
      <c r="B8" s="2900" t="s">
        <v>339</v>
      </c>
      <c r="C8" s="2901"/>
      <c r="D8" s="3214" t="s">
        <v>362</v>
      </c>
      <c r="E8" s="2902" t="s">
        <v>344</v>
      </c>
      <c r="F8" s="2903"/>
      <c r="G8" s="2884"/>
      <c r="H8" s="2884"/>
      <c r="I8" s="3009"/>
      <c r="J8" s="2886"/>
      <c r="K8" s="3007"/>
      <c r="L8" s="3005"/>
      <c r="M8" s="3005"/>
      <c r="N8" s="2886"/>
      <c r="O8" s="3006"/>
      <c r="P8" s="2886"/>
      <c r="Q8" s="2886"/>
      <c r="R8" s="2886"/>
      <c r="S8" s="2886"/>
      <c r="T8" s="2886"/>
      <c r="U8" s="2886"/>
    </row>
    <row r="9" spans="1:21">
      <c r="A9" s="2904" t="s">
        <v>363</v>
      </c>
      <c r="B9" s="2905" t="s">
        <v>344</v>
      </c>
      <c r="C9" s="2906"/>
      <c r="D9" s="3215"/>
      <c r="E9" s="2905" t="s">
        <v>138</v>
      </c>
      <c r="F9" s="2907"/>
      <c r="G9" s="2908"/>
      <c r="H9" s="2908"/>
      <c r="I9" s="3010"/>
      <c r="J9" s="2886"/>
      <c r="K9" s="3007"/>
      <c r="L9" s="3005"/>
      <c r="M9" s="3005"/>
      <c r="N9" s="2886"/>
      <c r="O9" s="3006"/>
      <c r="P9" s="2886"/>
      <c r="Q9" s="2886"/>
      <c r="R9" s="2886"/>
      <c r="S9" s="2886"/>
      <c r="T9" s="2886"/>
      <c r="U9" s="2886"/>
    </row>
    <row r="10" spans="1:21" ht="31.2">
      <c r="A10" s="2909" t="s">
        <v>364</v>
      </c>
      <c r="B10" s="2910" t="s">
        <v>365</v>
      </c>
      <c r="C10" s="2911" t="s">
        <v>366</v>
      </c>
      <c r="D10" s="2896"/>
      <c r="E10" s="2912" t="s">
        <v>367</v>
      </c>
      <c r="F10" s="2913" t="s">
        <v>368</v>
      </c>
      <c r="G10" s="2914"/>
      <c r="H10" s="2915"/>
      <c r="I10" s="2896"/>
      <c r="J10" s="2886"/>
      <c r="K10" s="3007"/>
      <c r="L10" s="3005"/>
      <c r="M10" s="3005"/>
      <c r="N10" s="2886"/>
      <c r="O10" s="3006"/>
      <c r="P10" s="2886"/>
      <c r="Q10" s="2886"/>
      <c r="R10" s="2886"/>
      <c r="S10" s="2886"/>
      <c r="T10" s="2886"/>
      <c r="U10" s="2886"/>
    </row>
    <row r="11" spans="1:21" ht="46.8">
      <c r="A11" s="2916" t="s">
        <v>369</v>
      </c>
      <c r="B11" s="2917" t="s">
        <v>370</v>
      </c>
      <c r="C11" s="2918" t="s">
        <v>358</v>
      </c>
      <c r="D11" s="2919"/>
      <c r="E11" s="2884"/>
      <c r="F11" s="2884"/>
      <c r="G11" s="2884"/>
      <c r="H11" s="2884"/>
      <c r="I11" s="2884"/>
      <c r="J11" s="2886"/>
      <c r="K11" s="3007"/>
      <c r="L11" s="3005"/>
      <c r="M11" s="3005"/>
      <c r="N11" s="2886"/>
      <c r="O11" s="3006"/>
      <c r="P11" s="2886"/>
      <c r="Q11" s="2886"/>
      <c r="R11" s="2886"/>
      <c r="S11" s="2886"/>
      <c r="T11" s="2886"/>
      <c r="U11" s="2886"/>
    </row>
    <row r="12" spans="1:21">
      <c r="A12" s="2920" t="s">
        <v>371</v>
      </c>
      <c r="B12" s="3208" t="s">
        <v>372</v>
      </c>
      <c r="C12" s="3209"/>
      <c r="D12" s="3210"/>
      <c r="E12" s="2921" t="s">
        <v>373</v>
      </c>
      <c r="F12" s="3211" t="s">
        <v>374</v>
      </c>
      <c r="G12" s="3212"/>
      <c r="H12" s="3212"/>
      <c r="I12" s="3213"/>
      <c r="J12" s="2886"/>
      <c r="K12" s="3007"/>
      <c r="L12" s="3005"/>
      <c r="M12" s="3005"/>
      <c r="N12" s="2886"/>
      <c r="O12" s="3006"/>
      <c r="P12" s="2886"/>
      <c r="Q12" s="2886"/>
      <c r="R12" s="2886"/>
      <c r="S12" s="2886"/>
      <c r="T12" s="2886"/>
      <c r="U12" s="2886"/>
    </row>
    <row r="13" spans="1:21">
      <c r="A13" s="2922" t="s">
        <v>375</v>
      </c>
      <c r="B13" s="3208"/>
      <c r="C13" s="3209"/>
      <c r="D13" s="3210"/>
      <c r="E13" s="2921" t="s">
        <v>373</v>
      </c>
      <c r="F13" s="3211" t="s">
        <v>376</v>
      </c>
      <c r="G13" s="3212"/>
      <c r="H13" s="3212"/>
      <c r="I13" s="3213"/>
      <c r="J13" s="2886"/>
      <c r="K13" s="3007"/>
      <c r="L13" s="3005"/>
      <c r="M13" s="3005"/>
      <c r="N13" s="2886"/>
      <c r="O13" s="3006"/>
      <c r="P13" s="2886"/>
      <c r="Q13" s="2886"/>
      <c r="R13" s="2886"/>
      <c r="S13" s="2886"/>
      <c r="T13" s="2886"/>
      <c r="U13" s="2886"/>
    </row>
    <row r="14" spans="1:21">
      <c r="A14" s="2887" t="s">
        <v>377</v>
      </c>
      <c r="B14" s="2921"/>
      <c r="C14" s="2923" t="s">
        <v>378</v>
      </c>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379</v>
      </c>
      <c r="E15" s="2928" t="s">
        <v>380</v>
      </c>
      <c r="F15" s="2928" t="s">
        <v>381</v>
      </c>
      <c r="G15" s="2929" t="s">
        <v>382</v>
      </c>
      <c r="H15" s="2929" t="s">
        <v>383</v>
      </c>
      <c r="I15" s="2929" t="s">
        <v>164</v>
      </c>
      <c r="J15" s="2886"/>
      <c r="K15" s="3007"/>
      <c r="L15" s="3005"/>
      <c r="M15" s="3005"/>
      <c r="N15" s="2886"/>
      <c r="O15" s="3006"/>
      <c r="P15" s="2886"/>
      <c r="Q15" s="2886"/>
      <c r="R15" s="2886"/>
      <c r="S15" s="2886"/>
      <c r="T15" s="2886"/>
      <c r="U15" s="2886"/>
    </row>
    <row r="16" spans="1:21" ht="46.8">
      <c r="A16" s="2930" t="s">
        <v>384</v>
      </c>
      <c r="B16" s="2931" t="s">
        <v>385</v>
      </c>
      <c r="C16" s="2921" t="s">
        <v>349</v>
      </c>
      <c r="D16" s="2928" t="s">
        <v>379</v>
      </c>
      <c r="E16" s="2932" t="s">
        <v>380</v>
      </c>
      <c r="F16" s="2932" t="s">
        <v>381</v>
      </c>
      <c r="G16" s="2932" t="s">
        <v>382</v>
      </c>
      <c r="H16" s="2932"/>
      <c r="I16" s="2929" t="s">
        <v>164</v>
      </c>
      <c r="J16" s="2886"/>
      <c r="K16" s="3012" t="str">
        <f>IF(D17="","",D16&amp;TEXT(D17,"yyyy年m月d日;;"))</f>
        <v>住宅2084年3月24日</v>
      </c>
      <c r="L16" s="2921" t="str">
        <f>IF(OR(K16="",M16=""),"","、")</f>
        <v>、</v>
      </c>
      <c r="M16" s="3012" t="str">
        <f>IF(E17="","",E16&amp;TEXT(E17,"yyyy年m月d日;;"))</f>
        <v>商业2054年3月24日</v>
      </c>
      <c r="N16" s="2921" t="str">
        <f>IF(OR(M16="",O16=""),"","、")</f>
        <v>、</v>
      </c>
      <c r="O16" s="3012" t="str">
        <f>IF(F17="","",F16&amp;TEXT(F17,"yyyy年m月d日;;"))</f>
        <v>办公2054年3月24日</v>
      </c>
      <c r="P16" s="2921" t="str">
        <f>IF(OR(O16="",Q16=""),"","、")</f>
        <v>、</v>
      </c>
      <c r="Q16" s="3012" t="str">
        <f>IF(G17="","",G16&amp;TEXT(G17,"yyyy年m月d日;;"))</f>
        <v>车库2054年3月24日</v>
      </c>
      <c r="R16" s="2921" t="str">
        <f>IF(OR(Q16="",S16=""),"","、")</f>
        <v/>
      </c>
      <c r="S16" s="3012" t="str">
        <f>IF(H17="","",H16&amp;TEXT(H17,"yyyy年m月d日;;"))</f>
        <v/>
      </c>
      <c r="T16" s="2921" t="str">
        <f>IF(OR(S16="",U16=""),"","、")</f>
        <v/>
      </c>
      <c r="U16" s="3012" t="str">
        <f>IF(I17="","",I16&amp;TEXT(I17,"yyyy年m月d日;;"))</f>
        <v/>
      </c>
    </row>
    <row r="17" spans="1:21">
      <c r="A17" s="2933"/>
      <c r="B17" s="2934"/>
      <c r="C17" s="2935" t="s">
        <v>386</v>
      </c>
      <c r="D17" s="2936">
        <v>67290</v>
      </c>
      <c r="E17" s="2936">
        <v>56332</v>
      </c>
      <c r="F17" s="2936">
        <v>56332</v>
      </c>
      <c r="G17" s="2936">
        <v>56332</v>
      </c>
      <c r="H17" s="2936"/>
      <c r="I17" s="2936"/>
      <c r="J17" s="2886"/>
      <c r="K17" s="3004" t="str">
        <f>CONCATENATE(K16,L16,M16,N16,O16,P16,Q16,R16,S16,T16,,U16)</f>
        <v>住宅2084年3月24日、商业2054年3月24日、办公2054年3月24日、车库2054年3月24日</v>
      </c>
      <c r="L17" s="3005"/>
      <c r="M17" s="3005"/>
      <c r="N17" s="2886"/>
      <c r="O17" s="3006"/>
      <c r="P17" s="2886"/>
      <c r="Q17" s="2886"/>
      <c r="R17" s="2886"/>
      <c r="S17" s="2886"/>
      <c r="T17" s="2886"/>
      <c r="U17" s="2886"/>
    </row>
    <row r="18" spans="1:21">
      <c r="A18" s="2933"/>
      <c r="B18" s="2934"/>
      <c r="C18" s="2935" t="s">
        <v>387</v>
      </c>
      <c r="D18" s="2937">
        <v>70</v>
      </c>
      <c r="E18" s="2937">
        <v>40</v>
      </c>
      <c r="F18" s="2937">
        <v>40</v>
      </c>
      <c r="G18" s="2937">
        <v>40</v>
      </c>
      <c r="H18" s="2937"/>
      <c r="I18" s="2937"/>
      <c r="J18" s="2886"/>
      <c r="K18" s="3007"/>
      <c r="L18" s="3005"/>
      <c r="M18" s="3005"/>
      <c r="N18" s="2886"/>
      <c r="O18" s="3006"/>
      <c r="P18" s="2886"/>
      <c r="Q18" s="2886"/>
      <c r="R18" s="2886"/>
      <c r="S18" s="2886"/>
      <c r="T18" s="2886"/>
      <c r="U18" s="2886"/>
    </row>
    <row r="19" spans="1:21">
      <c r="A19" s="2933"/>
      <c r="B19" s="2934"/>
      <c r="C19" s="2884" t="s">
        <v>388</v>
      </c>
      <c r="D19" s="2938">
        <f>IF(B16="出让",IF(D17="","",ROUNDDOWN(MIN((D17-$D$3)/365,D18),2)),D18)</f>
        <v>64.75</v>
      </c>
      <c r="E19" s="2939">
        <f>IF(B16="出让",IF(E17="","",ROUNDDOWN(MIN((E17-$D$3)/365,E18),2)),E18)</f>
        <v>34.729999999999997</v>
      </c>
      <c r="F19" s="2939">
        <f>IF(B16="出让",IF(F17="","",ROUNDDOWN(MIN((F17-$D$3)/365,F18),2)),F18)</f>
        <v>34.729999999999997</v>
      </c>
      <c r="G19" s="2939">
        <f>IF(B16="出让",IF(G17="","",ROUNDDOWN(MIN((G17-$D$3)/365,G18),2)),G18)</f>
        <v>34.729999999999997</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389</v>
      </c>
      <c r="D20" s="3216"/>
      <c r="E20" s="3217"/>
      <c r="F20" s="3217"/>
      <c r="G20" s="3217"/>
      <c r="H20" s="3217"/>
      <c r="I20" s="3218"/>
      <c r="J20" s="2886"/>
      <c r="K20" s="3007"/>
      <c r="L20" s="3005"/>
      <c r="M20" s="3005"/>
      <c r="N20" s="2886"/>
      <c r="O20" s="3006"/>
      <c r="P20" s="2886"/>
      <c r="Q20" s="2886"/>
      <c r="R20" s="2886"/>
      <c r="S20" s="2886"/>
      <c r="T20" s="2886"/>
      <c r="U20" s="2886"/>
    </row>
    <row r="21" spans="1:21">
      <c r="A21" s="2933" t="s">
        <v>390</v>
      </c>
      <c r="B21" s="2943" t="s">
        <v>391</v>
      </c>
      <c r="C21" s="2944">
        <f>'数据-汇总表'!E3</f>
        <v>124721</v>
      </c>
      <c r="D21" s="2945" t="s">
        <v>392</v>
      </c>
      <c r="E21" s="3219" t="s">
        <v>393</v>
      </c>
      <c r="F21" s="3220"/>
      <c r="G21" s="3220"/>
      <c r="H21" s="3220"/>
      <c r="I21" s="3221"/>
      <c r="J21" s="2886"/>
      <c r="K21" s="3007"/>
      <c r="L21" s="3005"/>
      <c r="M21" s="3005"/>
      <c r="N21" s="2886"/>
      <c r="O21" s="3006"/>
      <c r="P21" s="2886"/>
      <c r="Q21" s="2886"/>
      <c r="R21" s="2886"/>
      <c r="S21" s="2886"/>
      <c r="T21" s="2886"/>
      <c r="U21" s="2886"/>
    </row>
    <row r="22" spans="1:21">
      <c r="A22" s="2946" t="s">
        <v>138</v>
      </c>
      <c r="B22" s="2887" t="s">
        <v>394</v>
      </c>
      <c r="C22" s="2929">
        <f>'数据-汇总表'!D3</f>
        <v>10309.6</v>
      </c>
      <c r="D22" s="2922" t="s">
        <v>392</v>
      </c>
      <c r="E22" s="3219" t="s">
        <v>395</v>
      </c>
      <c r="F22" s="3220"/>
      <c r="G22" s="3220"/>
      <c r="H22" s="3220"/>
      <c r="I22" s="3221"/>
      <c r="J22" s="2886"/>
      <c r="K22" s="3007"/>
      <c r="L22" s="3005"/>
      <c r="M22" s="3005"/>
      <c r="N22" s="2886"/>
      <c r="O22" s="3006"/>
      <c r="P22" s="2886"/>
      <c r="Q22" s="2886"/>
      <c r="R22" s="2886"/>
      <c r="S22" s="2886"/>
      <c r="T22" s="2886"/>
      <c r="U22" s="2886"/>
    </row>
    <row r="23" spans="1:21" ht="46.8">
      <c r="A23" s="2947" t="s">
        <v>396</v>
      </c>
      <c r="B23" s="2948" t="s">
        <v>397</v>
      </c>
      <c r="C23" s="2949"/>
      <c r="D23" s="2950" t="s">
        <v>398</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373</v>
      </c>
      <c r="B24" s="3222" t="s">
        <v>399</v>
      </c>
      <c r="C24" s="3223"/>
      <c r="D24" s="3224" t="s">
        <v>400</v>
      </c>
      <c r="E24" s="3225"/>
      <c r="F24" s="2955" t="s">
        <v>401</v>
      </c>
      <c r="G24" s="2886"/>
      <c r="H24" s="2886"/>
      <c r="I24" s="3009"/>
      <c r="J24" s="2886"/>
      <c r="K24" s="3226" t="s">
        <v>402</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31.2">
      <c r="A25" s="2956"/>
      <c r="B25" s="2957" t="s">
        <v>403</v>
      </c>
      <c r="C25" s="2958" t="s">
        <v>404</v>
      </c>
      <c r="D25" s="2959"/>
      <c r="E25" s="2960" t="s">
        <v>138</v>
      </c>
      <c r="F25" s="2961"/>
      <c r="G25" s="2886"/>
      <c r="H25" s="2886"/>
      <c r="I25" s="3009"/>
      <c r="J25" s="2886"/>
      <c r="K25" s="3226"/>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46.8">
      <c r="A26" s="2962"/>
      <c r="B26" s="2963" t="s">
        <v>405</v>
      </c>
      <c r="C26" s="2958" t="s">
        <v>406</v>
      </c>
      <c r="D26" s="2884"/>
      <c r="E26" s="2884"/>
      <c r="F26" s="2964"/>
      <c r="G26" s="2886"/>
      <c r="H26" s="2886"/>
      <c r="I26" s="3009"/>
      <c r="J26" s="2886"/>
      <c r="K26" s="3226"/>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407</v>
      </c>
      <c r="B27" s="2966" t="s">
        <v>408</v>
      </c>
      <c r="C27" s="2967"/>
      <c r="D27" s="2968" t="s">
        <v>408</v>
      </c>
      <c r="E27" s="2969"/>
      <c r="F27" s="2964"/>
      <c r="G27" s="2886"/>
      <c r="H27" s="2886"/>
      <c r="I27" s="3009"/>
      <c r="J27" s="2886"/>
      <c r="K27" s="3007"/>
      <c r="L27" s="3005"/>
      <c r="M27" s="3005"/>
      <c r="N27" s="2886"/>
      <c r="O27" s="3006"/>
      <c r="P27" s="2886"/>
      <c r="Q27" s="2886"/>
      <c r="R27" s="2886"/>
      <c r="S27" s="2886"/>
      <c r="T27" s="2886"/>
      <c r="U27" s="2886"/>
    </row>
    <row r="28" spans="1:21">
      <c r="A28" s="2970"/>
      <c r="B28" s="2966" t="s">
        <v>409</v>
      </c>
      <c r="C28" s="2971"/>
      <c r="D28" s="2972" t="s">
        <v>409</v>
      </c>
      <c r="E28" s="2973"/>
      <c r="F28" s="2964"/>
      <c r="G28" s="2886"/>
      <c r="H28" s="2886"/>
      <c r="I28" s="3009"/>
      <c r="J28" s="2886"/>
      <c r="K28" s="3007"/>
      <c r="L28" s="3005"/>
      <c r="M28" s="3005"/>
      <c r="N28" s="2886"/>
      <c r="O28" s="3006"/>
      <c r="P28" s="2886"/>
      <c r="Q28" s="2886"/>
      <c r="R28" s="2886"/>
      <c r="S28" s="2886"/>
      <c r="T28" s="2886"/>
      <c r="U28" s="2886"/>
    </row>
    <row r="29" spans="1:21">
      <c r="A29" s="2970"/>
      <c r="B29" s="2966" t="s">
        <v>410</v>
      </c>
      <c r="C29" s="2971"/>
      <c r="D29" s="2972" t="s">
        <v>410</v>
      </c>
      <c r="E29" s="2973"/>
      <c r="F29" s="2964"/>
      <c r="G29" s="2886"/>
      <c r="H29" s="2886"/>
      <c r="I29" s="3009"/>
      <c r="J29" s="2886"/>
      <c r="K29" s="3007"/>
      <c r="L29" s="3005"/>
      <c r="M29" s="3005"/>
      <c r="N29" s="2886"/>
      <c r="O29" s="3006"/>
      <c r="P29" s="2886"/>
      <c r="Q29" s="2886"/>
      <c r="R29" s="2886"/>
      <c r="S29" s="2886"/>
      <c r="T29" s="2886"/>
      <c r="U29" s="2886"/>
    </row>
    <row r="30" spans="1:21">
      <c r="A30" s="2974"/>
      <c r="B30" s="2975" t="s">
        <v>411</v>
      </c>
      <c r="C30" s="2976"/>
      <c r="D30" s="2977" t="s">
        <v>411</v>
      </c>
      <c r="E30" s="2978"/>
      <c r="F30" s="2979"/>
      <c r="G30" s="2908"/>
      <c r="H30" s="2908"/>
      <c r="I30" s="3010"/>
      <c r="J30" s="2886"/>
      <c r="K30" s="3007"/>
      <c r="L30" s="3005"/>
      <c r="M30" s="3005"/>
      <c r="N30" s="2886"/>
      <c r="O30" s="3006"/>
      <c r="P30" s="2886"/>
      <c r="Q30" s="2886"/>
      <c r="R30" s="2886"/>
      <c r="S30" s="2886"/>
      <c r="T30" s="2886"/>
      <c r="U30" s="2886"/>
    </row>
    <row r="31" spans="1:21">
      <c r="A31" s="3229" t="s">
        <v>412</v>
      </c>
      <c r="B31" s="2943" t="s">
        <v>413</v>
      </c>
      <c r="C31" s="3235"/>
      <c r="D31" s="3236"/>
      <c r="E31" s="2886"/>
      <c r="F31" s="2886"/>
      <c r="G31" s="2886"/>
      <c r="H31" s="2886"/>
      <c r="I31" s="3009"/>
      <c r="J31" s="2886"/>
      <c r="K31" s="3014"/>
      <c r="L31" s="2886"/>
      <c r="M31" s="2886"/>
      <c r="N31" s="2886"/>
      <c r="O31" s="2886"/>
      <c r="P31" s="2886"/>
      <c r="Q31" s="2886"/>
      <c r="R31" s="2886"/>
      <c r="S31" s="2886"/>
      <c r="T31" s="2886"/>
      <c r="U31" s="2886"/>
    </row>
    <row r="32" spans="1:21">
      <c r="A32" s="3229"/>
      <c r="B32" s="2887" t="s">
        <v>414</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29"/>
      <c r="B33" s="2887" t="s">
        <v>415</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30"/>
      <c r="B34" s="2887" t="s">
        <v>416</v>
      </c>
      <c r="C34" s="3237"/>
      <c r="D34" s="3238"/>
      <c r="E34" s="2886"/>
      <c r="F34" s="2886"/>
      <c r="G34" s="2886"/>
      <c r="H34" s="2886"/>
      <c r="I34" s="3009"/>
      <c r="J34" s="2886"/>
      <c r="K34" s="3014"/>
      <c r="L34" s="2886"/>
      <c r="M34" s="2886"/>
      <c r="N34" s="2886"/>
      <c r="O34" s="2886"/>
      <c r="P34" s="2886"/>
      <c r="Q34" s="2886"/>
      <c r="R34" s="2886"/>
      <c r="S34" s="2886"/>
      <c r="T34" s="2886"/>
      <c r="U34" s="2886"/>
    </row>
    <row r="35" spans="1:21">
      <c r="A35" s="3231" t="s">
        <v>417</v>
      </c>
      <c r="B35" s="2932"/>
      <c r="C35" s="2983" t="str">
        <f>IF(B35="场地平整","——","具体情况：")</f>
        <v>具体情况：</v>
      </c>
      <c r="D35" s="3239"/>
      <c r="E35" s="3240"/>
      <c r="F35" s="3240"/>
      <c r="G35" s="3240"/>
      <c r="H35" s="3240"/>
      <c r="I35" s="3241"/>
      <c r="J35" s="2886"/>
      <c r="K35" s="3015"/>
      <c r="L35" s="3005"/>
      <c r="M35" s="3005"/>
      <c r="N35" s="2886"/>
      <c r="O35" s="3006"/>
      <c r="P35" s="2886"/>
      <c r="Q35" s="2886"/>
      <c r="R35" s="2886"/>
      <c r="S35" s="2886"/>
      <c r="T35" s="2886"/>
      <c r="U35" s="2886"/>
    </row>
    <row r="36" spans="1:21">
      <c r="A36" s="3229"/>
      <c r="B36" s="3242" t="s">
        <v>418</v>
      </c>
      <c r="C36" s="3243"/>
      <c r="D36" s="2984"/>
      <c r="E36" s="3244"/>
      <c r="F36" s="3244"/>
      <c r="G36" s="2922" t="str">
        <f>IF(B35="场地未平整","估价结果处理","")</f>
        <v/>
      </c>
      <c r="H36" s="3245"/>
      <c r="I36" s="3245"/>
      <c r="J36" s="2886"/>
      <c r="K36" s="3015"/>
      <c r="L36" s="3005"/>
      <c r="M36" s="3005"/>
      <c r="N36" s="2886"/>
      <c r="O36" s="3006"/>
      <c r="P36" s="2886"/>
      <c r="Q36" s="2886"/>
      <c r="R36" s="2886"/>
      <c r="S36" s="2886"/>
      <c r="T36" s="2886"/>
      <c r="U36" s="2886"/>
    </row>
    <row r="37" spans="1:21" ht="31.2">
      <c r="A37" s="3229"/>
      <c r="B37" s="3232" t="s">
        <v>419</v>
      </c>
      <c r="C37" s="2985" t="s">
        <v>420</v>
      </c>
      <c r="D37" s="2986"/>
      <c r="E37" s="2987"/>
      <c r="F37" s="2886"/>
      <c r="G37" s="2886"/>
      <c r="H37" s="2886"/>
      <c r="I37" s="3009"/>
      <c r="J37" s="2886"/>
      <c r="K37" s="3015"/>
      <c r="L37" s="2886"/>
      <c r="M37" s="2886"/>
      <c r="N37" s="2886"/>
      <c r="O37" s="2886"/>
      <c r="P37" s="2886"/>
      <c r="Q37" s="2886"/>
      <c r="R37" s="2886"/>
      <c r="S37" s="2886"/>
      <c r="T37" s="2886"/>
      <c r="U37" s="2886"/>
    </row>
    <row r="38" spans="1:21">
      <c r="A38" s="3229"/>
      <c r="B38" s="3233"/>
      <c r="C38" s="2899" t="s">
        <v>421</v>
      </c>
      <c r="D38" s="2988">
        <f>ROUNDDOWN(MIN(('数据-取费表'!$B$2-D37)/365,D34),1)</f>
        <v>119.6</v>
      </c>
      <c r="E38" s="2989" t="s">
        <v>422</v>
      </c>
      <c r="F38" s="2886"/>
      <c r="G38" s="2886"/>
      <c r="H38" s="2886"/>
      <c r="I38" s="3009"/>
      <c r="J38" s="2886"/>
      <c r="K38" s="3015"/>
      <c r="L38" s="2886"/>
      <c r="M38" s="2886"/>
      <c r="N38" s="2886"/>
      <c r="O38" s="2886"/>
      <c r="P38" s="2886"/>
      <c r="Q38" s="2886"/>
      <c r="R38" s="2886"/>
      <c r="S38" s="2886"/>
      <c r="T38" s="2886"/>
      <c r="U38" s="2886"/>
    </row>
    <row r="39" spans="1:21">
      <c r="A39" s="3230"/>
      <c r="B39" s="3234"/>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423</v>
      </c>
      <c r="B40" s="2991"/>
      <c r="C40" s="2991"/>
      <c r="D40" s="2991"/>
      <c r="E40" s="2991"/>
      <c r="F40" s="2991"/>
      <c r="G40" s="2991"/>
      <c r="H40" s="2991"/>
      <c r="I40" s="3009"/>
      <c r="J40" s="2886"/>
      <c r="K40" s="3003">
        <f>COUNTIF(B40:H40,"——")</f>
        <v>0</v>
      </c>
      <c r="L40" s="2921" t="s">
        <v>424</v>
      </c>
      <c r="M40" s="3002" t="s">
        <v>425</v>
      </c>
      <c r="N40" s="3002" t="s">
        <v>290</v>
      </c>
      <c r="O40" s="3002" t="s">
        <v>282</v>
      </c>
      <c r="P40" s="3002" t="s">
        <v>272</v>
      </c>
      <c r="Q40" s="3002" t="s">
        <v>261</v>
      </c>
      <c r="R40" s="3002" t="s">
        <v>249</v>
      </c>
      <c r="S40" s="3227" t="s">
        <v>426</v>
      </c>
      <c r="T40" s="3024" t="str">
        <f>NUMBERSTRING(7-K40,1)&amp;"通"</f>
        <v>七通</v>
      </c>
      <c r="U40" s="2886"/>
    </row>
    <row r="41" spans="1:21" ht="46.8">
      <c r="A41" s="2889"/>
      <c r="B41" s="3228" t="s">
        <v>427</v>
      </c>
      <c r="C41" s="3228"/>
      <c r="D41" s="3228"/>
      <c r="E41" s="3228"/>
      <c r="F41" s="2992" t="str">
        <f>C10</f>
        <v>江苏省苏州市姑苏区</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27"/>
      <c r="T41" s="2924" t="str">
        <f>IF(T40="一通",L41,IF(T40="二通",M41,IF(T40="三通",N41,IF(T40="四通",O41,IF(T40="五通",P41,IF(T40="六通",Q41,R41))))))</f>
        <v>、、、、、、</v>
      </c>
      <c r="U41" s="2886"/>
    </row>
    <row r="42" spans="1:21">
      <c r="A42" s="2993"/>
      <c r="B42" s="2928" t="s">
        <v>380</v>
      </c>
      <c r="C42" s="2928" t="s">
        <v>381</v>
      </c>
      <c r="D42" s="2928" t="s">
        <v>379</v>
      </c>
      <c r="E42" s="2921" t="s">
        <v>164</v>
      </c>
      <c r="F42" s="2994"/>
      <c r="G42" s="2886"/>
      <c r="H42" s="2886"/>
      <c r="I42" s="3009"/>
      <c r="J42" s="2886"/>
      <c r="K42" s="3007"/>
      <c r="L42" s="3005"/>
      <c r="M42" s="3005"/>
      <c r="N42" s="2886"/>
      <c r="O42" s="3006"/>
      <c r="P42" s="2886"/>
      <c r="Q42" s="2886"/>
      <c r="R42" s="2886"/>
      <c r="S42" s="2886"/>
      <c r="T42" s="2886"/>
      <c r="U42" s="2886"/>
    </row>
    <row r="43" spans="1:21">
      <c r="A43" s="2995" t="s">
        <v>219</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428</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399999999999999">
      <c r="A45" s="2998" t="s">
        <v>429</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430</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46.8">
      <c r="A48" s="2921" t="s">
        <v>431</v>
      </c>
      <c r="B48" s="2929" t="s">
        <v>432</v>
      </c>
      <c r="C48" s="2929" t="s">
        <v>433</v>
      </c>
      <c r="D48" s="2929" t="s">
        <v>434</v>
      </c>
      <c r="E48" s="2929" t="s">
        <v>435</v>
      </c>
      <c r="F48" s="2929" t="s">
        <v>436</v>
      </c>
      <c r="G48" s="2929" t="s">
        <v>437</v>
      </c>
      <c r="H48" s="2929" t="s">
        <v>438</v>
      </c>
      <c r="I48" s="2929" t="s">
        <v>439</v>
      </c>
      <c r="J48" s="3020" t="s">
        <v>440</v>
      </c>
      <c r="K48" s="2928" t="s">
        <v>441</v>
      </c>
      <c r="L48" s="2928" t="s">
        <v>442</v>
      </c>
      <c r="M48" s="2928" t="s">
        <v>443</v>
      </c>
      <c r="N48" s="2929" t="s">
        <v>444</v>
      </c>
      <c r="O48" s="2929" t="s">
        <v>445</v>
      </c>
      <c r="P48" s="2929" t="s">
        <v>446</v>
      </c>
      <c r="Q48" s="2921" t="s">
        <v>447</v>
      </c>
      <c r="R48" s="2921" t="s">
        <v>448</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1"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G16">
      <formula1>"车库,地下车库"</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8:I18">
      <formula1>法定最高年限</formula1>
    </dataValidation>
    <dataValidation type="list" allowBlank="1" showInputMessage="1" showErrorMessage="1" sqref="E16">
      <formula1>"商业,地上商业,地下商业,商业及地下商业,旅游"</formula1>
    </dataValidation>
    <dataValidation type="list" allowBlank="1" showInputMessage="1" showErrorMessage="1" sqref="B16">
      <formula1>"出让,储备,划拨"</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H25" sqref="H25"/>
    </sheetView>
  </sheetViews>
  <sheetFormatPr defaultColWidth="8.88671875" defaultRowHeight="13.8"/>
  <cols>
    <col min="1" max="1" width="10.6640625" style="2765" customWidth="1"/>
    <col min="2" max="2" width="11" style="2765" customWidth="1"/>
    <col min="3" max="3" width="10.33203125" style="2765" customWidth="1"/>
    <col min="4" max="4" width="9.109375" style="2765" customWidth="1"/>
    <col min="5" max="6" width="10" style="2763" customWidth="1"/>
    <col min="7" max="8" width="10" style="2765" customWidth="1"/>
    <col min="9" max="9" width="10.6640625" style="2765" customWidth="1"/>
    <col min="10" max="10" width="9.44140625" style="2765" customWidth="1"/>
    <col min="11" max="11" width="11" style="2765" customWidth="1"/>
    <col min="12" max="14" width="9.44140625" style="2765" customWidth="1"/>
    <col min="15" max="15" width="9.88671875" style="2765" customWidth="1"/>
    <col min="16" max="16" width="9.77734375" style="2765" customWidth="1"/>
    <col min="17" max="17" width="9.33203125" style="2765" customWidth="1"/>
    <col min="18" max="18" width="9.21875" style="2765" hidden="1" customWidth="1"/>
    <col min="19" max="19" width="10.88671875" style="2765" hidden="1" customWidth="1"/>
    <col min="20" max="21" width="10.77734375" style="2765" hidden="1" customWidth="1"/>
    <col min="22" max="22" width="10.88671875" style="2765" hidden="1" customWidth="1"/>
    <col min="23" max="27" width="10.77734375" style="2765" hidden="1" customWidth="1"/>
    <col min="28" max="28" width="10.88671875" style="2765" hidden="1" customWidth="1"/>
    <col min="29" max="29" width="11" style="2765" customWidth="1"/>
    <col min="30" max="30" width="10" style="2765" hidden="1" customWidth="1"/>
    <col min="31" max="31" width="9.77734375" style="2765" hidden="1" customWidth="1"/>
    <col min="32" max="37" width="9.44140625" style="2765" hidden="1" customWidth="1"/>
    <col min="38" max="46" width="9.44140625" style="2765" customWidth="1"/>
    <col min="47" max="47" width="18.109375" style="2765" customWidth="1"/>
    <col min="48" max="50" width="9.77734375" style="2765" customWidth="1"/>
    <col min="51" max="55" width="10.44140625" style="2765" customWidth="1"/>
    <col min="56" max="56" width="9.44140625" style="2765" customWidth="1"/>
    <col min="57" max="63" width="9.109375" style="2765" customWidth="1"/>
    <col min="64" max="64" width="9.44140625" style="2765" customWidth="1"/>
    <col min="65" max="65" width="9.109375" style="2765" customWidth="1"/>
    <col min="66" max="66" width="9.44140625" style="2765" customWidth="1"/>
    <col min="67" max="69" width="9.109375" style="2765" customWidth="1"/>
    <col min="70" max="70" width="9.44140625" style="2765" customWidth="1"/>
    <col min="71" max="71" width="9" style="2765" customWidth="1"/>
    <col min="72" max="72" width="9.109375" style="2765" customWidth="1"/>
    <col min="73" max="16384" width="8.88671875" style="2765"/>
  </cols>
  <sheetData>
    <row r="1" spans="1:72" ht="21">
      <c r="A1" s="2766" t="s">
        <v>449</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450</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184" customFormat="1" ht="24">
      <c r="A2" s="124" t="s">
        <v>451</v>
      </c>
      <c r="B2" s="124" t="s">
        <v>452</v>
      </c>
      <c r="C2" s="124" t="s">
        <v>453</v>
      </c>
      <c r="D2" s="2768"/>
      <c r="E2" s="2273"/>
      <c r="F2" s="2267"/>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454</v>
      </c>
      <c r="AZ2" s="2852" t="s">
        <v>455</v>
      </c>
      <c r="BA2" s="2853" t="s">
        <v>456</v>
      </c>
      <c r="BB2" s="2768"/>
      <c r="BC2" s="2768"/>
      <c r="BD2" s="2768"/>
      <c r="BE2" s="2768"/>
      <c r="BF2" s="2768"/>
      <c r="BG2" s="2768"/>
      <c r="BH2" s="2768"/>
      <c r="BI2" s="2768"/>
      <c r="BJ2" s="2768"/>
      <c r="BK2" s="2768"/>
      <c r="BL2" s="2768"/>
      <c r="BM2" s="2768"/>
      <c r="BN2" s="2768"/>
      <c r="BO2" s="2768"/>
      <c r="BP2" s="2768"/>
      <c r="BQ2" s="2768"/>
      <c r="BR2" s="2768"/>
      <c r="BS2" s="2768"/>
      <c r="BT2" s="2768"/>
    </row>
    <row r="3" spans="1:72" s="184" customFormat="1" ht="13.2">
      <c r="A3" s="2769">
        <v>10309.6</v>
      </c>
      <c r="B3" s="2770">
        <f>IF(C3="否",G5-AT5,G5)</f>
        <v>124721</v>
      </c>
      <c r="C3" s="2771" t="s">
        <v>457</v>
      </c>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3.2">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184" customFormat="1" ht="13.2">
      <c r="A5" s="1017" t="s">
        <v>458</v>
      </c>
      <c r="B5" s="968"/>
      <c r="C5" s="968"/>
      <c r="D5" s="2188"/>
      <c r="E5" s="2775" t="s">
        <v>138</v>
      </c>
      <c r="F5" s="2775">
        <f>SUM(F13:F572)</f>
        <v>0</v>
      </c>
      <c r="G5" s="2775">
        <f>SUM(G13:G572)</f>
        <v>124721</v>
      </c>
      <c r="H5" s="2775">
        <f t="shared" ref="H5:AT5" si="0">SUM(H13:H641)</f>
        <v>115516.59</v>
      </c>
      <c r="I5" s="2775">
        <f t="shared" si="0"/>
        <v>72612.570000000007</v>
      </c>
      <c r="J5" s="2775">
        <f t="shared" si="0"/>
        <v>0</v>
      </c>
      <c r="K5" s="2775">
        <f t="shared" si="0"/>
        <v>10227.120000000001</v>
      </c>
      <c r="L5" s="2775">
        <f t="shared" si="0"/>
        <v>0</v>
      </c>
      <c r="M5" s="2775">
        <f t="shared" si="0"/>
        <v>10227.120000000001</v>
      </c>
      <c r="N5" s="2775">
        <f t="shared" si="0"/>
        <v>0</v>
      </c>
      <c r="O5" s="2775">
        <f t="shared" si="0"/>
        <v>16213.73</v>
      </c>
      <c r="P5" s="2775">
        <f t="shared" si="0"/>
        <v>0</v>
      </c>
      <c r="Q5" s="2775">
        <f t="shared" si="0"/>
        <v>6236.05</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9204.41</v>
      </c>
      <c r="AD5" s="2775">
        <f t="shared" si="0"/>
        <v>0</v>
      </c>
      <c r="AE5" s="2775">
        <f t="shared" si="0"/>
        <v>0</v>
      </c>
      <c r="AF5" s="2775">
        <f t="shared" si="0"/>
        <v>0</v>
      </c>
      <c r="AG5" s="2775">
        <f t="shared" si="0"/>
        <v>0</v>
      </c>
      <c r="AH5" s="2775">
        <f t="shared" si="0"/>
        <v>0</v>
      </c>
      <c r="AI5" s="2775">
        <f t="shared" si="0"/>
        <v>0</v>
      </c>
      <c r="AJ5" s="2775">
        <f t="shared" si="0"/>
        <v>0</v>
      </c>
      <c r="AK5" s="2775">
        <f t="shared" si="0"/>
        <v>0</v>
      </c>
      <c r="AL5" s="2775">
        <f t="shared" si="0"/>
        <v>9204.41</v>
      </c>
      <c r="AM5" s="2775">
        <f t="shared" si="0"/>
        <v>0</v>
      </c>
      <c r="AN5" s="2775">
        <f t="shared" si="0"/>
        <v>0</v>
      </c>
      <c r="AO5" s="2775">
        <f t="shared" si="0"/>
        <v>0</v>
      </c>
      <c r="AP5" s="2775">
        <f t="shared" si="0"/>
        <v>0</v>
      </c>
      <c r="AQ5" s="2775">
        <f t="shared" si="0"/>
        <v>0</v>
      </c>
      <c r="AR5" s="2775">
        <f t="shared" si="0"/>
        <v>0</v>
      </c>
      <c r="AS5" s="2775">
        <f t="shared" si="0"/>
        <v>0</v>
      </c>
      <c r="AT5" s="2775">
        <f t="shared" si="0"/>
        <v>0</v>
      </c>
      <c r="AU5" s="2077"/>
      <c r="AV5" s="1017" t="s">
        <v>458</v>
      </c>
      <c r="AW5" s="968"/>
      <c r="AX5" s="968"/>
      <c r="AY5" s="2858" t="s">
        <v>138</v>
      </c>
      <c r="AZ5" s="2859">
        <f t="shared" ref="AZ5:BT5" si="1">SUM(AZ13:AZ641)</f>
        <v>124721</v>
      </c>
      <c r="BA5" s="2859">
        <f t="shared" si="1"/>
        <v>115516.59</v>
      </c>
      <c r="BB5" s="2859">
        <f t="shared" si="1"/>
        <v>72612.570000000007</v>
      </c>
      <c r="BC5" s="2859">
        <f t="shared" si="1"/>
        <v>10227.120000000001</v>
      </c>
      <c r="BD5" s="2859">
        <f t="shared" si="1"/>
        <v>10227.120000000001</v>
      </c>
      <c r="BE5" s="2859">
        <f t="shared" si="1"/>
        <v>16213.73</v>
      </c>
      <c r="BF5" s="2859">
        <f t="shared" si="1"/>
        <v>6236.05</v>
      </c>
      <c r="BG5" s="2859">
        <f t="shared" si="1"/>
        <v>0</v>
      </c>
      <c r="BH5" s="2859">
        <f t="shared" si="1"/>
        <v>0</v>
      </c>
      <c r="BI5" s="2859">
        <f t="shared" si="1"/>
        <v>0</v>
      </c>
      <c r="BJ5" s="2859">
        <f t="shared" si="1"/>
        <v>0</v>
      </c>
      <c r="BK5" s="2859">
        <f t="shared" si="1"/>
        <v>0</v>
      </c>
      <c r="BL5" s="2859">
        <f t="shared" si="1"/>
        <v>9204.41</v>
      </c>
      <c r="BM5" s="2859">
        <f t="shared" si="1"/>
        <v>0</v>
      </c>
      <c r="BN5" s="2859">
        <f t="shared" si="1"/>
        <v>0</v>
      </c>
      <c r="BO5" s="2859">
        <f t="shared" si="1"/>
        <v>0</v>
      </c>
      <c r="BP5" s="2859">
        <f t="shared" si="1"/>
        <v>0</v>
      </c>
      <c r="BQ5" s="2859">
        <f t="shared" si="1"/>
        <v>9204.41</v>
      </c>
      <c r="BR5" s="2859">
        <f t="shared" si="1"/>
        <v>0</v>
      </c>
      <c r="BS5" s="2859">
        <f t="shared" si="1"/>
        <v>0</v>
      </c>
      <c r="BT5" s="2868">
        <f t="shared" si="1"/>
        <v>0</v>
      </c>
    </row>
    <row r="6" spans="1:72" s="2762" customFormat="1" ht="13.2">
      <c r="A6" s="1017" t="s">
        <v>459</v>
      </c>
      <c r="B6" s="2776"/>
      <c r="C6" s="2776"/>
      <c r="D6" s="2777"/>
      <c r="E6" s="2775">
        <f>H6+AC6+AT6</f>
        <v>10309.61</v>
      </c>
      <c r="F6" s="2775" t="s">
        <v>138</v>
      </c>
      <c r="G6" s="2775" t="s">
        <v>138</v>
      </c>
      <c r="H6" s="2778">
        <f>SUMIF(I$12:AB$12,"总值",I6:AB6)</f>
        <v>9548.76</v>
      </c>
      <c r="I6" s="2775">
        <f t="shared" ref="I6:AB6" si="2">ROUND($A$3*I5/$B$3,2)</f>
        <v>6002.25</v>
      </c>
      <c r="J6" s="2775">
        <f t="shared" si="2"/>
        <v>0</v>
      </c>
      <c r="K6" s="2775">
        <f t="shared" si="2"/>
        <v>845.39</v>
      </c>
      <c r="L6" s="2775">
        <f t="shared" si="2"/>
        <v>0</v>
      </c>
      <c r="M6" s="2775">
        <f t="shared" si="2"/>
        <v>845.39</v>
      </c>
      <c r="N6" s="2775">
        <f t="shared" si="2"/>
        <v>0</v>
      </c>
      <c r="O6" s="2775">
        <f t="shared" si="2"/>
        <v>1340.25</v>
      </c>
      <c r="P6" s="2775">
        <f t="shared" si="2"/>
        <v>0</v>
      </c>
      <c r="Q6" s="2775">
        <f t="shared" si="2"/>
        <v>515.48</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760.85</v>
      </c>
      <c r="AD6" s="2775">
        <f t="shared" ref="AD6:AS6" si="3">ROUND($A$3*AD5/$B$3,2)</f>
        <v>0</v>
      </c>
      <c r="AE6" s="2775">
        <f t="shared" si="3"/>
        <v>0</v>
      </c>
      <c r="AF6" s="2775">
        <f t="shared" si="3"/>
        <v>0</v>
      </c>
      <c r="AG6" s="2775">
        <f t="shared" si="3"/>
        <v>0</v>
      </c>
      <c r="AH6" s="2775">
        <f t="shared" si="3"/>
        <v>0</v>
      </c>
      <c r="AI6" s="2775">
        <f t="shared" si="3"/>
        <v>0</v>
      </c>
      <c r="AJ6" s="2775">
        <f t="shared" si="3"/>
        <v>0</v>
      </c>
      <c r="AK6" s="2775">
        <f t="shared" si="3"/>
        <v>0</v>
      </c>
      <c r="AL6" s="2775">
        <f t="shared" si="3"/>
        <v>760.85</v>
      </c>
      <c r="AM6" s="2775">
        <f t="shared" si="3"/>
        <v>0</v>
      </c>
      <c r="AN6" s="2775">
        <f t="shared" si="3"/>
        <v>0</v>
      </c>
      <c r="AO6" s="2775">
        <f t="shared" si="3"/>
        <v>0</v>
      </c>
      <c r="AP6" s="2775">
        <f t="shared" si="3"/>
        <v>0</v>
      </c>
      <c r="AQ6" s="2775">
        <f t="shared" si="3"/>
        <v>0</v>
      </c>
      <c r="AR6" s="2775">
        <f t="shared" si="3"/>
        <v>0</v>
      </c>
      <c r="AS6" s="2775">
        <f t="shared" si="3"/>
        <v>0</v>
      </c>
      <c r="AT6" s="2778">
        <f>IF(C3="是",ROUND($A$3*AT5/$B$3,2),0)</f>
        <v>0</v>
      </c>
      <c r="AU6" s="2835"/>
      <c r="AV6" s="1017" t="s">
        <v>459</v>
      </c>
      <c r="AW6" s="2776"/>
      <c r="AX6" s="2776"/>
      <c r="AY6" s="2860">
        <f>IF(AY3&gt;0,AY3,ROUND($A$3*AZ5/$B$3,2))</f>
        <v>10309.6</v>
      </c>
      <c r="AZ6" s="2775" t="s">
        <v>138</v>
      </c>
      <c r="BA6" s="2775">
        <f>ROUND($AY$6*BA5/$AZ$5,2)</f>
        <v>9548.75</v>
      </c>
      <c r="BB6" s="2775">
        <f>ROUND($AY$6*BB5/$AZ$5,2)</f>
        <v>6002.25</v>
      </c>
      <c r="BC6" s="2775">
        <f t="shared" ref="BC6:BH6" si="4">ROUND($AY$6*BC5/$AZ$5,2)</f>
        <v>845.39</v>
      </c>
      <c r="BD6" s="2775">
        <f t="shared" si="4"/>
        <v>845.39</v>
      </c>
      <c r="BE6" s="2775">
        <f t="shared" si="4"/>
        <v>1340.25</v>
      </c>
      <c r="BF6" s="2775">
        <f t="shared" si="4"/>
        <v>515.48</v>
      </c>
      <c r="BG6" s="2775">
        <f t="shared" si="4"/>
        <v>0</v>
      </c>
      <c r="BH6" s="2775">
        <f t="shared" si="4"/>
        <v>0</v>
      </c>
      <c r="BI6" s="2775">
        <f t="shared" ref="BI6:BT6" si="5">ROUND($AY$6*BI5/$AZ$5,2)</f>
        <v>0</v>
      </c>
      <c r="BJ6" s="2775">
        <f t="shared" si="5"/>
        <v>0</v>
      </c>
      <c r="BK6" s="2775">
        <f t="shared" si="5"/>
        <v>0</v>
      </c>
      <c r="BL6" s="2775">
        <f t="shared" si="5"/>
        <v>760.85</v>
      </c>
      <c r="BM6" s="2775">
        <f t="shared" si="5"/>
        <v>0</v>
      </c>
      <c r="BN6" s="2775">
        <f t="shared" si="5"/>
        <v>0</v>
      </c>
      <c r="BO6" s="2775">
        <f t="shared" si="5"/>
        <v>0</v>
      </c>
      <c r="BP6" s="2775">
        <f t="shared" si="5"/>
        <v>0</v>
      </c>
      <c r="BQ6" s="2775">
        <f t="shared" si="5"/>
        <v>760.85</v>
      </c>
      <c r="BR6" s="2775">
        <f t="shared" si="5"/>
        <v>0</v>
      </c>
      <c r="BS6" s="2775">
        <f t="shared" si="5"/>
        <v>0</v>
      </c>
      <c r="BT6" s="2869">
        <f t="shared" si="5"/>
        <v>0</v>
      </c>
    </row>
    <row r="7" spans="1:72" s="184" customFormat="1" ht="25.2">
      <c r="A7" s="2779" t="s">
        <v>460</v>
      </c>
      <c r="B7" s="2779" t="s">
        <v>461</v>
      </c>
      <c r="C7" s="2779" t="s">
        <v>462</v>
      </c>
      <c r="D7" s="2779" t="s">
        <v>463</v>
      </c>
      <c r="E7" s="2779" t="s">
        <v>459</v>
      </c>
      <c r="F7" s="2779" t="s">
        <v>464</v>
      </c>
      <c r="G7" s="2780" t="s">
        <v>465</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466</v>
      </c>
      <c r="AV7" s="2248" t="s">
        <v>460</v>
      </c>
      <c r="AW7" s="2267" t="s">
        <v>461</v>
      </c>
      <c r="AX7" s="2248" t="s">
        <v>462</v>
      </c>
      <c r="AY7" s="968" t="s">
        <v>467</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187" customFormat="1" ht="24">
      <c r="A8" s="2782"/>
      <c r="B8" s="2782"/>
      <c r="C8" s="2782"/>
      <c r="D8" s="2782"/>
      <c r="E8" s="2782"/>
      <c r="F8" s="2782"/>
      <c r="G8" s="2783" t="s">
        <v>468</v>
      </c>
      <c r="H8" s="2784" t="s">
        <v>469</v>
      </c>
      <c r="I8" s="2808"/>
      <c r="J8" s="123"/>
      <c r="K8" s="123"/>
      <c r="L8" s="123"/>
      <c r="M8" s="123"/>
      <c r="N8" s="123"/>
      <c r="O8" s="123"/>
      <c r="P8" s="123"/>
      <c r="Q8" s="123"/>
      <c r="R8" s="123"/>
      <c r="S8" s="123"/>
      <c r="T8" s="123"/>
      <c r="U8" s="123"/>
      <c r="V8" s="2820"/>
      <c r="W8" s="123"/>
      <c r="X8" s="123"/>
      <c r="Y8" s="123"/>
      <c r="Z8" s="123"/>
      <c r="AA8" s="2820"/>
      <c r="AB8" s="2822"/>
      <c r="AC8" s="1989" t="s">
        <v>470</v>
      </c>
      <c r="AD8" s="2823"/>
      <c r="AE8" s="2824"/>
      <c r="AF8" s="123"/>
      <c r="AG8" s="123"/>
      <c r="AH8" s="123"/>
      <c r="AI8" s="123"/>
      <c r="AJ8" s="123"/>
      <c r="AK8" s="123"/>
      <c r="AL8" s="123"/>
      <c r="AM8" s="123"/>
      <c r="AN8" s="123"/>
      <c r="AO8" s="123"/>
      <c r="AP8" s="123"/>
      <c r="AQ8" s="123"/>
      <c r="AR8" s="123"/>
      <c r="AS8" s="181"/>
      <c r="AT8" s="2837" t="s">
        <v>471</v>
      </c>
      <c r="AU8" s="2782" t="s">
        <v>472</v>
      </c>
      <c r="AV8" s="1255"/>
      <c r="AW8" s="2273"/>
      <c r="AX8" s="1255"/>
      <c r="AY8" s="2267" t="s">
        <v>459</v>
      </c>
      <c r="AZ8" s="122" t="s">
        <v>452</v>
      </c>
      <c r="BA8" s="123"/>
      <c r="BB8" s="123"/>
      <c r="BC8" s="123"/>
      <c r="BD8" s="123"/>
      <c r="BE8" s="123"/>
      <c r="BF8" s="123"/>
      <c r="BG8" s="123"/>
      <c r="BH8" s="123"/>
      <c r="BI8" s="123"/>
      <c r="BJ8" s="123"/>
      <c r="BK8" s="123"/>
      <c r="BL8" s="123"/>
      <c r="BM8" s="123"/>
      <c r="BN8" s="123"/>
      <c r="BO8" s="123"/>
      <c r="BP8" s="123"/>
      <c r="BQ8" s="123"/>
      <c r="BR8" s="123"/>
      <c r="BS8" s="123"/>
      <c r="BT8" s="928"/>
    </row>
    <row r="9" spans="1:72" s="187" customFormat="1" ht="13.2">
      <c r="A9" s="2782"/>
      <c r="B9" s="2782"/>
      <c r="C9" s="2782"/>
      <c r="D9" s="2782"/>
      <c r="E9" s="2782"/>
      <c r="F9" s="2782"/>
      <c r="G9" s="1255"/>
      <c r="H9" s="2785" t="s">
        <v>473</v>
      </c>
      <c r="I9" s="2809" t="s">
        <v>474</v>
      </c>
      <c r="J9" s="1989"/>
      <c r="K9" s="2809" t="s">
        <v>474</v>
      </c>
      <c r="L9" s="1989"/>
      <c r="M9" s="2809" t="s">
        <v>474</v>
      </c>
      <c r="N9" s="1989"/>
      <c r="O9" s="2810" t="s">
        <v>475</v>
      </c>
      <c r="P9" s="1989"/>
      <c r="Q9" s="2810" t="s">
        <v>474</v>
      </c>
      <c r="R9" s="1989"/>
      <c r="S9" s="2810"/>
      <c r="T9" s="1989"/>
      <c r="U9" s="2810"/>
      <c r="V9" s="1989"/>
      <c r="W9" s="2810"/>
      <c r="X9" s="2821"/>
      <c r="Y9" s="2810"/>
      <c r="Z9" s="1989"/>
      <c r="AA9" s="2810"/>
      <c r="AB9" s="1989"/>
      <c r="AC9" s="2783" t="s">
        <v>473</v>
      </c>
      <c r="AD9" s="1017" t="s">
        <v>476</v>
      </c>
      <c r="AE9" s="882"/>
      <c r="AF9" s="1017" t="s">
        <v>477</v>
      </c>
      <c r="AG9" s="882"/>
      <c r="AH9" s="1017" t="s">
        <v>476</v>
      </c>
      <c r="AI9" s="882"/>
      <c r="AJ9" s="1017" t="s">
        <v>477</v>
      </c>
      <c r="AK9" s="882"/>
      <c r="AL9" s="1017" t="s">
        <v>476</v>
      </c>
      <c r="AM9" s="882"/>
      <c r="AN9" s="1017" t="s">
        <v>477</v>
      </c>
      <c r="AO9" s="882"/>
      <c r="AP9" s="2838" t="s">
        <v>476</v>
      </c>
      <c r="AQ9" s="2839"/>
      <c r="AR9" s="2838" t="s">
        <v>477</v>
      </c>
      <c r="AS9" s="2840"/>
      <c r="AT9" s="2782"/>
      <c r="AU9" s="2782" t="s">
        <v>478</v>
      </c>
      <c r="AV9" s="1255"/>
      <c r="AW9" s="2273"/>
      <c r="AX9" s="1255"/>
      <c r="AY9" s="2249"/>
      <c r="AZ9" s="2249" t="s">
        <v>468</v>
      </c>
      <c r="BA9" s="2861" t="s">
        <v>479</v>
      </c>
      <c r="BB9" s="2862"/>
      <c r="BC9" s="945"/>
      <c r="BD9" s="945"/>
      <c r="BE9" s="945"/>
      <c r="BF9" s="945"/>
      <c r="BG9" s="945"/>
      <c r="BH9" s="945"/>
      <c r="BI9" s="945"/>
      <c r="BJ9" s="945"/>
      <c r="BK9" s="2867"/>
      <c r="BL9" s="1017" t="s">
        <v>480</v>
      </c>
      <c r="BM9" s="123"/>
      <c r="BN9" s="2808"/>
      <c r="BO9" s="123"/>
      <c r="BP9" s="123"/>
      <c r="BQ9" s="123"/>
      <c r="BR9" s="123"/>
      <c r="BS9" s="123"/>
      <c r="BT9" s="928"/>
    </row>
    <row r="10" spans="1:72" s="187" customFormat="1" ht="13.2">
      <c r="A10" s="2782"/>
      <c r="B10" s="2782"/>
      <c r="C10" s="2782"/>
      <c r="D10" s="2782"/>
      <c r="E10" s="2782"/>
      <c r="F10" s="2782"/>
      <c r="G10" s="1255"/>
      <c r="H10" s="2249"/>
      <c r="I10" s="2809" t="s">
        <v>379</v>
      </c>
      <c r="J10" s="1989"/>
      <c r="K10" s="2811" t="s">
        <v>380</v>
      </c>
      <c r="L10" s="1989"/>
      <c r="M10" s="2811" t="s">
        <v>381</v>
      </c>
      <c r="N10" s="1989"/>
      <c r="O10" s="2812" t="s">
        <v>382</v>
      </c>
      <c r="P10" s="1989"/>
      <c r="Q10" s="2812" t="s">
        <v>382</v>
      </c>
      <c r="R10" s="1989"/>
      <c r="S10" s="2812"/>
      <c r="T10" s="1989"/>
      <c r="U10" s="2812"/>
      <c r="V10" s="1989"/>
      <c r="W10" s="2812"/>
      <c r="X10" s="1989"/>
      <c r="Y10" s="2812"/>
      <c r="Z10" s="1989"/>
      <c r="AA10" s="2812"/>
      <c r="AB10" s="1989"/>
      <c r="AC10" s="1255"/>
      <c r="AD10" s="2367" t="s">
        <v>233</v>
      </c>
      <c r="AE10" s="2825"/>
      <c r="AF10" s="2367" t="s">
        <v>233</v>
      </c>
      <c r="AG10" s="2825"/>
      <c r="AH10" s="2367" t="s">
        <v>481</v>
      </c>
      <c r="AI10" s="2825"/>
      <c r="AJ10" s="1017" t="s">
        <v>482</v>
      </c>
      <c r="AK10" s="2831"/>
      <c r="AL10" s="2367" t="s">
        <v>483</v>
      </c>
      <c r="AM10" s="2832"/>
      <c r="AN10" s="1017" t="s">
        <v>484</v>
      </c>
      <c r="AO10" s="882"/>
      <c r="AP10" s="2838" t="s">
        <v>485</v>
      </c>
      <c r="AQ10" s="2839"/>
      <c r="AR10" s="2838" t="s">
        <v>485</v>
      </c>
      <c r="AS10" s="2839"/>
      <c r="AT10" s="2782"/>
      <c r="AU10" s="2782"/>
      <c r="AV10" s="1255"/>
      <c r="AW10" s="2273"/>
      <c r="AX10" s="1255"/>
      <c r="AY10" s="2249"/>
      <c r="AZ10" s="2249"/>
      <c r="BA10" s="2786" t="s">
        <v>473</v>
      </c>
      <c r="BB10" s="2863" t="str">
        <f>I9</f>
        <v>地上</v>
      </c>
      <c r="BC10" s="959" t="str">
        <f>K9</f>
        <v>地上</v>
      </c>
      <c r="BD10" s="959" t="str">
        <f>M9</f>
        <v>地上</v>
      </c>
      <c r="BE10" s="959" t="str">
        <f>O9</f>
        <v>地下</v>
      </c>
      <c r="BF10" s="959" t="str">
        <f>Q9</f>
        <v>地上</v>
      </c>
      <c r="BG10" s="959">
        <f>S9</f>
        <v>0</v>
      </c>
      <c r="BH10" s="959">
        <f>U9</f>
        <v>0</v>
      </c>
      <c r="BI10" s="959">
        <f>W9</f>
        <v>0</v>
      </c>
      <c r="BJ10" s="959">
        <f>Y9</f>
        <v>0</v>
      </c>
      <c r="BK10" s="959">
        <f>AA9</f>
        <v>0</v>
      </c>
      <c r="BL10" s="955" t="s">
        <v>473</v>
      </c>
      <c r="BM10" s="122" t="str">
        <f>AD9</f>
        <v>地上</v>
      </c>
      <c r="BN10" s="959" t="str">
        <f>AF9</f>
        <v>地下</v>
      </c>
      <c r="BO10" s="122" t="str">
        <f>AH9</f>
        <v>地上</v>
      </c>
      <c r="BP10" s="959" t="str">
        <f>AJ9</f>
        <v>地下</v>
      </c>
      <c r="BQ10" s="122" t="str">
        <f>AL9</f>
        <v>地上</v>
      </c>
      <c r="BR10" s="959" t="str">
        <f>AN9</f>
        <v>地下</v>
      </c>
      <c r="BS10" s="122" t="str">
        <f>AP9</f>
        <v>地上</v>
      </c>
      <c r="BT10" s="2258" t="str">
        <f>AR9</f>
        <v>地下</v>
      </c>
    </row>
    <row r="11" spans="1:72" s="187" customFormat="1" ht="13.2">
      <c r="A11" s="2782"/>
      <c r="B11" s="2782"/>
      <c r="C11" s="2782"/>
      <c r="D11" s="2782"/>
      <c r="E11" s="2782"/>
      <c r="F11" s="2782"/>
      <c r="G11" s="1255"/>
      <c r="H11" s="2786"/>
      <c r="I11" s="2813" t="s">
        <v>486</v>
      </c>
      <c r="J11" s="2814"/>
      <c r="K11" s="2813" t="s">
        <v>487</v>
      </c>
      <c r="L11" s="2814"/>
      <c r="M11" s="2815" t="s">
        <v>488</v>
      </c>
      <c r="N11" s="2814"/>
      <c r="O11" s="2815" t="s">
        <v>382</v>
      </c>
      <c r="P11" s="2814"/>
      <c r="Q11" s="2815" t="s">
        <v>382</v>
      </c>
      <c r="R11" s="2814"/>
      <c r="S11" s="2815"/>
      <c r="T11" s="2814"/>
      <c r="U11" s="2815"/>
      <c r="V11" s="2814"/>
      <c r="W11" s="2815"/>
      <c r="X11" s="2814"/>
      <c r="Y11" s="2815"/>
      <c r="Z11" s="2814"/>
      <c r="AA11" s="2815"/>
      <c r="AB11" s="2814"/>
      <c r="AC11" s="1255"/>
      <c r="AD11" s="2826" t="s">
        <v>489</v>
      </c>
      <c r="AE11" s="181"/>
      <c r="AF11" s="2826" t="s">
        <v>489</v>
      </c>
      <c r="AG11" s="181"/>
      <c r="AH11" s="2826" t="s">
        <v>490</v>
      </c>
      <c r="AI11" s="2833"/>
      <c r="AJ11" s="2826" t="s">
        <v>490</v>
      </c>
      <c r="AK11" s="2831"/>
      <c r="AL11" s="122"/>
      <c r="AM11" s="181"/>
      <c r="AN11" s="122"/>
      <c r="AO11" s="181"/>
      <c r="AP11" s="2841"/>
      <c r="AQ11" s="2842"/>
      <c r="AR11" s="2841"/>
      <c r="AS11" s="2842"/>
      <c r="AT11" s="2273"/>
      <c r="AU11" s="2782"/>
      <c r="AV11" s="1255"/>
      <c r="AW11" s="2273"/>
      <c r="AX11" s="1255"/>
      <c r="AY11" s="2249"/>
      <c r="AZ11" s="2249"/>
      <c r="BA11" s="2249"/>
      <c r="BB11" s="2822" t="str">
        <f>I10</f>
        <v>住宅</v>
      </c>
      <c r="BC11" s="2822" t="str">
        <f>K10</f>
        <v>商业</v>
      </c>
      <c r="BD11" s="2822" t="str">
        <f>M10</f>
        <v>办公</v>
      </c>
      <c r="BE11" s="2822" t="str">
        <f>O10</f>
        <v>车库</v>
      </c>
      <c r="BF11" s="2822" t="str">
        <f>Q10</f>
        <v>车库</v>
      </c>
      <c r="BG11" s="2822">
        <f>S10</f>
        <v>0</v>
      </c>
      <c r="BH11" s="2822">
        <f>U10</f>
        <v>0</v>
      </c>
      <c r="BI11" s="2822">
        <f>W10</f>
        <v>0</v>
      </c>
      <c r="BJ11" s="2822">
        <f>Y10</f>
        <v>0</v>
      </c>
      <c r="BK11" s="2822">
        <f>AA10</f>
        <v>0</v>
      </c>
      <c r="BL11" s="125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55" t="str">
        <f>AP10</f>
        <v>未注明</v>
      </c>
      <c r="BT11" s="2250" t="str">
        <f>AR10</f>
        <v>未注明</v>
      </c>
    </row>
    <row r="12" spans="1:72" s="184" customFormat="1" ht="13.2">
      <c r="A12" s="2787"/>
      <c r="B12" s="2787"/>
      <c r="C12" s="2787"/>
      <c r="D12" s="2787"/>
      <c r="E12" s="2787"/>
      <c r="F12" s="2787"/>
      <c r="G12" s="2257"/>
      <c r="H12" s="2788"/>
      <c r="I12" s="2188" t="s">
        <v>491</v>
      </c>
      <c r="J12" s="124" t="s">
        <v>492</v>
      </c>
      <c r="K12" s="124" t="s">
        <v>491</v>
      </c>
      <c r="L12" s="124" t="s">
        <v>492</v>
      </c>
      <c r="M12" s="124" t="s">
        <v>491</v>
      </c>
      <c r="N12" s="124" t="s">
        <v>492</v>
      </c>
      <c r="O12" s="124" t="s">
        <v>491</v>
      </c>
      <c r="P12" s="124" t="s">
        <v>492</v>
      </c>
      <c r="Q12" s="124" t="s">
        <v>491</v>
      </c>
      <c r="R12" s="124" t="s">
        <v>492</v>
      </c>
      <c r="S12" s="124" t="s">
        <v>491</v>
      </c>
      <c r="T12" s="124" t="s">
        <v>492</v>
      </c>
      <c r="U12" s="124" t="s">
        <v>491</v>
      </c>
      <c r="V12" s="2077" t="s">
        <v>492</v>
      </c>
      <c r="W12" s="124" t="s">
        <v>491</v>
      </c>
      <c r="X12" s="124" t="s">
        <v>492</v>
      </c>
      <c r="Y12" s="124" t="s">
        <v>491</v>
      </c>
      <c r="Z12" s="124" t="s">
        <v>492</v>
      </c>
      <c r="AA12" s="124" t="s">
        <v>491</v>
      </c>
      <c r="AB12" s="124" t="s">
        <v>492</v>
      </c>
      <c r="AC12" s="2827"/>
      <c r="AD12" s="2188" t="s">
        <v>491</v>
      </c>
      <c r="AE12" s="124" t="s">
        <v>492</v>
      </c>
      <c r="AF12" s="124" t="s">
        <v>491</v>
      </c>
      <c r="AG12" s="124" t="s">
        <v>492</v>
      </c>
      <c r="AH12" s="124" t="s">
        <v>491</v>
      </c>
      <c r="AI12" s="124" t="s">
        <v>492</v>
      </c>
      <c r="AJ12" s="124" t="s">
        <v>491</v>
      </c>
      <c r="AK12" s="124" t="s">
        <v>492</v>
      </c>
      <c r="AL12" s="124" t="s">
        <v>491</v>
      </c>
      <c r="AM12" s="124" t="s">
        <v>492</v>
      </c>
      <c r="AN12" s="124" t="s">
        <v>491</v>
      </c>
      <c r="AO12" s="124" t="s">
        <v>492</v>
      </c>
      <c r="AP12" s="2843" t="s">
        <v>491</v>
      </c>
      <c r="AQ12" s="2843" t="s">
        <v>492</v>
      </c>
      <c r="AR12" s="2844" t="s">
        <v>491</v>
      </c>
      <c r="AS12" s="2845" t="s">
        <v>492</v>
      </c>
      <c r="AT12" s="2846"/>
      <c r="AU12" s="2787"/>
      <c r="AV12" s="2253"/>
      <c r="AW12" s="2267"/>
      <c r="AX12" s="2253"/>
      <c r="AY12" s="2864"/>
      <c r="AZ12" s="2249"/>
      <c r="BA12" s="2786"/>
      <c r="BB12" s="121" t="str">
        <f>I11</f>
        <v>普通住宅</v>
      </c>
      <c r="BC12" s="2865" t="str">
        <f>K11</f>
        <v>底商</v>
      </c>
      <c r="BD12" s="2865" t="str">
        <f>M11</f>
        <v>办公楼</v>
      </c>
      <c r="BE12" s="2822" t="str">
        <f>O11</f>
        <v>车库</v>
      </c>
      <c r="BF12" s="2822" t="str">
        <f>Q11</f>
        <v>车库</v>
      </c>
      <c r="BG12" s="2822">
        <f>S11</f>
        <v>0</v>
      </c>
      <c r="BH12" s="2822">
        <f>U11</f>
        <v>0</v>
      </c>
      <c r="BI12" s="2822">
        <f>W11</f>
        <v>0</v>
      </c>
      <c r="BJ12" s="2822">
        <f>Y11</f>
        <v>0</v>
      </c>
      <c r="BK12" s="2822">
        <f>AA11</f>
        <v>0</v>
      </c>
      <c r="BL12" s="1255"/>
      <c r="BM12" s="122" t="str">
        <f>AD11</f>
        <v>（住宅）</v>
      </c>
      <c r="BN12" s="122" t="str">
        <f>AF11</f>
        <v>（住宅）</v>
      </c>
      <c r="BO12" s="121" t="str">
        <f>AH11</f>
        <v>（住宅、计出让金）</v>
      </c>
      <c r="BP12" s="121" t="str">
        <f>AJ11</f>
        <v>（住宅、计出让金）</v>
      </c>
      <c r="BQ12" s="121">
        <f>AL11</f>
        <v>0</v>
      </c>
      <c r="BR12" s="121">
        <f>AN11</f>
        <v>0</v>
      </c>
      <c r="BS12" s="955">
        <f>AP11</f>
        <v>0</v>
      </c>
      <c r="BT12" s="2250">
        <f>AR11</f>
        <v>0</v>
      </c>
    </row>
    <row r="13" spans="1:72" s="184" customFormat="1" ht="13.2">
      <c r="A13" s="2789"/>
      <c r="B13" s="2789"/>
      <c r="C13" s="2789" t="s">
        <v>379</v>
      </c>
      <c r="D13" s="2790" t="s">
        <v>493</v>
      </c>
      <c r="E13" s="2775">
        <f t="shared" ref="E13:E20" si="6">IF($C$3="是",ROUND($A$3*G13/$B$3,2),ROUND($A$3*(G13-AT13)/$B$3,2))</f>
        <v>6763.1</v>
      </c>
      <c r="F13" s="2791"/>
      <c r="G13" s="2792">
        <f t="shared" ref="G13:G20" si="7">H13+AC13+AT13</f>
        <v>81816.98000000001</v>
      </c>
      <c r="H13" s="2778">
        <f t="shared" ref="H13:H20" si="8">SUMIF(I$12:AB$12,"总值",I13:AB13)</f>
        <v>72612.570000000007</v>
      </c>
      <c r="I13" s="2816">
        <f>Sheet1!G14</f>
        <v>72612.570000000007</v>
      </c>
      <c r="J13" s="2816"/>
      <c r="K13" s="2816"/>
      <c r="L13" s="2816"/>
      <c r="M13" s="2816"/>
      <c r="N13" s="2817"/>
      <c r="O13" s="2817"/>
      <c r="P13" s="2817"/>
      <c r="Q13" s="2817"/>
      <c r="R13" s="2817"/>
      <c r="S13" s="2817"/>
      <c r="T13" s="2817"/>
      <c r="U13" s="2817"/>
      <c r="V13" s="2817"/>
      <c r="W13" s="2817"/>
      <c r="X13" s="2817"/>
      <c r="Y13" s="2817"/>
      <c r="Z13" s="2817"/>
      <c r="AA13" s="2817"/>
      <c r="AB13" s="2817"/>
      <c r="AC13" s="2775">
        <f t="shared" ref="AC13:AC20" si="9">SUMIF(AD$12:AS$12,"总值",AD13:AS13)</f>
        <v>9204.41</v>
      </c>
      <c r="AD13" s="2828"/>
      <c r="AE13" s="2828"/>
      <c r="AF13" s="2828"/>
      <c r="AG13" s="2828"/>
      <c r="AH13" s="2828"/>
      <c r="AI13" s="2828"/>
      <c r="AJ13" s="2828"/>
      <c r="AK13" s="2828"/>
      <c r="AL13" s="2828">
        <f>Sheet1!G15</f>
        <v>9204.41</v>
      </c>
      <c r="AM13" s="2828"/>
      <c r="AN13" s="2828"/>
      <c r="AO13" s="2828"/>
      <c r="AP13" s="2828"/>
      <c r="AQ13" s="2828"/>
      <c r="AR13" s="2828"/>
      <c r="AS13" s="2828"/>
      <c r="AT13" s="2847"/>
      <c r="AU13" s="2848"/>
      <c r="AV13" s="124">
        <f t="shared" ref="AV13:AX20" si="10">A13</f>
        <v>0</v>
      </c>
      <c r="AW13" s="124">
        <f t="shared" si="10"/>
        <v>0</v>
      </c>
      <c r="AX13" s="124" t="str">
        <f t="shared" si="10"/>
        <v>住宅</v>
      </c>
      <c r="AY13" s="2188">
        <f t="shared" ref="AY13:AY20" si="11">ROUND($AY$6*AZ13/$AZ$5,2)</f>
        <v>6763.1</v>
      </c>
      <c r="AZ13" s="2775">
        <f t="shared" ref="AZ13:AZ20" si="12">BA13+BL13</f>
        <v>81816.98000000001</v>
      </c>
      <c r="BA13" s="2775">
        <f t="shared" ref="BA13:BA20" si="13">SUM(BB13:BK13)</f>
        <v>72612.570000000007</v>
      </c>
      <c r="BB13" s="2775">
        <f t="shared" ref="BB13:BB20" si="14">IF($D13="是",I13-J13,0)</f>
        <v>72612.570000000007</v>
      </c>
      <c r="BC13" s="2775">
        <f t="shared" ref="BC13:BC20" si="15">IF($D13="是",K13-L13,0)</f>
        <v>0</v>
      </c>
      <c r="BD13" s="2775">
        <f t="shared" ref="BD13:BD20" si="16">IF($D13="是",M13-N13,0)</f>
        <v>0</v>
      </c>
      <c r="BE13" s="2775">
        <f t="shared" ref="BE13:BE20" si="17">IF($D13="是",O13-P13,0)</f>
        <v>0</v>
      </c>
      <c r="BF13" s="2775">
        <f t="shared" ref="BF13:BF20" si="18">IF($D13="是",Q13-R13,0)</f>
        <v>0</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9204.41</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9204.41</v>
      </c>
      <c r="BR13" s="2775">
        <f t="shared" ref="BR13:BR20" si="30">IF($D13="是",AN13-AO13,0)</f>
        <v>0</v>
      </c>
      <c r="BS13" s="2775">
        <f t="shared" ref="BS13:BS20" si="31">IF($D13="是",AP13-AQ13,0)</f>
        <v>0</v>
      </c>
      <c r="BT13" s="2869">
        <f t="shared" ref="BT13:BT20" si="32">IF($D13="是",AR13-AS13,0)</f>
        <v>0</v>
      </c>
    </row>
    <row r="14" spans="1:72" s="184" customFormat="1" ht="13.2">
      <c r="A14" s="2789"/>
      <c r="B14" s="2789"/>
      <c r="C14" s="2793" t="s">
        <v>380</v>
      </c>
      <c r="D14" s="2790" t="s">
        <v>493</v>
      </c>
      <c r="E14" s="2775">
        <f t="shared" si="6"/>
        <v>845.39</v>
      </c>
      <c r="F14" s="2791"/>
      <c r="G14" s="2792">
        <f t="shared" si="7"/>
        <v>10227.120000000001</v>
      </c>
      <c r="H14" s="2778">
        <f t="shared" si="8"/>
        <v>10227.120000000001</v>
      </c>
      <c r="I14" s="2816"/>
      <c r="J14" s="2816"/>
      <c r="K14" s="2816">
        <f>Sheet1!G12</f>
        <v>10227.120000000001</v>
      </c>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124">
        <f t="shared" si="10"/>
        <v>0</v>
      </c>
      <c r="AW14" s="124">
        <f t="shared" si="10"/>
        <v>0</v>
      </c>
      <c r="AX14" s="124" t="str">
        <f t="shared" si="10"/>
        <v>商业</v>
      </c>
      <c r="AY14" s="2188">
        <f t="shared" si="11"/>
        <v>845.39</v>
      </c>
      <c r="AZ14" s="2775">
        <f t="shared" si="12"/>
        <v>10227.120000000001</v>
      </c>
      <c r="BA14" s="2775">
        <f t="shared" si="13"/>
        <v>10227.120000000001</v>
      </c>
      <c r="BB14" s="2775">
        <f t="shared" si="14"/>
        <v>0</v>
      </c>
      <c r="BC14" s="2775">
        <f t="shared" si="15"/>
        <v>10227.120000000001</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184" customFormat="1" ht="13.2">
      <c r="A15" s="2789"/>
      <c r="B15" s="2789"/>
      <c r="C15" s="2793" t="s">
        <v>381</v>
      </c>
      <c r="D15" s="2790" t="s">
        <v>493</v>
      </c>
      <c r="E15" s="2775">
        <f t="shared" si="6"/>
        <v>845.39</v>
      </c>
      <c r="F15" s="2791"/>
      <c r="G15" s="2792">
        <f t="shared" si="7"/>
        <v>10227.120000000001</v>
      </c>
      <c r="H15" s="2778">
        <f t="shared" si="8"/>
        <v>10227.120000000001</v>
      </c>
      <c r="I15" s="2816"/>
      <c r="J15" s="2816"/>
      <c r="K15" s="2816"/>
      <c r="L15" s="2816"/>
      <c r="M15" s="2816">
        <f>Sheet1!G13</f>
        <v>10227.120000000001</v>
      </c>
      <c r="N15" s="2817"/>
      <c r="O15" s="2817"/>
      <c r="P15" s="2817"/>
      <c r="Q15" s="2817"/>
      <c r="R15" s="2817"/>
      <c r="S15" s="2817"/>
      <c r="T15" s="2817"/>
      <c r="U15" s="2817"/>
      <c r="V15" s="2817"/>
      <c r="W15" s="2817"/>
      <c r="X15" s="2817"/>
      <c r="Y15" s="2817"/>
      <c r="Z15" s="2817"/>
      <c r="AA15" s="2817"/>
      <c r="AB15" s="2817"/>
      <c r="AC15" s="2775">
        <f t="shared" si="9"/>
        <v>0</v>
      </c>
      <c r="AD15" s="2828"/>
      <c r="AE15" s="2828"/>
      <c r="AF15" s="2828"/>
      <c r="AG15" s="2828"/>
      <c r="AH15" s="2828"/>
      <c r="AI15" s="2828"/>
      <c r="AJ15" s="2828"/>
      <c r="AK15" s="2828"/>
      <c r="AL15" s="2828"/>
      <c r="AM15" s="2828"/>
      <c r="AN15" s="2828"/>
      <c r="AO15" s="2828"/>
      <c r="AP15" s="2828"/>
      <c r="AQ15" s="2828"/>
      <c r="AR15" s="2828"/>
      <c r="AS15" s="2828"/>
      <c r="AT15" s="2847"/>
      <c r="AU15" s="2848"/>
      <c r="AV15" s="124">
        <f t="shared" si="10"/>
        <v>0</v>
      </c>
      <c r="AW15" s="124">
        <f t="shared" si="10"/>
        <v>0</v>
      </c>
      <c r="AX15" s="124" t="str">
        <f t="shared" si="10"/>
        <v>办公</v>
      </c>
      <c r="AY15" s="2188">
        <f t="shared" si="11"/>
        <v>845.39</v>
      </c>
      <c r="AZ15" s="2775">
        <f t="shared" si="12"/>
        <v>10227.120000000001</v>
      </c>
      <c r="BA15" s="2775">
        <f t="shared" si="13"/>
        <v>10227.120000000001</v>
      </c>
      <c r="BB15" s="2775">
        <f t="shared" si="14"/>
        <v>0</v>
      </c>
      <c r="BC15" s="2775">
        <f t="shared" si="15"/>
        <v>0</v>
      </c>
      <c r="BD15" s="2775">
        <f t="shared" si="16"/>
        <v>10227.120000000001</v>
      </c>
      <c r="BE15" s="2775">
        <f t="shared" si="17"/>
        <v>0</v>
      </c>
      <c r="BF15" s="2775">
        <f t="shared" si="18"/>
        <v>0</v>
      </c>
      <c r="BG15" s="2775">
        <f t="shared" si="19"/>
        <v>0</v>
      </c>
      <c r="BH15" s="2775">
        <f t="shared" si="20"/>
        <v>0</v>
      </c>
      <c r="BI15" s="2775">
        <f t="shared" si="21"/>
        <v>0</v>
      </c>
      <c r="BJ15" s="2775">
        <f t="shared" si="22"/>
        <v>0</v>
      </c>
      <c r="BK15" s="2775">
        <f t="shared" si="23"/>
        <v>0</v>
      </c>
      <c r="BL15" s="2775">
        <f t="shared" si="24"/>
        <v>0</v>
      </c>
      <c r="BM15" s="2775">
        <f t="shared" si="25"/>
        <v>0</v>
      </c>
      <c r="BN15" s="2775">
        <f t="shared" si="26"/>
        <v>0</v>
      </c>
      <c r="BO15" s="2775">
        <f t="shared" si="27"/>
        <v>0</v>
      </c>
      <c r="BP15" s="2775">
        <f t="shared" si="28"/>
        <v>0</v>
      </c>
      <c r="BQ15" s="2775">
        <f t="shared" si="29"/>
        <v>0</v>
      </c>
      <c r="BR15" s="2775">
        <f t="shared" si="30"/>
        <v>0</v>
      </c>
      <c r="BS15" s="2775">
        <f t="shared" si="31"/>
        <v>0</v>
      </c>
      <c r="BT15" s="2869">
        <f t="shared" si="32"/>
        <v>0</v>
      </c>
    </row>
    <row r="16" spans="1:72" s="184" customFormat="1" ht="13.2">
      <c r="A16" s="2789"/>
      <c r="B16" s="2789"/>
      <c r="C16" s="2793" t="s">
        <v>382</v>
      </c>
      <c r="D16" s="2790" t="s">
        <v>493</v>
      </c>
      <c r="E16" s="2775">
        <f t="shared" si="6"/>
        <v>1855.73</v>
      </c>
      <c r="F16" s="2791"/>
      <c r="G16" s="2792">
        <f t="shared" si="7"/>
        <v>22449.78</v>
      </c>
      <c r="H16" s="2778">
        <f t="shared" si="8"/>
        <v>22449.78</v>
      </c>
      <c r="I16" s="2816"/>
      <c r="J16" s="2816"/>
      <c r="K16" s="2816"/>
      <c r="L16" s="2816"/>
      <c r="M16" s="2816"/>
      <c r="N16" s="2817"/>
      <c r="O16" s="2817">
        <f>Sheet1!G17</f>
        <v>16213.73</v>
      </c>
      <c r="P16" s="2817"/>
      <c r="Q16" s="2817">
        <f>Sheet1!G16</f>
        <v>6236.05</v>
      </c>
      <c r="R16" s="2817"/>
      <c r="S16" s="2817"/>
      <c r="T16" s="2817"/>
      <c r="U16" s="2817"/>
      <c r="V16" s="2817"/>
      <c r="W16" s="2817"/>
      <c r="X16" s="2817"/>
      <c r="Y16" s="2817"/>
      <c r="Z16" s="2817"/>
      <c r="AA16" s="2817"/>
      <c r="AB16" s="2817"/>
      <c r="AC16" s="2775">
        <f t="shared" si="9"/>
        <v>0</v>
      </c>
      <c r="AD16" s="2828"/>
      <c r="AE16" s="2828"/>
      <c r="AF16" s="2828"/>
      <c r="AG16" s="2828"/>
      <c r="AH16" s="2828"/>
      <c r="AI16" s="2828"/>
      <c r="AJ16" s="2828"/>
      <c r="AK16" s="2828"/>
      <c r="AL16" s="2828"/>
      <c r="AM16" s="2828"/>
      <c r="AN16" s="2828"/>
      <c r="AO16" s="2828"/>
      <c r="AP16" s="2828"/>
      <c r="AQ16" s="2828"/>
      <c r="AR16" s="2828"/>
      <c r="AS16" s="2828"/>
      <c r="AT16" s="2847"/>
      <c r="AU16" s="2848"/>
      <c r="AV16" s="124">
        <f t="shared" si="10"/>
        <v>0</v>
      </c>
      <c r="AW16" s="124">
        <f t="shared" si="10"/>
        <v>0</v>
      </c>
      <c r="AX16" s="124" t="str">
        <f t="shared" si="10"/>
        <v>车库</v>
      </c>
      <c r="AY16" s="2188">
        <f t="shared" si="11"/>
        <v>1855.73</v>
      </c>
      <c r="AZ16" s="2775">
        <f t="shared" si="12"/>
        <v>22449.78</v>
      </c>
      <c r="BA16" s="2775">
        <f t="shared" si="13"/>
        <v>22449.78</v>
      </c>
      <c r="BB16" s="2775">
        <f t="shared" si="14"/>
        <v>0</v>
      </c>
      <c r="BC16" s="2775">
        <f t="shared" si="15"/>
        <v>0</v>
      </c>
      <c r="BD16" s="2775">
        <f t="shared" si="16"/>
        <v>0</v>
      </c>
      <c r="BE16" s="2775">
        <f t="shared" si="17"/>
        <v>16213.73</v>
      </c>
      <c r="BF16" s="2775">
        <f t="shared" si="18"/>
        <v>6236.05</v>
      </c>
      <c r="BG16" s="2775">
        <f t="shared" si="19"/>
        <v>0</v>
      </c>
      <c r="BH16" s="2775">
        <f t="shared" si="20"/>
        <v>0</v>
      </c>
      <c r="BI16" s="2775">
        <f t="shared" si="21"/>
        <v>0</v>
      </c>
      <c r="BJ16" s="2775">
        <f t="shared" si="22"/>
        <v>0</v>
      </c>
      <c r="BK16" s="2775">
        <f t="shared" si="23"/>
        <v>0</v>
      </c>
      <c r="BL16" s="2775">
        <f t="shared" si="24"/>
        <v>0</v>
      </c>
      <c r="BM16" s="2775">
        <f t="shared" si="25"/>
        <v>0</v>
      </c>
      <c r="BN16" s="2775">
        <f t="shared" si="26"/>
        <v>0</v>
      </c>
      <c r="BO16" s="2775">
        <f t="shared" si="27"/>
        <v>0</v>
      </c>
      <c r="BP16" s="2775">
        <f t="shared" si="28"/>
        <v>0</v>
      </c>
      <c r="BQ16" s="2775">
        <f t="shared" si="29"/>
        <v>0</v>
      </c>
      <c r="BR16" s="2775">
        <f t="shared" si="30"/>
        <v>0</v>
      </c>
      <c r="BS16" s="2775">
        <f t="shared" si="31"/>
        <v>0</v>
      </c>
      <c r="BT16" s="2869">
        <f t="shared" si="32"/>
        <v>0</v>
      </c>
    </row>
    <row r="17" spans="1:72" s="184" customFormat="1" ht="13.2">
      <c r="A17" s="2789"/>
      <c r="B17" s="2789"/>
      <c r="C17" s="2793"/>
      <c r="D17" s="2790"/>
      <c r="E17" s="2775">
        <f t="shared" si="6"/>
        <v>0</v>
      </c>
      <c r="F17" s="2791"/>
      <c r="G17" s="2792">
        <f t="shared" si="7"/>
        <v>0</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0</v>
      </c>
      <c r="AD17" s="2828"/>
      <c r="AE17" s="2828"/>
      <c r="AF17" s="2828"/>
      <c r="AG17" s="2828"/>
      <c r="AH17" s="2828"/>
      <c r="AI17" s="2828"/>
      <c r="AJ17" s="2828"/>
      <c r="AK17" s="2828"/>
      <c r="AL17" s="2828"/>
      <c r="AM17" s="2828"/>
      <c r="AN17" s="2828"/>
      <c r="AO17" s="2828"/>
      <c r="AP17" s="2828"/>
      <c r="AQ17" s="2828"/>
      <c r="AR17" s="2828"/>
      <c r="AS17" s="2828"/>
      <c r="AT17" s="2847"/>
      <c r="AU17" s="2848"/>
      <c r="AV17" s="124">
        <f t="shared" si="10"/>
        <v>0</v>
      </c>
      <c r="AW17" s="124">
        <f t="shared" si="10"/>
        <v>0</v>
      </c>
      <c r="AX17" s="124">
        <f t="shared" si="10"/>
        <v>0</v>
      </c>
      <c r="AY17" s="2188">
        <f t="shared" si="11"/>
        <v>0</v>
      </c>
      <c r="AZ17" s="2775">
        <f t="shared" si="12"/>
        <v>0</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0</v>
      </c>
      <c r="BM17" s="2775">
        <f t="shared" si="25"/>
        <v>0</v>
      </c>
      <c r="BN17" s="2775">
        <f t="shared" si="26"/>
        <v>0</v>
      </c>
      <c r="BO17" s="2775">
        <f t="shared" si="27"/>
        <v>0</v>
      </c>
      <c r="BP17" s="2775">
        <f t="shared" si="28"/>
        <v>0</v>
      </c>
      <c r="BQ17" s="2775">
        <f t="shared" si="29"/>
        <v>0</v>
      </c>
      <c r="BR17" s="2775">
        <f t="shared" si="30"/>
        <v>0</v>
      </c>
      <c r="BS17" s="2775">
        <f t="shared" si="31"/>
        <v>0</v>
      </c>
      <c r="BT17" s="2869">
        <f t="shared" si="32"/>
        <v>0</v>
      </c>
    </row>
    <row r="18" spans="1:72" ht="15.6">
      <c r="A18" s="2794"/>
      <c r="B18" s="2795"/>
      <c r="C18" s="2795"/>
      <c r="D18" s="2796"/>
      <c r="E18" s="2797">
        <f t="shared" si="6"/>
        <v>0</v>
      </c>
      <c r="F18" s="2798"/>
      <c r="G18" s="2799">
        <f t="shared" si="7"/>
        <v>0</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0</v>
      </c>
      <c r="AD18" s="2829"/>
      <c r="AE18" s="2829"/>
      <c r="AF18" s="2802"/>
      <c r="AG18" s="2829"/>
      <c r="AH18" s="2829"/>
      <c r="AI18" s="2829"/>
      <c r="AJ18" s="2829"/>
      <c r="AK18" s="2829"/>
      <c r="AL18" s="2819"/>
      <c r="AM18" s="2829"/>
      <c r="AN18" s="2802"/>
      <c r="AO18" s="2829"/>
      <c r="AP18" s="2829"/>
      <c r="AQ18" s="2829"/>
      <c r="AR18" s="2829"/>
      <c r="AS18" s="2829"/>
      <c r="AT18" s="2849"/>
      <c r="AU18" s="2850"/>
      <c r="AV18" s="447">
        <f t="shared" si="10"/>
        <v>0</v>
      </c>
      <c r="AW18" s="447">
        <f t="shared" si="10"/>
        <v>0</v>
      </c>
      <c r="AX18" s="447">
        <f t="shared" si="10"/>
        <v>0</v>
      </c>
      <c r="AY18" s="2866">
        <f t="shared" si="11"/>
        <v>0</v>
      </c>
      <c r="AZ18" s="2797">
        <f t="shared" si="12"/>
        <v>0</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0</v>
      </c>
      <c r="BM18" s="2797">
        <f t="shared" si="25"/>
        <v>0</v>
      </c>
      <c r="BN18" s="2797">
        <f t="shared" si="26"/>
        <v>0</v>
      </c>
      <c r="BO18" s="2797">
        <f t="shared" si="27"/>
        <v>0</v>
      </c>
      <c r="BP18" s="2797">
        <f t="shared" si="28"/>
        <v>0</v>
      </c>
      <c r="BQ18" s="2797">
        <f t="shared" si="29"/>
        <v>0</v>
      </c>
      <c r="BR18" s="2797">
        <f t="shared" si="30"/>
        <v>0</v>
      </c>
      <c r="BS18" s="2797">
        <f t="shared" si="31"/>
        <v>0</v>
      </c>
      <c r="BT18" s="2871">
        <f t="shared" si="32"/>
        <v>0</v>
      </c>
    </row>
    <row r="19" spans="1:72" ht="15.6">
      <c r="A19" s="2794"/>
      <c r="B19" s="2801"/>
      <c r="C19" s="2802"/>
      <c r="D19" s="2803"/>
      <c r="E19" s="2797">
        <f t="shared" si="6"/>
        <v>0</v>
      </c>
      <c r="F19" s="2798"/>
      <c r="G19" s="2799">
        <f t="shared" si="7"/>
        <v>0</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0</v>
      </c>
      <c r="AD19" s="2829"/>
      <c r="AE19" s="2829"/>
      <c r="AF19" s="2802"/>
      <c r="AG19" s="2829"/>
      <c r="AH19" s="2829"/>
      <c r="AI19" s="2829"/>
      <c r="AJ19" s="2829"/>
      <c r="AK19" s="2829"/>
      <c r="AL19" s="2829"/>
      <c r="AM19" s="2829"/>
      <c r="AN19" s="2802"/>
      <c r="AO19" s="2829"/>
      <c r="AP19" s="2829"/>
      <c r="AQ19" s="2829"/>
      <c r="AR19" s="2829"/>
      <c r="AS19" s="2829"/>
      <c r="AT19" s="2849"/>
      <c r="AU19" s="2850"/>
      <c r="AV19" s="447">
        <f t="shared" si="10"/>
        <v>0</v>
      </c>
      <c r="AW19" s="447">
        <f t="shared" si="10"/>
        <v>0</v>
      </c>
      <c r="AX19" s="447">
        <f t="shared" si="10"/>
        <v>0</v>
      </c>
      <c r="AY19" s="2866">
        <f t="shared" si="11"/>
        <v>0</v>
      </c>
      <c r="AZ19" s="2797">
        <f t="shared" si="12"/>
        <v>0</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0</v>
      </c>
      <c r="BM19" s="2797">
        <f t="shared" si="25"/>
        <v>0</v>
      </c>
      <c r="BN19" s="2797">
        <f t="shared" si="26"/>
        <v>0</v>
      </c>
      <c r="BO19" s="2797">
        <f t="shared" si="27"/>
        <v>0</v>
      </c>
      <c r="BP19" s="2797">
        <f t="shared" si="28"/>
        <v>0</v>
      </c>
      <c r="BQ19" s="2797">
        <f t="shared" si="29"/>
        <v>0</v>
      </c>
      <c r="BR19" s="2797">
        <f t="shared" si="30"/>
        <v>0</v>
      </c>
      <c r="BS19" s="2797">
        <f t="shared" si="31"/>
        <v>0</v>
      </c>
      <c r="BT19" s="2871">
        <f t="shared" si="32"/>
        <v>0</v>
      </c>
    </row>
    <row r="20" spans="1:72" ht="15.6">
      <c r="A20" s="2794"/>
      <c r="B20" s="2801"/>
      <c r="C20" s="2802"/>
      <c r="D20" s="2803"/>
      <c r="E20" s="2797">
        <f t="shared" si="6"/>
        <v>0</v>
      </c>
      <c r="F20" s="2798"/>
      <c r="G20" s="2799">
        <f t="shared" si="7"/>
        <v>0</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0</v>
      </c>
      <c r="AD20" s="2829"/>
      <c r="AE20" s="2829"/>
      <c r="AF20" s="2802"/>
      <c r="AG20" s="2829"/>
      <c r="AH20" s="2829"/>
      <c r="AI20" s="2829"/>
      <c r="AJ20" s="2829"/>
      <c r="AK20" s="2829"/>
      <c r="AL20" s="2829"/>
      <c r="AM20" s="2829"/>
      <c r="AN20" s="2802"/>
      <c r="AO20" s="2829"/>
      <c r="AP20" s="2829"/>
      <c r="AQ20" s="2829"/>
      <c r="AR20" s="2829"/>
      <c r="AS20" s="2829"/>
      <c r="AT20" s="2849"/>
      <c r="AU20" s="2850"/>
      <c r="AV20" s="447">
        <f t="shared" si="10"/>
        <v>0</v>
      </c>
      <c r="AW20" s="447">
        <f t="shared" si="10"/>
        <v>0</v>
      </c>
      <c r="AX20" s="447">
        <f t="shared" si="10"/>
        <v>0</v>
      </c>
      <c r="AY20" s="2866">
        <f t="shared" si="11"/>
        <v>0</v>
      </c>
      <c r="AZ20" s="2797">
        <f t="shared" si="12"/>
        <v>0</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0</v>
      </c>
      <c r="BM20" s="2797">
        <f t="shared" si="25"/>
        <v>0</v>
      </c>
      <c r="BN20" s="2797">
        <f t="shared" si="26"/>
        <v>0</v>
      </c>
      <c r="BO20" s="2797">
        <f t="shared" si="27"/>
        <v>0</v>
      </c>
      <c r="BP20" s="2797">
        <f t="shared" si="28"/>
        <v>0</v>
      </c>
      <c r="BQ20" s="2797">
        <f t="shared" si="29"/>
        <v>0</v>
      </c>
      <c r="BR20" s="2797">
        <f t="shared" si="30"/>
        <v>0</v>
      </c>
      <c r="BS20" s="2797">
        <f t="shared" si="31"/>
        <v>0</v>
      </c>
      <c r="BT20" s="2871">
        <f t="shared" si="32"/>
        <v>0</v>
      </c>
    </row>
    <row r="21" spans="1:72" ht="15.6">
      <c r="A21" s="2794"/>
      <c r="B21" s="2804"/>
      <c r="C21" s="2802"/>
      <c r="D21" s="2803"/>
      <c r="E21" s="2797">
        <f t="shared" ref="E21:E112" si="33">IF($C$3="是",ROUND($A$3*G21/$B$3,2),ROUND($A$3*(G21-AT21)/$B$3,2))</f>
        <v>0</v>
      </c>
      <c r="F21" s="2798"/>
      <c r="G21" s="2799">
        <f t="shared" ref="G21:G109" si="34">H21+AC21+AT21</f>
        <v>0</v>
      </c>
      <c r="H21" s="2800">
        <f t="shared" ref="H21:H109" si="35">SUMIF(I$12:AB$12,"总值",I21:AB21)</f>
        <v>0</v>
      </c>
      <c r="I21" s="2806"/>
      <c r="J21" s="2818"/>
      <c r="K21" s="2806"/>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0</v>
      </c>
      <c r="AD21" s="2829"/>
      <c r="AE21" s="2829"/>
      <c r="AF21" s="2830"/>
      <c r="AG21" s="2829"/>
      <c r="AH21" s="2829"/>
      <c r="AI21" s="2829"/>
      <c r="AJ21" s="2829"/>
      <c r="AK21" s="2829"/>
      <c r="AL21" s="2829"/>
      <c r="AM21" s="2829"/>
      <c r="AN21" s="2819"/>
      <c r="AO21" s="2829"/>
      <c r="AP21" s="2829"/>
      <c r="AQ21" s="2829"/>
      <c r="AR21" s="2829"/>
      <c r="AS21" s="2829"/>
      <c r="AT21" s="2849"/>
      <c r="AU21" s="2850"/>
      <c r="AV21" s="447">
        <f t="shared" ref="AV21:AV112" si="37">A21</f>
        <v>0</v>
      </c>
      <c r="AW21" s="447">
        <f t="shared" ref="AW21:AW112" si="38">B21</f>
        <v>0</v>
      </c>
      <c r="AX21" s="447">
        <f t="shared" ref="AX21:AX112" si="39">C21</f>
        <v>0</v>
      </c>
      <c r="AY21" s="2866">
        <f t="shared" ref="AY21:AY109" si="40">ROUND($AY$6*AZ21/$AZ$5,2)</f>
        <v>0</v>
      </c>
      <c r="AZ21" s="2797">
        <f t="shared" ref="AZ21:AZ109" si="41">BA21+BL21</f>
        <v>0</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0</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0</v>
      </c>
      <c r="BR21" s="2797">
        <f t="shared" ref="BR21:BR109" si="59">IF($D21="是",AN21-AO21,0)</f>
        <v>0</v>
      </c>
      <c r="BS21" s="2797">
        <f t="shared" ref="BS21:BS109" si="60">IF($D21="是",AP21-AQ21,0)</f>
        <v>0</v>
      </c>
      <c r="BT21" s="2871">
        <f t="shared" ref="BT21:BT109" si="61">IF($D21="是",AR21-AS21,0)</f>
        <v>0</v>
      </c>
    </row>
    <row r="22" spans="1:72" ht="15.6">
      <c r="A22" s="2794"/>
      <c r="B22" s="2804"/>
      <c r="C22" s="2802"/>
      <c r="D22" s="2803"/>
      <c r="E22" s="2797">
        <f t="shared" si="33"/>
        <v>0</v>
      </c>
      <c r="F22" s="2798"/>
      <c r="G22" s="2799">
        <f t="shared" si="34"/>
        <v>0</v>
      </c>
      <c r="H22" s="2800">
        <f t="shared" si="35"/>
        <v>0</v>
      </c>
      <c r="I22" s="2806"/>
      <c r="J22" s="2818"/>
      <c r="K22" s="2806"/>
      <c r="L22" s="2818"/>
      <c r="M22" s="2819"/>
      <c r="N22" s="2818"/>
      <c r="O22" s="2818"/>
      <c r="P22" s="2818"/>
      <c r="Q22" s="2818"/>
      <c r="R22" s="2818"/>
      <c r="S22" s="2818"/>
      <c r="T22" s="2818"/>
      <c r="U22" s="2818"/>
      <c r="V22" s="2818"/>
      <c r="W22" s="2818"/>
      <c r="X22" s="2818"/>
      <c r="Y22" s="2818"/>
      <c r="Z22" s="2818"/>
      <c r="AA22" s="2818"/>
      <c r="AB22" s="2818"/>
      <c r="AC22" s="2797">
        <f t="shared" si="36"/>
        <v>0</v>
      </c>
      <c r="AD22" s="2819"/>
      <c r="AE22" s="2829"/>
      <c r="AF22" s="2830"/>
      <c r="AG22" s="2829"/>
      <c r="AH22" s="2829"/>
      <c r="AI22" s="2829"/>
      <c r="AJ22" s="2829"/>
      <c r="AK22" s="2829"/>
      <c r="AL22" s="2819"/>
      <c r="AM22" s="2829"/>
      <c r="AN22" s="2819"/>
      <c r="AO22" s="2829"/>
      <c r="AP22" s="2829"/>
      <c r="AQ22" s="2829"/>
      <c r="AR22" s="2829"/>
      <c r="AS22" s="2829"/>
      <c r="AT22" s="2849"/>
      <c r="AU22" s="2850"/>
      <c r="AV22" s="447">
        <f t="shared" si="37"/>
        <v>0</v>
      </c>
      <c r="AW22" s="447">
        <f t="shared" si="38"/>
        <v>0</v>
      </c>
      <c r="AX22" s="447">
        <f t="shared" si="39"/>
        <v>0</v>
      </c>
      <c r="AY22" s="2866">
        <f t="shared" si="40"/>
        <v>0</v>
      </c>
      <c r="AZ22" s="2797">
        <f t="shared" si="41"/>
        <v>0</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0</v>
      </c>
      <c r="BM22" s="2797">
        <f t="shared" si="54"/>
        <v>0</v>
      </c>
      <c r="BN22" s="2797">
        <f t="shared" si="55"/>
        <v>0</v>
      </c>
      <c r="BO22" s="2797">
        <f t="shared" si="56"/>
        <v>0</v>
      </c>
      <c r="BP22" s="2797">
        <f t="shared" si="57"/>
        <v>0</v>
      </c>
      <c r="BQ22" s="2797">
        <f t="shared" si="58"/>
        <v>0</v>
      </c>
      <c r="BR22" s="2797">
        <f t="shared" si="59"/>
        <v>0</v>
      </c>
      <c r="BS22" s="2797">
        <f t="shared" si="60"/>
        <v>0</v>
      </c>
      <c r="BT22" s="2871">
        <f t="shared" si="61"/>
        <v>0</v>
      </c>
    </row>
    <row r="23" spans="1:72" ht="15.6">
      <c r="A23" s="2794"/>
      <c r="B23" s="2804"/>
      <c r="C23" s="2802"/>
      <c r="D23" s="2803"/>
      <c r="E23" s="2797">
        <f t="shared" si="33"/>
        <v>0</v>
      </c>
      <c r="F23" s="2798"/>
      <c r="G23" s="2799">
        <f t="shared" si="34"/>
        <v>0</v>
      </c>
      <c r="H23" s="2800">
        <f t="shared" si="35"/>
        <v>0</v>
      </c>
      <c r="I23" s="2806"/>
      <c r="J23" s="2818"/>
      <c r="K23" s="2806"/>
      <c r="L23" s="2818"/>
      <c r="M23" s="2819"/>
      <c r="N23" s="2818"/>
      <c r="O23" s="2818"/>
      <c r="P23" s="2818"/>
      <c r="Q23" s="2818"/>
      <c r="R23" s="2818"/>
      <c r="S23" s="2818"/>
      <c r="T23" s="2818"/>
      <c r="U23" s="2818"/>
      <c r="V23" s="2818"/>
      <c r="W23" s="2818"/>
      <c r="X23" s="2818"/>
      <c r="Y23" s="2818"/>
      <c r="Z23" s="2818"/>
      <c r="AA23" s="2818"/>
      <c r="AB23" s="2818"/>
      <c r="AC23" s="2797">
        <f t="shared" si="36"/>
        <v>0</v>
      </c>
      <c r="AD23" s="2829"/>
      <c r="AE23" s="2829"/>
      <c r="AF23" s="2830"/>
      <c r="AG23" s="2829"/>
      <c r="AH23" s="2829"/>
      <c r="AI23" s="2829"/>
      <c r="AJ23" s="2829"/>
      <c r="AK23" s="2829"/>
      <c r="AL23" s="2819"/>
      <c r="AM23" s="2829"/>
      <c r="AN23" s="2819"/>
      <c r="AO23" s="2829"/>
      <c r="AP23" s="2829"/>
      <c r="AQ23" s="2829"/>
      <c r="AR23" s="2829"/>
      <c r="AS23" s="2829"/>
      <c r="AT23" s="2849"/>
      <c r="AU23" s="2850"/>
      <c r="AV23" s="447">
        <f t="shared" si="37"/>
        <v>0</v>
      </c>
      <c r="AW23" s="447">
        <f t="shared" si="38"/>
        <v>0</v>
      </c>
      <c r="AX23" s="447">
        <f t="shared" si="39"/>
        <v>0</v>
      </c>
      <c r="AY23" s="2866">
        <f t="shared" si="40"/>
        <v>0</v>
      </c>
      <c r="AZ23" s="2797">
        <f t="shared" si="41"/>
        <v>0</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0</v>
      </c>
      <c r="BM23" s="2797">
        <f t="shared" si="54"/>
        <v>0</v>
      </c>
      <c r="BN23" s="2797">
        <f t="shared" si="55"/>
        <v>0</v>
      </c>
      <c r="BO23" s="2797">
        <f t="shared" si="56"/>
        <v>0</v>
      </c>
      <c r="BP23" s="2797">
        <f t="shared" si="57"/>
        <v>0</v>
      </c>
      <c r="BQ23" s="2797">
        <f t="shared" si="58"/>
        <v>0</v>
      </c>
      <c r="BR23" s="2797">
        <f t="shared" si="59"/>
        <v>0</v>
      </c>
      <c r="BS23" s="2797">
        <f t="shared" si="60"/>
        <v>0</v>
      </c>
      <c r="BT23" s="2871">
        <f t="shared" si="61"/>
        <v>0</v>
      </c>
    </row>
    <row r="24" spans="1:72" ht="15.6">
      <c r="A24" s="2794"/>
      <c r="B24" s="2804"/>
      <c r="C24" s="2802"/>
      <c r="D24" s="2803"/>
      <c r="E24" s="2797">
        <f t="shared" si="33"/>
        <v>0</v>
      </c>
      <c r="F24" s="2798"/>
      <c r="G24" s="2799">
        <f t="shared" si="34"/>
        <v>0</v>
      </c>
      <c r="H24" s="2800">
        <f t="shared" si="35"/>
        <v>0</v>
      </c>
      <c r="I24" s="2806"/>
      <c r="J24" s="2818"/>
      <c r="K24" s="2806"/>
      <c r="L24" s="2818"/>
      <c r="M24" s="2818"/>
      <c r="N24" s="2818"/>
      <c r="O24" s="2819"/>
      <c r="P24" s="2818"/>
      <c r="Q24" s="2818"/>
      <c r="R24" s="2818"/>
      <c r="S24" s="2818"/>
      <c r="T24" s="2818"/>
      <c r="U24" s="2818"/>
      <c r="V24" s="2818"/>
      <c r="W24" s="2818"/>
      <c r="X24" s="2818"/>
      <c r="Y24" s="2818"/>
      <c r="Z24" s="2818"/>
      <c r="AA24" s="2818"/>
      <c r="AB24" s="2818"/>
      <c r="AC24" s="2797">
        <f t="shared" si="36"/>
        <v>0</v>
      </c>
      <c r="AD24" s="2829"/>
      <c r="AE24" s="2829"/>
      <c r="AF24" s="2830"/>
      <c r="AG24" s="2829"/>
      <c r="AH24" s="2829"/>
      <c r="AI24" s="2829"/>
      <c r="AJ24" s="2829"/>
      <c r="AK24" s="2829"/>
      <c r="AL24" s="2829"/>
      <c r="AM24" s="2829"/>
      <c r="AN24" s="2819"/>
      <c r="AO24" s="2829"/>
      <c r="AP24" s="2829"/>
      <c r="AQ24" s="2829"/>
      <c r="AR24" s="2829"/>
      <c r="AS24" s="2829"/>
      <c r="AT24" s="2849"/>
      <c r="AU24" s="2850"/>
      <c r="AV24" s="447">
        <f t="shared" si="37"/>
        <v>0</v>
      </c>
      <c r="AW24" s="447">
        <f t="shared" si="38"/>
        <v>0</v>
      </c>
      <c r="AX24" s="447">
        <f t="shared" si="39"/>
        <v>0</v>
      </c>
      <c r="AY24" s="2866">
        <f t="shared" si="40"/>
        <v>0</v>
      </c>
      <c r="AZ24" s="2797">
        <f t="shared" si="41"/>
        <v>0</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0</v>
      </c>
      <c r="BM24" s="2797">
        <f t="shared" si="54"/>
        <v>0</v>
      </c>
      <c r="BN24" s="2797">
        <f t="shared" si="55"/>
        <v>0</v>
      </c>
      <c r="BO24" s="2797">
        <f t="shared" si="56"/>
        <v>0</v>
      </c>
      <c r="BP24" s="2797">
        <f t="shared" si="57"/>
        <v>0</v>
      </c>
      <c r="BQ24" s="2797">
        <f t="shared" si="58"/>
        <v>0</v>
      </c>
      <c r="BR24" s="2797">
        <f t="shared" si="59"/>
        <v>0</v>
      </c>
      <c r="BS24" s="2797">
        <f t="shared" si="60"/>
        <v>0</v>
      </c>
      <c r="BT24" s="2871">
        <f t="shared" si="61"/>
        <v>0</v>
      </c>
    </row>
    <row r="25" spans="1:72" ht="15.6">
      <c r="A25" s="2794"/>
      <c r="B25" s="2804"/>
      <c r="C25" s="2802"/>
      <c r="D25" s="2803"/>
      <c r="E25" s="2797">
        <f t="shared" si="33"/>
        <v>0</v>
      </c>
      <c r="F25" s="2798"/>
      <c r="G25" s="2799">
        <f t="shared" si="34"/>
        <v>0</v>
      </c>
      <c r="H25" s="2800">
        <f t="shared" si="35"/>
        <v>0</v>
      </c>
      <c r="I25" s="2806"/>
      <c r="J25" s="2818"/>
      <c r="K25" s="2806"/>
      <c r="L25" s="2818"/>
      <c r="M25" s="2818"/>
      <c r="N25" s="2818"/>
      <c r="O25" s="2818"/>
      <c r="P25" s="2818"/>
      <c r="Q25" s="2818"/>
      <c r="R25" s="2818"/>
      <c r="S25" s="2818"/>
      <c r="T25" s="2818"/>
      <c r="U25" s="2818"/>
      <c r="V25" s="2818"/>
      <c r="W25" s="2818"/>
      <c r="X25" s="2818"/>
      <c r="Y25" s="2818"/>
      <c r="Z25" s="2818"/>
      <c r="AA25" s="2818"/>
      <c r="AB25" s="2818"/>
      <c r="AC25" s="2797">
        <f t="shared" si="36"/>
        <v>0</v>
      </c>
      <c r="AD25" s="2829"/>
      <c r="AE25" s="2829"/>
      <c r="AF25" s="2830"/>
      <c r="AG25" s="2829"/>
      <c r="AH25" s="2829"/>
      <c r="AI25" s="2829"/>
      <c r="AJ25" s="2829"/>
      <c r="AK25" s="2829"/>
      <c r="AL25" s="2829"/>
      <c r="AM25" s="2829"/>
      <c r="AN25" s="2829"/>
      <c r="AO25" s="2829"/>
      <c r="AP25" s="2829"/>
      <c r="AQ25" s="2829"/>
      <c r="AR25" s="2829"/>
      <c r="AS25" s="2829"/>
      <c r="AT25" s="2849"/>
      <c r="AU25" s="2850"/>
      <c r="AV25" s="447">
        <f t="shared" si="37"/>
        <v>0</v>
      </c>
      <c r="AW25" s="447">
        <f t="shared" si="38"/>
        <v>0</v>
      </c>
      <c r="AX25" s="447">
        <f t="shared" si="39"/>
        <v>0</v>
      </c>
      <c r="AY25" s="2866">
        <f t="shared" si="40"/>
        <v>0</v>
      </c>
      <c r="AZ25" s="2797">
        <f t="shared" si="41"/>
        <v>0</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0</v>
      </c>
      <c r="BM25" s="2797">
        <f t="shared" si="54"/>
        <v>0</v>
      </c>
      <c r="BN25" s="2797">
        <f t="shared" si="55"/>
        <v>0</v>
      </c>
      <c r="BO25" s="2797">
        <f t="shared" si="56"/>
        <v>0</v>
      </c>
      <c r="BP25" s="2797">
        <f t="shared" si="57"/>
        <v>0</v>
      </c>
      <c r="BQ25" s="2797">
        <f t="shared" si="58"/>
        <v>0</v>
      </c>
      <c r="BR25" s="2797">
        <f t="shared" si="59"/>
        <v>0</v>
      </c>
      <c r="BS25" s="2797">
        <f t="shared" si="60"/>
        <v>0</v>
      </c>
      <c r="BT25" s="2871">
        <f t="shared" si="61"/>
        <v>0</v>
      </c>
    </row>
    <row r="26" spans="1:72" ht="15.6">
      <c r="A26" s="2794"/>
      <c r="B26" s="2804"/>
      <c r="C26" s="2802"/>
      <c r="D26" s="2803"/>
      <c r="E26" s="2797">
        <f t="shared" si="33"/>
        <v>0</v>
      </c>
      <c r="F26" s="2798"/>
      <c r="G26" s="2799">
        <f t="shared" si="34"/>
        <v>0</v>
      </c>
      <c r="H26" s="2800">
        <f t="shared" si="35"/>
        <v>0</v>
      </c>
      <c r="I26" s="2806"/>
      <c r="J26" s="2818"/>
      <c r="K26" s="2806"/>
      <c r="L26" s="2818"/>
      <c r="M26" s="2818"/>
      <c r="N26" s="2818"/>
      <c r="O26" s="2818"/>
      <c r="P26" s="2818"/>
      <c r="Q26" s="2818"/>
      <c r="R26" s="2818"/>
      <c r="S26" s="2818"/>
      <c r="T26" s="2818"/>
      <c r="U26" s="2818"/>
      <c r="V26" s="2818"/>
      <c r="W26" s="2818"/>
      <c r="X26" s="2818"/>
      <c r="Y26" s="2818"/>
      <c r="Z26" s="2818"/>
      <c r="AA26" s="2818"/>
      <c r="AB26" s="2818"/>
      <c r="AC26" s="2797">
        <f t="shared" si="36"/>
        <v>0</v>
      </c>
      <c r="AD26" s="2829"/>
      <c r="AE26" s="2829"/>
      <c r="AF26" s="2830"/>
      <c r="AG26" s="2829"/>
      <c r="AH26" s="2829"/>
      <c r="AI26" s="2829"/>
      <c r="AJ26" s="2829"/>
      <c r="AK26" s="2829"/>
      <c r="AL26" s="2829"/>
      <c r="AM26" s="2829"/>
      <c r="AN26" s="2829"/>
      <c r="AO26" s="2829"/>
      <c r="AP26" s="2829"/>
      <c r="AQ26" s="2829"/>
      <c r="AR26" s="2829"/>
      <c r="AS26" s="2829"/>
      <c r="AT26" s="2849"/>
      <c r="AU26" s="2850"/>
      <c r="AV26" s="447">
        <f t="shared" si="37"/>
        <v>0</v>
      </c>
      <c r="AW26" s="447">
        <f t="shared" si="38"/>
        <v>0</v>
      </c>
      <c r="AX26" s="447">
        <f t="shared" si="39"/>
        <v>0</v>
      </c>
      <c r="AY26" s="2866">
        <f t="shared" si="40"/>
        <v>0</v>
      </c>
      <c r="AZ26" s="2797">
        <f t="shared" si="41"/>
        <v>0</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0</v>
      </c>
      <c r="BM26" s="2797">
        <f t="shared" si="54"/>
        <v>0</v>
      </c>
      <c r="BN26" s="2797">
        <f t="shared" si="55"/>
        <v>0</v>
      </c>
      <c r="BO26" s="2797">
        <f t="shared" si="56"/>
        <v>0</v>
      </c>
      <c r="BP26" s="2797">
        <f t="shared" si="57"/>
        <v>0</v>
      </c>
      <c r="BQ26" s="2797">
        <f t="shared" si="58"/>
        <v>0</v>
      </c>
      <c r="BR26" s="2797">
        <f t="shared" si="59"/>
        <v>0</v>
      </c>
      <c r="BS26" s="2797">
        <f t="shared" si="60"/>
        <v>0</v>
      </c>
      <c r="BT26" s="2871">
        <f t="shared" si="61"/>
        <v>0</v>
      </c>
    </row>
    <row r="27" spans="1:72" ht="15.6">
      <c r="A27" s="2794"/>
      <c r="B27" s="2804"/>
      <c r="C27" s="2802"/>
      <c r="D27" s="2803"/>
      <c r="E27" s="2797">
        <f t="shared" si="33"/>
        <v>0</v>
      </c>
      <c r="F27" s="2798"/>
      <c r="G27" s="2799">
        <f t="shared" si="34"/>
        <v>0</v>
      </c>
      <c r="H27" s="2800">
        <f t="shared" si="35"/>
        <v>0</v>
      </c>
      <c r="I27" s="2806"/>
      <c r="J27" s="2818"/>
      <c r="K27" s="2806"/>
      <c r="L27" s="2818"/>
      <c r="M27" s="2818"/>
      <c r="N27" s="2818"/>
      <c r="O27" s="2818"/>
      <c r="P27" s="2818"/>
      <c r="Q27" s="2818"/>
      <c r="R27" s="2818"/>
      <c r="S27" s="2818"/>
      <c r="T27" s="2818"/>
      <c r="U27" s="2818"/>
      <c r="V27" s="2818"/>
      <c r="W27" s="2818"/>
      <c r="X27" s="2818"/>
      <c r="Y27" s="2818"/>
      <c r="Z27" s="2818"/>
      <c r="AA27" s="2818"/>
      <c r="AB27" s="2818"/>
      <c r="AC27" s="2797">
        <f t="shared" si="36"/>
        <v>0</v>
      </c>
      <c r="AD27" s="2829"/>
      <c r="AE27" s="2829"/>
      <c r="AF27" s="2830"/>
      <c r="AG27" s="2829"/>
      <c r="AH27" s="2829"/>
      <c r="AI27" s="2829"/>
      <c r="AJ27" s="2829"/>
      <c r="AK27" s="2829"/>
      <c r="AL27" s="2829"/>
      <c r="AM27" s="2829"/>
      <c r="AN27" s="2829"/>
      <c r="AO27" s="2829"/>
      <c r="AP27" s="2829"/>
      <c r="AQ27" s="2829"/>
      <c r="AR27" s="2829"/>
      <c r="AS27" s="2829"/>
      <c r="AT27" s="2849"/>
      <c r="AU27" s="2850"/>
      <c r="AV27" s="447">
        <f t="shared" si="37"/>
        <v>0</v>
      </c>
      <c r="AW27" s="447">
        <f t="shared" si="38"/>
        <v>0</v>
      </c>
      <c r="AX27" s="447">
        <f t="shared" si="39"/>
        <v>0</v>
      </c>
      <c r="AY27" s="2866">
        <f t="shared" si="40"/>
        <v>0</v>
      </c>
      <c r="AZ27" s="2797">
        <f t="shared" si="41"/>
        <v>0</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0</v>
      </c>
      <c r="BM27" s="2797">
        <f t="shared" si="54"/>
        <v>0</v>
      </c>
      <c r="BN27" s="2797">
        <f t="shared" si="55"/>
        <v>0</v>
      </c>
      <c r="BO27" s="2797">
        <f t="shared" si="56"/>
        <v>0</v>
      </c>
      <c r="BP27" s="2797">
        <f t="shared" si="57"/>
        <v>0</v>
      </c>
      <c r="BQ27" s="2797">
        <f t="shared" si="58"/>
        <v>0</v>
      </c>
      <c r="BR27" s="2797">
        <f t="shared" si="59"/>
        <v>0</v>
      </c>
      <c r="BS27" s="2797">
        <f t="shared" si="60"/>
        <v>0</v>
      </c>
      <c r="BT27" s="2871">
        <f t="shared" si="61"/>
        <v>0</v>
      </c>
    </row>
    <row r="28" spans="1:72" ht="15.6">
      <c r="A28" s="2794"/>
      <c r="B28" s="2804"/>
      <c r="C28" s="2802"/>
      <c r="D28" s="2803"/>
      <c r="E28" s="2797">
        <f t="shared" si="33"/>
        <v>0</v>
      </c>
      <c r="F28" s="2798"/>
      <c r="G28" s="2799">
        <f t="shared" si="34"/>
        <v>0</v>
      </c>
      <c r="H28" s="2800">
        <f t="shared" si="35"/>
        <v>0</v>
      </c>
      <c r="I28" s="2806"/>
      <c r="J28" s="2818"/>
      <c r="K28" s="2806"/>
      <c r="L28" s="2818"/>
      <c r="M28" s="2818"/>
      <c r="N28" s="2818"/>
      <c r="O28" s="2818"/>
      <c r="P28" s="2818"/>
      <c r="Q28" s="2818"/>
      <c r="R28" s="2818"/>
      <c r="S28" s="2818"/>
      <c r="T28" s="2818"/>
      <c r="U28" s="2818"/>
      <c r="V28" s="2818"/>
      <c r="W28" s="2818"/>
      <c r="X28" s="2818"/>
      <c r="Y28" s="2818"/>
      <c r="Z28" s="2818"/>
      <c r="AA28" s="2818"/>
      <c r="AB28" s="2818"/>
      <c r="AC28" s="2797">
        <f t="shared" si="36"/>
        <v>0</v>
      </c>
      <c r="AD28" s="2829"/>
      <c r="AE28" s="2829"/>
      <c r="AF28" s="2806"/>
      <c r="AG28" s="2829"/>
      <c r="AH28" s="2829"/>
      <c r="AI28" s="2829"/>
      <c r="AJ28" s="2829"/>
      <c r="AK28" s="2829"/>
      <c r="AL28" s="2829"/>
      <c r="AM28" s="2829"/>
      <c r="AN28" s="2829"/>
      <c r="AO28" s="2829"/>
      <c r="AP28" s="2829"/>
      <c r="AQ28" s="2829"/>
      <c r="AR28" s="2829"/>
      <c r="AS28" s="2829"/>
      <c r="AT28" s="2849"/>
      <c r="AU28" s="2850"/>
      <c r="AV28" s="447">
        <f t="shared" si="37"/>
        <v>0</v>
      </c>
      <c r="AW28" s="447">
        <f t="shared" si="38"/>
        <v>0</v>
      </c>
      <c r="AX28" s="447">
        <f t="shared" si="39"/>
        <v>0</v>
      </c>
      <c r="AY28" s="2866">
        <f t="shared" si="40"/>
        <v>0</v>
      </c>
      <c r="AZ28" s="2797">
        <f t="shared" si="41"/>
        <v>0</v>
      </c>
      <c r="BA28" s="2797">
        <f t="shared" si="42"/>
        <v>0</v>
      </c>
      <c r="BB28" s="2797">
        <f t="shared" si="43"/>
        <v>0</v>
      </c>
      <c r="BC28" s="2797">
        <f t="shared" si="44"/>
        <v>0</v>
      </c>
      <c r="BD28" s="2797">
        <f t="shared" si="45"/>
        <v>0</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ht="15.6">
      <c r="A29" s="2794"/>
      <c r="B29" s="2805"/>
      <c r="C29" s="2806"/>
      <c r="D29" s="2803"/>
      <c r="E29" s="2797">
        <f t="shared" si="33"/>
        <v>0</v>
      </c>
      <c r="F29" s="2798"/>
      <c r="G29" s="2799">
        <f t="shared" si="34"/>
        <v>0</v>
      </c>
      <c r="H29" s="2800">
        <f t="shared" si="35"/>
        <v>0</v>
      </c>
      <c r="I29" s="2806"/>
      <c r="J29" s="2818"/>
      <c r="K29" s="2806"/>
      <c r="L29" s="2818"/>
      <c r="M29" s="2818"/>
      <c r="N29" s="2818"/>
      <c r="O29" s="2818"/>
      <c r="P29" s="2818"/>
      <c r="Q29" s="2818"/>
      <c r="R29" s="2818"/>
      <c r="S29" s="2818"/>
      <c r="T29" s="2818"/>
      <c r="U29" s="2818"/>
      <c r="V29" s="2818"/>
      <c r="W29" s="2818"/>
      <c r="X29" s="2818"/>
      <c r="Y29" s="2818"/>
      <c r="Z29" s="2818"/>
      <c r="AA29" s="2818"/>
      <c r="AB29" s="2818"/>
      <c r="AC29" s="2797">
        <f t="shared" si="36"/>
        <v>0</v>
      </c>
      <c r="AD29" s="2829"/>
      <c r="AE29" s="2829"/>
      <c r="AF29" s="2806"/>
      <c r="AG29" s="2829"/>
      <c r="AH29" s="2829"/>
      <c r="AI29" s="2829"/>
      <c r="AJ29" s="2829"/>
      <c r="AK29" s="2829"/>
      <c r="AL29" s="2829"/>
      <c r="AM29" s="2829"/>
      <c r="AN29" s="2829"/>
      <c r="AO29" s="2829"/>
      <c r="AP29" s="2829"/>
      <c r="AQ29" s="2829"/>
      <c r="AR29" s="2829"/>
      <c r="AS29" s="2829"/>
      <c r="AT29" s="2849"/>
      <c r="AU29" s="2850"/>
      <c r="AV29" s="447">
        <f t="shared" si="37"/>
        <v>0</v>
      </c>
      <c r="AW29" s="447">
        <f t="shared" si="38"/>
        <v>0</v>
      </c>
      <c r="AX29" s="447">
        <f t="shared" si="39"/>
        <v>0</v>
      </c>
      <c r="AY29" s="2866">
        <f t="shared" si="40"/>
        <v>0</v>
      </c>
      <c r="AZ29" s="2797">
        <f t="shared" si="41"/>
        <v>0</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0</v>
      </c>
      <c r="BM29" s="2797">
        <f t="shared" si="54"/>
        <v>0</v>
      </c>
      <c r="BN29" s="2797">
        <f t="shared" si="55"/>
        <v>0</v>
      </c>
      <c r="BO29" s="2797">
        <f t="shared" si="56"/>
        <v>0</v>
      </c>
      <c r="BP29" s="2797">
        <f t="shared" si="57"/>
        <v>0</v>
      </c>
      <c r="BQ29" s="2797">
        <f t="shared" si="58"/>
        <v>0</v>
      </c>
      <c r="BR29" s="2797">
        <f t="shared" si="59"/>
        <v>0</v>
      </c>
      <c r="BS29" s="2797">
        <f t="shared" si="60"/>
        <v>0</v>
      </c>
      <c r="BT29" s="2871">
        <f t="shared" si="61"/>
        <v>0</v>
      </c>
    </row>
    <row r="30" spans="1:72" ht="15.6">
      <c r="A30" s="2794"/>
      <c r="B30" s="2804"/>
      <c r="C30" s="2802"/>
      <c r="D30" s="2803"/>
      <c r="E30" s="2797">
        <f t="shared" si="33"/>
        <v>0</v>
      </c>
      <c r="F30" s="2798"/>
      <c r="G30" s="2799">
        <f t="shared" si="34"/>
        <v>0</v>
      </c>
      <c r="H30" s="2800">
        <f t="shared" si="35"/>
        <v>0</v>
      </c>
      <c r="I30" s="2806"/>
      <c r="J30" s="2818"/>
      <c r="K30" s="2806"/>
      <c r="L30" s="2818"/>
      <c r="M30" s="2818"/>
      <c r="N30" s="2818"/>
      <c r="O30" s="2818"/>
      <c r="P30" s="2818"/>
      <c r="Q30" s="2818"/>
      <c r="R30" s="2818"/>
      <c r="S30" s="2818"/>
      <c r="T30" s="2818"/>
      <c r="U30" s="2818"/>
      <c r="V30" s="2818"/>
      <c r="W30" s="2818"/>
      <c r="X30" s="2818"/>
      <c r="Y30" s="2818"/>
      <c r="Z30" s="2818"/>
      <c r="AA30" s="2818"/>
      <c r="AB30" s="2818"/>
      <c r="AC30" s="2797">
        <f t="shared" si="36"/>
        <v>0</v>
      </c>
      <c r="AD30" s="2829"/>
      <c r="AE30" s="2829"/>
      <c r="AF30" s="2806"/>
      <c r="AG30" s="2829"/>
      <c r="AH30" s="2829"/>
      <c r="AI30" s="2829"/>
      <c r="AJ30" s="2829"/>
      <c r="AK30" s="2829"/>
      <c r="AL30" s="2829"/>
      <c r="AM30" s="2829"/>
      <c r="AN30" s="2829"/>
      <c r="AO30" s="2829"/>
      <c r="AP30" s="2829"/>
      <c r="AQ30" s="2829"/>
      <c r="AR30" s="2829"/>
      <c r="AS30" s="2829"/>
      <c r="AT30" s="2849"/>
      <c r="AU30" s="2850"/>
      <c r="AV30" s="447">
        <f t="shared" si="37"/>
        <v>0</v>
      </c>
      <c r="AW30" s="447">
        <f t="shared" si="38"/>
        <v>0</v>
      </c>
      <c r="AX30" s="447">
        <f t="shared" si="39"/>
        <v>0</v>
      </c>
      <c r="AY30" s="2866">
        <f t="shared" si="40"/>
        <v>0</v>
      </c>
      <c r="AZ30" s="2797">
        <f t="shared" si="41"/>
        <v>0</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0</v>
      </c>
      <c r="BM30" s="2797">
        <f t="shared" si="54"/>
        <v>0</v>
      </c>
      <c r="BN30" s="2797">
        <f t="shared" si="55"/>
        <v>0</v>
      </c>
      <c r="BO30" s="2797">
        <f t="shared" si="56"/>
        <v>0</v>
      </c>
      <c r="BP30" s="2797">
        <f t="shared" si="57"/>
        <v>0</v>
      </c>
      <c r="BQ30" s="2797">
        <f t="shared" si="58"/>
        <v>0</v>
      </c>
      <c r="BR30" s="2797">
        <f t="shared" si="59"/>
        <v>0</v>
      </c>
      <c r="BS30" s="2797">
        <f t="shared" si="60"/>
        <v>0</v>
      </c>
      <c r="BT30" s="2871">
        <f t="shared" si="61"/>
        <v>0</v>
      </c>
    </row>
    <row r="31" spans="1:72" ht="15.6">
      <c r="A31" s="2794"/>
      <c r="B31" s="2804"/>
      <c r="C31" s="2802"/>
      <c r="D31" s="2803"/>
      <c r="E31" s="2797">
        <f t="shared" si="33"/>
        <v>0</v>
      </c>
      <c r="F31" s="2798"/>
      <c r="G31" s="2799">
        <f t="shared" si="34"/>
        <v>0</v>
      </c>
      <c r="H31" s="2800">
        <f t="shared" si="35"/>
        <v>0</v>
      </c>
      <c r="I31" s="2806"/>
      <c r="J31" s="2818"/>
      <c r="K31" s="2806"/>
      <c r="L31" s="2818"/>
      <c r="M31" s="2818"/>
      <c r="N31" s="2818"/>
      <c r="O31" s="2818"/>
      <c r="P31" s="2818"/>
      <c r="Q31" s="2818"/>
      <c r="R31" s="2818"/>
      <c r="S31" s="2818"/>
      <c r="T31" s="2818"/>
      <c r="U31" s="2818"/>
      <c r="V31" s="2818"/>
      <c r="W31" s="2818"/>
      <c r="X31" s="2818"/>
      <c r="Y31" s="2818"/>
      <c r="Z31" s="2818"/>
      <c r="AA31" s="2818"/>
      <c r="AB31" s="2818"/>
      <c r="AC31" s="2797">
        <f t="shared" si="36"/>
        <v>0</v>
      </c>
      <c r="AD31" s="2829"/>
      <c r="AE31" s="2829"/>
      <c r="AF31" s="2806"/>
      <c r="AG31" s="2829"/>
      <c r="AH31" s="2829"/>
      <c r="AI31" s="2829"/>
      <c r="AJ31" s="2829"/>
      <c r="AK31" s="2829"/>
      <c r="AL31" s="2829"/>
      <c r="AM31" s="2829"/>
      <c r="AN31" s="2829"/>
      <c r="AO31" s="2829"/>
      <c r="AP31" s="2829"/>
      <c r="AQ31" s="2829"/>
      <c r="AR31" s="2829"/>
      <c r="AS31" s="2829"/>
      <c r="AT31" s="2849"/>
      <c r="AU31" s="2850"/>
      <c r="AV31" s="447">
        <f t="shared" si="37"/>
        <v>0</v>
      </c>
      <c r="AW31" s="447">
        <f t="shared" si="38"/>
        <v>0</v>
      </c>
      <c r="AX31" s="447">
        <f t="shared" si="39"/>
        <v>0</v>
      </c>
      <c r="AY31" s="2866">
        <f t="shared" si="40"/>
        <v>0</v>
      </c>
      <c r="AZ31" s="2797">
        <f t="shared" si="41"/>
        <v>0</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0</v>
      </c>
      <c r="BM31" s="2797">
        <f t="shared" si="54"/>
        <v>0</v>
      </c>
      <c r="BN31" s="2797">
        <f t="shared" si="55"/>
        <v>0</v>
      </c>
      <c r="BO31" s="2797">
        <f t="shared" si="56"/>
        <v>0</v>
      </c>
      <c r="BP31" s="2797">
        <f t="shared" si="57"/>
        <v>0</v>
      </c>
      <c r="BQ31" s="2797">
        <f t="shared" si="58"/>
        <v>0</v>
      </c>
      <c r="BR31" s="2797">
        <f t="shared" si="59"/>
        <v>0</v>
      </c>
      <c r="BS31" s="2797">
        <f t="shared" si="60"/>
        <v>0</v>
      </c>
      <c r="BT31" s="2871">
        <f t="shared" si="61"/>
        <v>0</v>
      </c>
    </row>
    <row r="32" spans="1:72" ht="15.6">
      <c r="A32" s="2794"/>
      <c r="B32" s="2804"/>
      <c r="C32" s="2802"/>
      <c r="D32" s="2803"/>
      <c r="E32" s="2797">
        <f t="shared" si="33"/>
        <v>0</v>
      </c>
      <c r="F32" s="2798"/>
      <c r="G32" s="2799">
        <f t="shared" si="34"/>
        <v>0</v>
      </c>
      <c r="H32" s="2800">
        <f t="shared" si="35"/>
        <v>0</v>
      </c>
      <c r="I32" s="2806"/>
      <c r="J32" s="2818"/>
      <c r="K32" s="2806"/>
      <c r="L32" s="2818"/>
      <c r="M32" s="2818"/>
      <c r="N32" s="2818"/>
      <c r="O32" s="2818"/>
      <c r="P32" s="2818"/>
      <c r="Q32" s="2818"/>
      <c r="R32" s="2818"/>
      <c r="S32" s="2818"/>
      <c r="T32" s="2818"/>
      <c r="U32" s="2818"/>
      <c r="V32" s="2818"/>
      <c r="W32" s="2818"/>
      <c r="X32" s="2818"/>
      <c r="Y32" s="2818"/>
      <c r="Z32" s="2818"/>
      <c r="AA32" s="2818"/>
      <c r="AB32" s="2818"/>
      <c r="AC32" s="2797">
        <f t="shared" si="36"/>
        <v>0</v>
      </c>
      <c r="AD32" s="2829"/>
      <c r="AE32" s="2829"/>
      <c r="AF32" s="2806"/>
      <c r="AG32" s="2829"/>
      <c r="AH32" s="2829"/>
      <c r="AI32" s="2829"/>
      <c r="AJ32" s="2829"/>
      <c r="AK32" s="2829"/>
      <c r="AL32" s="2829"/>
      <c r="AM32" s="2829"/>
      <c r="AN32" s="2829"/>
      <c r="AO32" s="2829"/>
      <c r="AP32" s="2829"/>
      <c r="AQ32" s="2829"/>
      <c r="AR32" s="2829"/>
      <c r="AS32" s="2829"/>
      <c r="AT32" s="2849"/>
      <c r="AU32" s="2850"/>
      <c r="AV32" s="447">
        <f t="shared" si="37"/>
        <v>0</v>
      </c>
      <c r="AW32" s="447">
        <f t="shared" si="38"/>
        <v>0</v>
      </c>
      <c r="AX32" s="447">
        <f t="shared" si="39"/>
        <v>0</v>
      </c>
      <c r="AY32" s="2866">
        <f t="shared" si="40"/>
        <v>0</v>
      </c>
      <c r="AZ32" s="2797">
        <f t="shared" si="41"/>
        <v>0</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0</v>
      </c>
      <c r="BM32" s="2797">
        <f t="shared" si="54"/>
        <v>0</v>
      </c>
      <c r="BN32" s="2797">
        <f t="shared" si="55"/>
        <v>0</v>
      </c>
      <c r="BO32" s="2797">
        <f t="shared" si="56"/>
        <v>0</v>
      </c>
      <c r="BP32" s="2797">
        <f t="shared" si="57"/>
        <v>0</v>
      </c>
      <c r="BQ32" s="2797">
        <f t="shared" si="58"/>
        <v>0</v>
      </c>
      <c r="BR32" s="2797">
        <f t="shared" si="59"/>
        <v>0</v>
      </c>
      <c r="BS32" s="2797">
        <f t="shared" si="60"/>
        <v>0</v>
      </c>
      <c r="BT32" s="2871">
        <f t="shared" si="61"/>
        <v>0</v>
      </c>
    </row>
    <row r="33" spans="1:72" ht="15.6">
      <c r="A33" s="2794"/>
      <c r="B33" s="2804"/>
      <c r="C33" s="2802"/>
      <c r="D33" s="2803"/>
      <c r="E33" s="2797">
        <f t="shared" si="33"/>
        <v>0</v>
      </c>
      <c r="F33" s="2798"/>
      <c r="G33" s="2799">
        <f t="shared" si="34"/>
        <v>0</v>
      </c>
      <c r="H33" s="2800">
        <f t="shared" si="35"/>
        <v>0</v>
      </c>
      <c r="I33" s="2806"/>
      <c r="J33" s="2818"/>
      <c r="K33" s="2806"/>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6"/>
      <c r="AG33" s="2829"/>
      <c r="AH33" s="2829"/>
      <c r="AI33" s="2829"/>
      <c r="AJ33" s="2829"/>
      <c r="AK33" s="2829"/>
      <c r="AL33" s="2829"/>
      <c r="AM33" s="2829"/>
      <c r="AN33" s="2829"/>
      <c r="AO33" s="2829"/>
      <c r="AP33" s="2829"/>
      <c r="AQ33" s="2829"/>
      <c r="AR33" s="2829"/>
      <c r="AS33" s="2829"/>
      <c r="AT33" s="2849"/>
      <c r="AU33" s="2850"/>
      <c r="AV33" s="447">
        <f t="shared" si="37"/>
        <v>0</v>
      </c>
      <c r="AW33" s="447">
        <f t="shared" si="38"/>
        <v>0</v>
      </c>
      <c r="AX33" s="447">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ht="15.6">
      <c r="A34" s="2794"/>
      <c r="B34" s="2804"/>
      <c r="C34" s="2802"/>
      <c r="D34" s="2803"/>
      <c r="E34" s="2797">
        <f t="shared" si="33"/>
        <v>0</v>
      </c>
      <c r="F34" s="2798"/>
      <c r="G34" s="2799">
        <f t="shared" si="34"/>
        <v>0</v>
      </c>
      <c r="H34" s="2800">
        <f t="shared" si="35"/>
        <v>0</v>
      </c>
      <c r="I34" s="2806"/>
      <c r="J34" s="2818"/>
      <c r="K34" s="2806"/>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6"/>
      <c r="AG34" s="2829"/>
      <c r="AH34" s="2829"/>
      <c r="AI34" s="2829"/>
      <c r="AJ34" s="2829"/>
      <c r="AK34" s="2829"/>
      <c r="AL34" s="2829"/>
      <c r="AM34" s="2829"/>
      <c r="AN34" s="2829"/>
      <c r="AO34" s="2829"/>
      <c r="AP34" s="2829"/>
      <c r="AQ34" s="2829"/>
      <c r="AR34" s="2829"/>
      <c r="AS34" s="2829"/>
      <c r="AT34" s="2849"/>
      <c r="AU34" s="2850"/>
      <c r="AV34" s="447">
        <f t="shared" si="37"/>
        <v>0</v>
      </c>
      <c r="AW34" s="447">
        <f t="shared" si="38"/>
        <v>0</v>
      </c>
      <c r="AX34" s="447">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ht="15.6">
      <c r="A35" s="2794"/>
      <c r="B35" s="2804"/>
      <c r="C35" s="2802"/>
      <c r="D35" s="2803"/>
      <c r="E35" s="2797">
        <f t="shared" si="33"/>
        <v>0</v>
      </c>
      <c r="F35" s="2798"/>
      <c r="G35" s="2799">
        <f t="shared" si="34"/>
        <v>0</v>
      </c>
      <c r="H35" s="2800">
        <f t="shared" si="35"/>
        <v>0</v>
      </c>
      <c r="I35" s="2806"/>
      <c r="J35" s="2818"/>
      <c r="K35" s="2806"/>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6"/>
      <c r="AG35" s="2829"/>
      <c r="AH35" s="2829"/>
      <c r="AI35" s="2829"/>
      <c r="AJ35" s="2829"/>
      <c r="AK35" s="2829"/>
      <c r="AL35" s="2829"/>
      <c r="AM35" s="2829"/>
      <c r="AN35" s="2829"/>
      <c r="AO35" s="2829"/>
      <c r="AP35" s="2829"/>
      <c r="AQ35" s="2829"/>
      <c r="AR35" s="2829"/>
      <c r="AS35" s="2829"/>
      <c r="AT35" s="2849"/>
      <c r="AU35" s="2850"/>
      <c r="AV35" s="447">
        <f t="shared" si="37"/>
        <v>0</v>
      </c>
      <c r="AW35" s="447">
        <f t="shared" si="38"/>
        <v>0</v>
      </c>
      <c r="AX35" s="447">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ht="15.6">
      <c r="A36" s="2794"/>
      <c r="B36" s="2804"/>
      <c r="C36" s="2802"/>
      <c r="D36" s="2803"/>
      <c r="E36" s="2797">
        <f t="shared" si="33"/>
        <v>0</v>
      </c>
      <c r="F36" s="2798"/>
      <c r="G36" s="2799">
        <f t="shared" si="34"/>
        <v>0</v>
      </c>
      <c r="H36" s="2800">
        <f t="shared" si="35"/>
        <v>0</v>
      </c>
      <c r="I36" s="2806"/>
      <c r="J36" s="2818"/>
      <c r="K36" s="2806"/>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6"/>
      <c r="AG36" s="2829"/>
      <c r="AH36" s="2829"/>
      <c r="AI36" s="2829"/>
      <c r="AJ36" s="2829"/>
      <c r="AK36" s="2829"/>
      <c r="AL36" s="2829"/>
      <c r="AM36" s="2829"/>
      <c r="AN36" s="2829"/>
      <c r="AO36" s="2829"/>
      <c r="AP36" s="2829"/>
      <c r="AQ36" s="2829"/>
      <c r="AR36" s="2829"/>
      <c r="AS36" s="2829"/>
      <c r="AT36" s="2849"/>
      <c r="AU36" s="2850"/>
      <c r="AV36" s="447">
        <f t="shared" si="37"/>
        <v>0</v>
      </c>
      <c r="AW36" s="447">
        <f t="shared" si="38"/>
        <v>0</v>
      </c>
      <c r="AX36" s="447">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ht="15.6">
      <c r="A37" s="2794"/>
      <c r="B37" s="2804"/>
      <c r="C37" s="2802"/>
      <c r="D37" s="2803"/>
      <c r="E37" s="2797">
        <f t="shared" si="33"/>
        <v>0</v>
      </c>
      <c r="F37" s="2798"/>
      <c r="G37" s="2799">
        <f t="shared" si="34"/>
        <v>0</v>
      </c>
      <c r="H37" s="2800">
        <f t="shared" si="35"/>
        <v>0</v>
      </c>
      <c r="I37" s="2806"/>
      <c r="J37" s="2818"/>
      <c r="K37" s="2806"/>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6"/>
      <c r="AG37" s="2829"/>
      <c r="AH37" s="2829"/>
      <c r="AI37" s="2829"/>
      <c r="AJ37" s="2829"/>
      <c r="AK37" s="2829"/>
      <c r="AL37" s="2829"/>
      <c r="AM37" s="2829"/>
      <c r="AN37" s="2829"/>
      <c r="AO37" s="2829"/>
      <c r="AP37" s="2829"/>
      <c r="AQ37" s="2829"/>
      <c r="AR37" s="2829"/>
      <c r="AS37" s="2829"/>
      <c r="AT37" s="2849"/>
      <c r="AU37" s="2850"/>
      <c r="AV37" s="447">
        <f t="shared" si="37"/>
        <v>0</v>
      </c>
      <c r="AW37" s="447">
        <f t="shared" si="38"/>
        <v>0</v>
      </c>
      <c r="AX37" s="447">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ht="15.6">
      <c r="A38" s="2794"/>
      <c r="B38" s="2804"/>
      <c r="C38" s="2802"/>
      <c r="D38" s="2803"/>
      <c r="E38" s="2797">
        <f t="shared" si="33"/>
        <v>0</v>
      </c>
      <c r="F38" s="2798"/>
      <c r="G38" s="2799">
        <f t="shared" si="34"/>
        <v>0</v>
      </c>
      <c r="H38" s="2800">
        <f t="shared" si="35"/>
        <v>0</v>
      </c>
      <c r="I38" s="2806"/>
      <c r="J38" s="2818"/>
      <c r="K38" s="2806"/>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6"/>
      <c r="AG38" s="2829"/>
      <c r="AH38" s="2829"/>
      <c r="AI38" s="2829"/>
      <c r="AJ38" s="2829"/>
      <c r="AK38" s="2829"/>
      <c r="AL38" s="2829"/>
      <c r="AM38" s="2829"/>
      <c r="AN38" s="2829"/>
      <c r="AO38" s="2829"/>
      <c r="AP38" s="2829"/>
      <c r="AQ38" s="2829"/>
      <c r="AR38" s="2829"/>
      <c r="AS38" s="2829"/>
      <c r="AT38" s="2849"/>
      <c r="AU38" s="2850"/>
      <c r="AV38" s="447">
        <f t="shared" si="37"/>
        <v>0</v>
      </c>
      <c r="AW38" s="447">
        <f t="shared" si="38"/>
        <v>0</v>
      </c>
      <c r="AX38" s="447">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ht="15.6">
      <c r="A39" s="2794"/>
      <c r="B39" s="2804"/>
      <c r="C39" s="2802"/>
      <c r="D39" s="2803"/>
      <c r="E39" s="2797">
        <f t="shared" si="33"/>
        <v>0</v>
      </c>
      <c r="F39" s="2798"/>
      <c r="G39" s="2799">
        <f t="shared" si="34"/>
        <v>0</v>
      </c>
      <c r="H39" s="2800">
        <f t="shared" si="35"/>
        <v>0</v>
      </c>
      <c r="I39" s="2806"/>
      <c r="J39" s="2818"/>
      <c r="K39" s="2806"/>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6"/>
      <c r="AG39" s="2829"/>
      <c r="AH39" s="2829"/>
      <c r="AI39" s="2829"/>
      <c r="AJ39" s="2829"/>
      <c r="AK39" s="2829"/>
      <c r="AL39" s="2829"/>
      <c r="AM39" s="2829"/>
      <c r="AN39" s="2829"/>
      <c r="AO39" s="2829"/>
      <c r="AP39" s="2829"/>
      <c r="AQ39" s="2829"/>
      <c r="AR39" s="2829"/>
      <c r="AS39" s="2829"/>
      <c r="AT39" s="2849"/>
      <c r="AU39" s="2850"/>
      <c r="AV39" s="447">
        <f t="shared" si="37"/>
        <v>0</v>
      </c>
      <c r="AW39" s="447">
        <f t="shared" si="38"/>
        <v>0</v>
      </c>
      <c r="AX39" s="447">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ht="15.6">
      <c r="A40" s="2794"/>
      <c r="B40" s="2804"/>
      <c r="C40" s="2802"/>
      <c r="D40" s="2803"/>
      <c r="E40" s="2797">
        <f t="shared" si="33"/>
        <v>0</v>
      </c>
      <c r="F40" s="2798"/>
      <c r="G40" s="2799">
        <f t="shared" si="34"/>
        <v>0</v>
      </c>
      <c r="H40" s="2800">
        <f t="shared" si="35"/>
        <v>0</v>
      </c>
      <c r="I40" s="2806"/>
      <c r="J40" s="2818"/>
      <c r="K40" s="2806"/>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6"/>
      <c r="AG40" s="2829"/>
      <c r="AH40" s="2829"/>
      <c r="AI40" s="2829"/>
      <c r="AJ40" s="2829"/>
      <c r="AK40" s="2829"/>
      <c r="AL40" s="2829"/>
      <c r="AM40" s="2829"/>
      <c r="AN40" s="2829"/>
      <c r="AO40" s="2829"/>
      <c r="AP40" s="2829"/>
      <c r="AQ40" s="2829"/>
      <c r="AR40" s="2829"/>
      <c r="AS40" s="2829"/>
      <c r="AT40" s="2849"/>
      <c r="AU40" s="2850"/>
      <c r="AV40" s="447">
        <f t="shared" si="37"/>
        <v>0</v>
      </c>
      <c r="AW40" s="447">
        <f t="shared" si="38"/>
        <v>0</v>
      </c>
      <c r="AX40" s="447">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ht="15.6">
      <c r="A41" s="2794"/>
      <c r="B41" s="2804"/>
      <c r="C41" s="2802"/>
      <c r="D41" s="2803"/>
      <c r="E41" s="2797">
        <f t="shared" si="33"/>
        <v>0</v>
      </c>
      <c r="F41" s="2798"/>
      <c r="G41" s="2799">
        <f t="shared" si="34"/>
        <v>0</v>
      </c>
      <c r="H41" s="2800">
        <f t="shared" si="35"/>
        <v>0</v>
      </c>
      <c r="I41" s="2806"/>
      <c r="J41" s="2818"/>
      <c r="K41" s="2806"/>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6"/>
      <c r="AG41" s="2829"/>
      <c r="AH41" s="2829"/>
      <c r="AI41" s="2829"/>
      <c r="AJ41" s="2829"/>
      <c r="AK41" s="2829"/>
      <c r="AL41" s="2829"/>
      <c r="AM41" s="2829"/>
      <c r="AN41" s="2829"/>
      <c r="AO41" s="2829"/>
      <c r="AP41" s="2829"/>
      <c r="AQ41" s="2829"/>
      <c r="AR41" s="2829"/>
      <c r="AS41" s="2829"/>
      <c r="AT41" s="2849"/>
      <c r="AU41" s="2850"/>
      <c r="AV41" s="447">
        <f t="shared" si="37"/>
        <v>0</v>
      </c>
      <c r="AW41" s="447">
        <f t="shared" si="38"/>
        <v>0</v>
      </c>
      <c r="AX41" s="447">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ht="15.6">
      <c r="A42" s="2794"/>
      <c r="B42" s="2804"/>
      <c r="C42" s="2802"/>
      <c r="D42" s="2803"/>
      <c r="E42" s="2797">
        <f t="shared" si="33"/>
        <v>0</v>
      </c>
      <c r="F42" s="2798"/>
      <c r="G42" s="2799">
        <f t="shared" si="34"/>
        <v>0</v>
      </c>
      <c r="H42" s="2800">
        <f t="shared" si="35"/>
        <v>0</v>
      </c>
      <c r="I42" s="2806"/>
      <c r="J42" s="2818"/>
      <c r="K42" s="2806"/>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6"/>
      <c r="AG42" s="2829"/>
      <c r="AH42" s="2829"/>
      <c r="AI42" s="2829"/>
      <c r="AJ42" s="2829"/>
      <c r="AK42" s="2829"/>
      <c r="AL42" s="2829"/>
      <c r="AM42" s="2829"/>
      <c r="AN42" s="2829"/>
      <c r="AO42" s="2829"/>
      <c r="AP42" s="2829"/>
      <c r="AQ42" s="2829"/>
      <c r="AR42" s="2829"/>
      <c r="AS42" s="2829"/>
      <c r="AT42" s="2849"/>
      <c r="AU42" s="2850"/>
      <c r="AV42" s="447">
        <f t="shared" si="37"/>
        <v>0</v>
      </c>
      <c r="AW42" s="447">
        <f t="shared" si="38"/>
        <v>0</v>
      </c>
      <c r="AX42" s="447">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ht="15.6">
      <c r="A43" s="2794"/>
      <c r="B43" s="2804"/>
      <c r="C43" s="2802"/>
      <c r="D43" s="2803"/>
      <c r="E43" s="2797">
        <f t="shared" si="33"/>
        <v>0</v>
      </c>
      <c r="F43" s="2798"/>
      <c r="G43" s="2799">
        <f t="shared" si="34"/>
        <v>0</v>
      </c>
      <c r="H43" s="2800">
        <f t="shared" si="35"/>
        <v>0</v>
      </c>
      <c r="I43" s="2806"/>
      <c r="J43" s="2818"/>
      <c r="K43" s="2806"/>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6"/>
      <c r="AG43" s="2829"/>
      <c r="AH43" s="2829"/>
      <c r="AI43" s="2829"/>
      <c r="AJ43" s="2829"/>
      <c r="AK43" s="2829"/>
      <c r="AL43" s="2829"/>
      <c r="AM43" s="2829"/>
      <c r="AN43" s="2829"/>
      <c r="AO43" s="2829"/>
      <c r="AP43" s="2829"/>
      <c r="AQ43" s="2829"/>
      <c r="AR43" s="2829"/>
      <c r="AS43" s="2829"/>
      <c r="AT43" s="2849"/>
      <c r="AU43" s="2850"/>
      <c r="AV43" s="447">
        <f t="shared" si="37"/>
        <v>0</v>
      </c>
      <c r="AW43" s="447">
        <f t="shared" si="38"/>
        <v>0</v>
      </c>
      <c r="AX43" s="447">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ht="15.6">
      <c r="A44" s="2794"/>
      <c r="B44" s="2804"/>
      <c r="C44" s="2802"/>
      <c r="D44" s="2803"/>
      <c r="E44" s="2797">
        <f t="shared" si="33"/>
        <v>0</v>
      </c>
      <c r="F44" s="2798"/>
      <c r="G44" s="2799">
        <f t="shared" si="34"/>
        <v>0</v>
      </c>
      <c r="H44" s="2800">
        <f t="shared" si="35"/>
        <v>0</v>
      </c>
      <c r="I44" s="2806"/>
      <c r="J44" s="2818"/>
      <c r="K44" s="2806"/>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6"/>
      <c r="AG44" s="2829"/>
      <c r="AH44" s="2829"/>
      <c r="AI44" s="2829"/>
      <c r="AJ44" s="2829"/>
      <c r="AK44" s="2829"/>
      <c r="AL44" s="2829"/>
      <c r="AM44" s="2829"/>
      <c r="AN44" s="2829"/>
      <c r="AO44" s="2829"/>
      <c r="AP44" s="2829"/>
      <c r="AQ44" s="2829"/>
      <c r="AR44" s="2829"/>
      <c r="AS44" s="2829"/>
      <c r="AT44" s="2849"/>
      <c r="AU44" s="2850"/>
      <c r="AV44" s="447">
        <f t="shared" si="37"/>
        <v>0</v>
      </c>
      <c r="AW44" s="447">
        <f t="shared" si="38"/>
        <v>0</v>
      </c>
      <c r="AX44" s="447">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ht="15.6">
      <c r="A45" s="2794"/>
      <c r="B45" s="2804"/>
      <c r="C45" s="2802"/>
      <c r="D45" s="2803"/>
      <c r="E45" s="2797">
        <f t="shared" si="33"/>
        <v>0</v>
      </c>
      <c r="F45" s="2798"/>
      <c r="G45" s="2799">
        <f t="shared" si="34"/>
        <v>0</v>
      </c>
      <c r="H45" s="2800">
        <f t="shared" si="35"/>
        <v>0</v>
      </c>
      <c r="I45" s="2806"/>
      <c r="J45" s="2818"/>
      <c r="K45" s="2806"/>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6"/>
      <c r="AG45" s="2829"/>
      <c r="AH45" s="2829"/>
      <c r="AI45" s="2829"/>
      <c r="AJ45" s="2829"/>
      <c r="AK45" s="2829"/>
      <c r="AL45" s="2829"/>
      <c r="AM45" s="2829"/>
      <c r="AN45" s="2829"/>
      <c r="AO45" s="2829"/>
      <c r="AP45" s="2829"/>
      <c r="AQ45" s="2829"/>
      <c r="AR45" s="2829"/>
      <c r="AS45" s="2829"/>
      <c r="AT45" s="2849"/>
      <c r="AU45" s="2850"/>
      <c r="AV45" s="447">
        <f t="shared" si="37"/>
        <v>0</v>
      </c>
      <c r="AW45" s="447">
        <f t="shared" si="38"/>
        <v>0</v>
      </c>
      <c r="AX45" s="447">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ht="15.6">
      <c r="A46" s="2794"/>
      <c r="B46" s="2804"/>
      <c r="C46" s="2802"/>
      <c r="D46" s="2803"/>
      <c r="E46" s="2797">
        <f t="shared" si="33"/>
        <v>0</v>
      </c>
      <c r="F46" s="2798"/>
      <c r="G46" s="2799">
        <f t="shared" si="34"/>
        <v>0</v>
      </c>
      <c r="H46" s="2800">
        <f t="shared" si="35"/>
        <v>0</v>
      </c>
      <c r="I46" s="2806"/>
      <c r="J46" s="2818"/>
      <c r="K46" s="2806"/>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6"/>
      <c r="AG46" s="2829"/>
      <c r="AH46" s="2829"/>
      <c r="AI46" s="2829"/>
      <c r="AJ46" s="2829"/>
      <c r="AK46" s="2829"/>
      <c r="AL46" s="2829"/>
      <c r="AM46" s="2829"/>
      <c r="AN46" s="2829"/>
      <c r="AO46" s="2829"/>
      <c r="AP46" s="2829"/>
      <c r="AQ46" s="2829"/>
      <c r="AR46" s="2829"/>
      <c r="AS46" s="2829"/>
      <c r="AT46" s="2849"/>
      <c r="AU46" s="2850"/>
      <c r="AV46" s="447">
        <f t="shared" si="37"/>
        <v>0</v>
      </c>
      <c r="AW46" s="447">
        <f t="shared" si="38"/>
        <v>0</v>
      </c>
      <c r="AX46" s="447">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ht="15.6">
      <c r="A47" s="2794"/>
      <c r="B47" s="2804"/>
      <c r="C47" s="2802"/>
      <c r="D47" s="2803"/>
      <c r="E47" s="2797">
        <f t="shared" si="33"/>
        <v>0</v>
      </c>
      <c r="F47" s="2798"/>
      <c r="G47" s="2799">
        <f t="shared" si="34"/>
        <v>0</v>
      </c>
      <c r="H47" s="2800">
        <f t="shared" si="35"/>
        <v>0</v>
      </c>
      <c r="I47" s="2806"/>
      <c r="J47" s="2818"/>
      <c r="K47" s="2806"/>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447">
        <f t="shared" si="37"/>
        <v>0</v>
      </c>
      <c r="AW47" s="447">
        <f t="shared" si="38"/>
        <v>0</v>
      </c>
      <c r="AX47" s="447">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ht="15.6">
      <c r="A48" s="2794"/>
      <c r="B48" s="2804"/>
      <c r="C48" s="2802"/>
      <c r="D48" s="2803"/>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447">
        <f t="shared" si="37"/>
        <v>0</v>
      </c>
      <c r="AW48" s="447">
        <f t="shared" si="38"/>
        <v>0</v>
      </c>
      <c r="AX48" s="447">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ht="15.6">
      <c r="A49" s="2794"/>
      <c r="B49" s="2804"/>
      <c r="C49" s="2802"/>
      <c r="D49" s="2803"/>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447">
        <f t="shared" si="37"/>
        <v>0</v>
      </c>
      <c r="AW49" s="447">
        <f t="shared" si="38"/>
        <v>0</v>
      </c>
      <c r="AX49" s="447">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ht="15.6">
      <c r="A50" s="2794"/>
      <c r="B50" s="2804"/>
      <c r="C50" s="2802"/>
      <c r="D50" s="2803"/>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447">
        <f t="shared" si="37"/>
        <v>0</v>
      </c>
      <c r="AW50" s="447">
        <f t="shared" si="38"/>
        <v>0</v>
      </c>
      <c r="AX50" s="447">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ht="15.6">
      <c r="A51" s="2794"/>
      <c r="B51" s="2804"/>
      <c r="C51" s="2802"/>
      <c r="D51" s="2803"/>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447">
        <f t="shared" si="37"/>
        <v>0</v>
      </c>
      <c r="AW51" s="447">
        <f t="shared" si="38"/>
        <v>0</v>
      </c>
      <c r="AX51" s="447">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ht="15.6">
      <c r="A52" s="2794"/>
      <c r="B52" s="2804"/>
      <c r="C52" s="2802"/>
      <c r="D52" s="2803"/>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447">
        <f t="shared" si="37"/>
        <v>0</v>
      </c>
      <c r="AW52" s="447">
        <f t="shared" si="38"/>
        <v>0</v>
      </c>
      <c r="AX52" s="447">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ht="15.6">
      <c r="A53" s="2794"/>
      <c r="B53" s="2804"/>
      <c r="C53" s="2802"/>
      <c r="D53" s="2803"/>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447">
        <f t="shared" si="37"/>
        <v>0</v>
      </c>
      <c r="AW53" s="447">
        <f t="shared" si="38"/>
        <v>0</v>
      </c>
      <c r="AX53" s="447">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ht="15.6">
      <c r="A54" s="2794"/>
      <c r="B54" s="2804"/>
      <c r="C54" s="2802"/>
      <c r="D54" s="2803"/>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447">
        <f t="shared" si="37"/>
        <v>0</v>
      </c>
      <c r="AW54" s="447">
        <f t="shared" si="38"/>
        <v>0</v>
      </c>
      <c r="AX54" s="447">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ht="15.6">
      <c r="A55" s="2794"/>
      <c r="B55" s="2805"/>
      <c r="C55" s="2806"/>
      <c r="D55" s="2803"/>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447">
        <f t="shared" si="37"/>
        <v>0</v>
      </c>
      <c r="AW55" s="447">
        <f t="shared" si="38"/>
        <v>0</v>
      </c>
      <c r="AX55" s="447">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447">
        <f t="shared" si="37"/>
        <v>0</v>
      </c>
      <c r="AW56" s="447">
        <f t="shared" si="38"/>
        <v>0</v>
      </c>
      <c r="AX56" s="447">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447">
        <f t="shared" si="37"/>
        <v>0</v>
      </c>
      <c r="AW57" s="447">
        <f t="shared" si="38"/>
        <v>0</v>
      </c>
      <c r="AX57" s="447">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447">
        <f t="shared" si="37"/>
        <v>0</v>
      </c>
      <c r="AW58" s="447">
        <f t="shared" si="38"/>
        <v>0</v>
      </c>
      <c r="AX58" s="447">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447">
        <f t="shared" si="37"/>
        <v>0</v>
      </c>
      <c r="AW59" s="447">
        <f t="shared" si="38"/>
        <v>0</v>
      </c>
      <c r="AX59" s="447">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447">
        <f t="shared" si="37"/>
        <v>0</v>
      </c>
      <c r="AW60" s="447">
        <f t="shared" si="38"/>
        <v>0</v>
      </c>
      <c r="AX60" s="447">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447">
        <f t="shared" si="37"/>
        <v>0</v>
      </c>
      <c r="AW61" s="447">
        <f t="shared" si="38"/>
        <v>0</v>
      </c>
      <c r="AX61" s="447">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447">
        <f t="shared" si="37"/>
        <v>0</v>
      </c>
      <c r="AW62" s="447">
        <f t="shared" si="38"/>
        <v>0</v>
      </c>
      <c r="AX62" s="447">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447">
        <f t="shared" si="37"/>
        <v>0</v>
      </c>
      <c r="AW63" s="447">
        <f t="shared" si="38"/>
        <v>0</v>
      </c>
      <c r="AX63" s="447">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447">
        <f t="shared" si="37"/>
        <v>0</v>
      </c>
      <c r="AW64" s="447">
        <f t="shared" si="38"/>
        <v>0</v>
      </c>
      <c r="AX64" s="447">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447">
        <f t="shared" si="37"/>
        <v>0</v>
      </c>
      <c r="AW65" s="447">
        <f t="shared" si="38"/>
        <v>0</v>
      </c>
      <c r="AX65" s="447">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447">
        <f t="shared" si="37"/>
        <v>0</v>
      </c>
      <c r="AW66" s="447">
        <f t="shared" si="38"/>
        <v>0</v>
      </c>
      <c r="AX66" s="447">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447">
        <f t="shared" si="37"/>
        <v>0</v>
      </c>
      <c r="AW67" s="447">
        <f t="shared" si="38"/>
        <v>0</v>
      </c>
      <c r="AX67" s="447">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447">
        <f t="shared" si="37"/>
        <v>0</v>
      </c>
      <c r="AW68" s="447">
        <f t="shared" si="38"/>
        <v>0</v>
      </c>
      <c r="AX68" s="447">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447">
        <f t="shared" si="37"/>
        <v>0</v>
      </c>
      <c r="AW69" s="447">
        <f t="shared" si="38"/>
        <v>0</v>
      </c>
      <c r="AX69" s="447">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447">
        <f t="shared" si="37"/>
        <v>0</v>
      </c>
      <c r="AW70" s="447">
        <f t="shared" si="38"/>
        <v>0</v>
      </c>
      <c r="AX70" s="447">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447">
        <f t="shared" si="37"/>
        <v>0</v>
      </c>
      <c r="AW71" s="447">
        <f t="shared" si="38"/>
        <v>0</v>
      </c>
      <c r="AX71" s="447">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447">
        <f t="shared" si="37"/>
        <v>0</v>
      </c>
      <c r="AW72" s="447">
        <f t="shared" si="38"/>
        <v>0</v>
      </c>
      <c r="AX72" s="447">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447">
        <f t="shared" si="37"/>
        <v>0</v>
      </c>
      <c r="AW73" s="447">
        <f t="shared" si="38"/>
        <v>0</v>
      </c>
      <c r="AX73" s="447">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447">
        <f t="shared" si="37"/>
        <v>0</v>
      </c>
      <c r="AW74" s="447">
        <f t="shared" si="38"/>
        <v>0</v>
      </c>
      <c r="AX74" s="447">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447">
        <f t="shared" si="37"/>
        <v>0</v>
      </c>
      <c r="AW75" s="447">
        <f t="shared" si="38"/>
        <v>0</v>
      </c>
      <c r="AX75" s="447">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447">
        <f t="shared" si="37"/>
        <v>0</v>
      </c>
      <c r="AW76" s="447">
        <f t="shared" si="38"/>
        <v>0</v>
      </c>
      <c r="AX76" s="447">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447">
        <f t="shared" si="37"/>
        <v>0</v>
      </c>
      <c r="AW77" s="447">
        <f t="shared" si="38"/>
        <v>0</v>
      </c>
      <c r="AX77" s="447">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447">
        <f t="shared" si="37"/>
        <v>0</v>
      </c>
      <c r="AW78" s="447">
        <f t="shared" si="38"/>
        <v>0</v>
      </c>
      <c r="AX78" s="447">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447">
        <f t="shared" si="37"/>
        <v>0</v>
      </c>
      <c r="AW79" s="447">
        <f t="shared" si="38"/>
        <v>0</v>
      </c>
      <c r="AX79" s="447">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447">
        <f t="shared" si="37"/>
        <v>0</v>
      </c>
      <c r="AW80" s="447">
        <f t="shared" si="38"/>
        <v>0</v>
      </c>
      <c r="AX80" s="447">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447">
        <f t="shared" si="37"/>
        <v>0</v>
      </c>
      <c r="AW81" s="447">
        <f t="shared" si="38"/>
        <v>0</v>
      </c>
      <c r="AX81" s="447">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447">
        <f t="shared" si="37"/>
        <v>0</v>
      </c>
      <c r="AW82" s="447">
        <f t="shared" si="38"/>
        <v>0</v>
      </c>
      <c r="AX82" s="447">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447">
        <f t="shared" si="37"/>
        <v>0</v>
      </c>
      <c r="AW83" s="447">
        <f t="shared" si="38"/>
        <v>0</v>
      </c>
      <c r="AX83" s="447">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447">
        <f t="shared" si="37"/>
        <v>0</v>
      </c>
      <c r="AW84" s="447">
        <f t="shared" si="38"/>
        <v>0</v>
      </c>
      <c r="AX84" s="447">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447">
        <f t="shared" si="37"/>
        <v>0</v>
      </c>
      <c r="AW85" s="447">
        <f t="shared" si="38"/>
        <v>0</v>
      </c>
      <c r="AX85" s="447">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447">
        <f t="shared" si="37"/>
        <v>0</v>
      </c>
      <c r="AW86" s="447">
        <f t="shared" si="38"/>
        <v>0</v>
      </c>
      <c r="AX86" s="447">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447">
        <f t="shared" si="37"/>
        <v>0</v>
      </c>
      <c r="AW87" s="447">
        <f t="shared" si="38"/>
        <v>0</v>
      </c>
      <c r="AX87" s="447">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447">
        <f t="shared" si="37"/>
        <v>0</v>
      </c>
      <c r="AW88" s="447">
        <f t="shared" si="38"/>
        <v>0</v>
      </c>
      <c r="AX88" s="447">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447">
        <f t="shared" si="37"/>
        <v>0</v>
      </c>
      <c r="AW89" s="447">
        <f t="shared" si="38"/>
        <v>0</v>
      </c>
      <c r="AX89" s="447">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447">
        <f t="shared" si="37"/>
        <v>0</v>
      </c>
      <c r="AW90" s="447">
        <f t="shared" si="38"/>
        <v>0</v>
      </c>
      <c r="AX90" s="447">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447">
        <f t="shared" si="37"/>
        <v>0</v>
      </c>
      <c r="AW91" s="447">
        <f t="shared" si="38"/>
        <v>0</v>
      </c>
      <c r="AX91" s="447">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447">
        <f t="shared" si="37"/>
        <v>0</v>
      </c>
      <c r="AW92" s="447">
        <f t="shared" si="38"/>
        <v>0</v>
      </c>
      <c r="AX92" s="447">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447">
        <f t="shared" si="37"/>
        <v>0</v>
      </c>
      <c r="AW93" s="447">
        <f t="shared" si="38"/>
        <v>0</v>
      </c>
      <c r="AX93" s="447">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447">
        <f t="shared" si="37"/>
        <v>0</v>
      </c>
      <c r="AW94" s="447">
        <f t="shared" si="38"/>
        <v>0</v>
      </c>
      <c r="AX94" s="447">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447">
        <f t="shared" si="37"/>
        <v>0</v>
      </c>
      <c r="AW95" s="447">
        <f t="shared" si="38"/>
        <v>0</v>
      </c>
      <c r="AX95" s="447">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447">
        <f t="shared" si="37"/>
        <v>0</v>
      </c>
      <c r="AW96" s="447">
        <f t="shared" si="38"/>
        <v>0</v>
      </c>
      <c r="AX96" s="447">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447">
        <f t="shared" si="37"/>
        <v>0</v>
      </c>
      <c r="AW97" s="447">
        <f t="shared" si="38"/>
        <v>0</v>
      </c>
      <c r="AX97" s="447">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447">
        <f t="shared" si="37"/>
        <v>0</v>
      </c>
      <c r="AW98" s="447">
        <f t="shared" si="38"/>
        <v>0</v>
      </c>
      <c r="AX98" s="447">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447">
        <f t="shared" si="37"/>
        <v>0</v>
      </c>
      <c r="AW99" s="447">
        <f t="shared" si="38"/>
        <v>0</v>
      </c>
      <c r="AX99" s="447">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447">
        <f t="shared" si="37"/>
        <v>0</v>
      </c>
      <c r="AW100" s="447">
        <f t="shared" si="38"/>
        <v>0</v>
      </c>
      <c r="AX100" s="447">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447">
        <f t="shared" si="37"/>
        <v>0</v>
      </c>
      <c r="AW101" s="447">
        <f t="shared" si="38"/>
        <v>0</v>
      </c>
      <c r="AX101" s="447">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447">
        <f t="shared" si="37"/>
        <v>0</v>
      </c>
      <c r="AW102" s="447">
        <f t="shared" si="38"/>
        <v>0</v>
      </c>
      <c r="AX102" s="447">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447">
        <f t="shared" si="37"/>
        <v>0</v>
      </c>
      <c r="AW103" s="447">
        <f t="shared" si="38"/>
        <v>0</v>
      </c>
      <c r="AX103" s="447">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447">
        <f t="shared" si="37"/>
        <v>0</v>
      </c>
      <c r="AW104" s="447">
        <f t="shared" si="38"/>
        <v>0</v>
      </c>
      <c r="AX104" s="447">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447">
        <f t="shared" si="37"/>
        <v>0</v>
      </c>
      <c r="AW105" s="447">
        <f t="shared" si="38"/>
        <v>0</v>
      </c>
      <c r="AX105" s="447">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447">
        <f t="shared" si="37"/>
        <v>0</v>
      </c>
      <c r="AW106" s="447">
        <f t="shared" si="38"/>
        <v>0</v>
      </c>
      <c r="AX106" s="447">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447">
        <f t="shared" si="37"/>
        <v>0</v>
      </c>
      <c r="AW107" s="447">
        <f t="shared" si="38"/>
        <v>0</v>
      </c>
      <c r="AX107" s="447">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447">
        <f t="shared" si="37"/>
        <v>0</v>
      </c>
      <c r="AW108" s="447">
        <f t="shared" si="38"/>
        <v>0</v>
      </c>
      <c r="AX108" s="447">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447">
        <f t="shared" si="37"/>
        <v>0</v>
      </c>
      <c r="AW109" s="447">
        <f t="shared" si="38"/>
        <v>0</v>
      </c>
      <c r="AX109" s="447">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447">
        <f t="shared" si="37"/>
        <v>0</v>
      </c>
      <c r="AW110" s="447">
        <f t="shared" si="38"/>
        <v>0</v>
      </c>
      <c r="AX110" s="447">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447">
        <f t="shared" si="37"/>
        <v>0</v>
      </c>
      <c r="AW111" s="447">
        <f t="shared" si="38"/>
        <v>0</v>
      </c>
      <c r="AX111" s="447">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447">
        <f t="shared" si="37"/>
        <v>0</v>
      </c>
      <c r="AW112" s="447">
        <f t="shared" si="38"/>
        <v>0</v>
      </c>
      <c r="AX112" s="447">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ht="15.6">
      <c r="A113" s="2794"/>
      <c r="B113" s="2804"/>
      <c r="C113" s="2802"/>
      <c r="D113" s="2803"/>
      <c r="E113" s="2797">
        <f t="shared" ref="E113:E144" si="87">IF($C$3="是",ROUND($A$3*G113/$B$3,2),ROUND($A$3*(G113-AT113)/$B$3,2))</f>
        <v>0</v>
      </c>
      <c r="F113" s="2798"/>
      <c r="G113" s="2799">
        <f t="shared" si="62"/>
        <v>0</v>
      </c>
      <c r="H113" s="2800">
        <f t="shared" si="63"/>
        <v>0</v>
      </c>
      <c r="I113" s="2806"/>
      <c r="J113" s="2818"/>
      <c r="K113" s="2806"/>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447">
        <f t="shared" ref="AV113:AV144" si="88">A113</f>
        <v>0</v>
      </c>
      <c r="AW113" s="447">
        <f t="shared" ref="AW113:AW144" si="89">B113</f>
        <v>0</v>
      </c>
      <c r="AX113" s="447">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ht="15.6">
      <c r="A114" s="2794"/>
      <c r="B114" s="2804"/>
      <c r="C114" s="2802"/>
      <c r="D114" s="2803"/>
      <c r="E114" s="2797">
        <f t="shared" si="87"/>
        <v>0</v>
      </c>
      <c r="F114" s="2798"/>
      <c r="G114" s="2799">
        <f t="shared" si="62"/>
        <v>0</v>
      </c>
      <c r="H114" s="2800">
        <f t="shared" si="63"/>
        <v>0</v>
      </c>
      <c r="I114" s="2806"/>
      <c r="J114" s="2818"/>
      <c r="K114" s="2806"/>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447">
        <f t="shared" si="88"/>
        <v>0</v>
      </c>
      <c r="AW114" s="447">
        <f t="shared" si="89"/>
        <v>0</v>
      </c>
      <c r="AX114" s="447">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ht="15.6">
      <c r="A115" s="2794"/>
      <c r="B115" s="2804"/>
      <c r="C115" s="2802"/>
      <c r="D115" s="2803"/>
      <c r="E115" s="2797">
        <f t="shared" si="87"/>
        <v>0</v>
      </c>
      <c r="F115" s="2798"/>
      <c r="G115" s="2799">
        <f t="shared" si="62"/>
        <v>0</v>
      </c>
      <c r="H115" s="2800">
        <f t="shared" si="63"/>
        <v>0</v>
      </c>
      <c r="I115" s="2806"/>
      <c r="J115" s="2818"/>
      <c r="K115" s="2806"/>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447">
        <f t="shared" si="88"/>
        <v>0</v>
      </c>
      <c r="AW115" s="447">
        <f t="shared" si="89"/>
        <v>0</v>
      </c>
      <c r="AX115" s="447">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ht="15.6">
      <c r="A116" s="2794"/>
      <c r="B116" s="2804"/>
      <c r="C116" s="2802"/>
      <c r="D116" s="2803"/>
      <c r="E116" s="2797">
        <f t="shared" si="87"/>
        <v>0</v>
      </c>
      <c r="F116" s="2798"/>
      <c r="G116" s="2799">
        <f t="shared" si="62"/>
        <v>0</v>
      </c>
      <c r="H116" s="2800">
        <f t="shared" si="63"/>
        <v>0</v>
      </c>
      <c r="I116" s="2806"/>
      <c r="J116" s="2818"/>
      <c r="K116" s="2806"/>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447">
        <f t="shared" si="88"/>
        <v>0</v>
      </c>
      <c r="AW116" s="447">
        <f t="shared" si="89"/>
        <v>0</v>
      </c>
      <c r="AX116" s="447">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ht="15.6">
      <c r="A117" s="2794"/>
      <c r="B117" s="2804"/>
      <c r="C117" s="2802"/>
      <c r="D117" s="2803"/>
      <c r="E117" s="2797">
        <f t="shared" si="87"/>
        <v>0</v>
      </c>
      <c r="F117" s="2798"/>
      <c r="G117" s="2799">
        <f t="shared" si="62"/>
        <v>0</v>
      </c>
      <c r="H117" s="2800">
        <f t="shared" si="63"/>
        <v>0</v>
      </c>
      <c r="I117" s="2806"/>
      <c r="J117" s="2818"/>
      <c r="K117" s="2806"/>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447">
        <f t="shared" si="88"/>
        <v>0</v>
      </c>
      <c r="AW117" s="447">
        <f t="shared" si="89"/>
        <v>0</v>
      </c>
      <c r="AX117" s="447">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ht="15.6">
      <c r="A118" s="2794"/>
      <c r="B118" s="2804"/>
      <c r="C118" s="2802"/>
      <c r="D118" s="2803"/>
      <c r="E118" s="2797">
        <f t="shared" si="87"/>
        <v>0</v>
      </c>
      <c r="F118" s="2798"/>
      <c r="G118" s="2799">
        <f t="shared" si="62"/>
        <v>0</v>
      </c>
      <c r="H118" s="2800">
        <f t="shared" si="63"/>
        <v>0</v>
      </c>
      <c r="I118" s="2806"/>
      <c r="J118" s="2818"/>
      <c r="K118" s="2806"/>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447">
        <f t="shared" si="88"/>
        <v>0</v>
      </c>
      <c r="AW118" s="447">
        <f t="shared" si="89"/>
        <v>0</v>
      </c>
      <c r="AX118" s="447">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ht="15.6">
      <c r="A119" s="2794"/>
      <c r="B119" s="2804"/>
      <c r="C119" s="2802"/>
      <c r="D119" s="2803"/>
      <c r="E119" s="2797">
        <f t="shared" si="87"/>
        <v>0</v>
      </c>
      <c r="F119" s="2798"/>
      <c r="G119" s="2799">
        <f t="shared" si="62"/>
        <v>0</v>
      </c>
      <c r="H119" s="2800">
        <f t="shared" si="63"/>
        <v>0</v>
      </c>
      <c r="I119" s="2806"/>
      <c r="J119" s="2818"/>
      <c r="K119" s="2806"/>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447">
        <f t="shared" si="88"/>
        <v>0</v>
      </c>
      <c r="AW119" s="447">
        <f t="shared" si="89"/>
        <v>0</v>
      </c>
      <c r="AX119" s="447">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ht="15.6">
      <c r="A120" s="2794"/>
      <c r="B120" s="2804"/>
      <c r="C120" s="2802"/>
      <c r="D120" s="2803"/>
      <c r="E120" s="2797">
        <f t="shared" si="87"/>
        <v>0</v>
      </c>
      <c r="F120" s="2798"/>
      <c r="G120" s="2799">
        <f t="shared" si="62"/>
        <v>0</v>
      </c>
      <c r="H120" s="2800">
        <f t="shared" si="63"/>
        <v>0</v>
      </c>
      <c r="I120" s="2806"/>
      <c r="J120" s="2818"/>
      <c r="K120" s="2806"/>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6"/>
      <c r="AG120" s="2829"/>
      <c r="AH120" s="2829"/>
      <c r="AI120" s="2829"/>
      <c r="AJ120" s="2829"/>
      <c r="AK120" s="2829"/>
      <c r="AL120" s="2829"/>
      <c r="AM120" s="2829"/>
      <c r="AN120" s="2829"/>
      <c r="AO120" s="2829"/>
      <c r="AP120" s="2829"/>
      <c r="AQ120" s="2829"/>
      <c r="AR120" s="2829"/>
      <c r="AS120" s="2829"/>
      <c r="AT120" s="2849"/>
      <c r="AU120" s="2850"/>
      <c r="AV120" s="447">
        <f t="shared" si="88"/>
        <v>0</v>
      </c>
      <c r="AW120" s="447">
        <f t="shared" si="89"/>
        <v>0</v>
      </c>
      <c r="AX120" s="447">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ht="15.6">
      <c r="A121" s="2794"/>
      <c r="B121" s="2805"/>
      <c r="C121" s="2806"/>
      <c r="D121" s="2803"/>
      <c r="E121" s="2797">
        <f t="shared" si="87"/>
        <v>0</v>
      </c>
      <c r="F121" s="2798"/>
      <c r="G121" s="2799">
        <f t="shared" si="62"/>
        <v>0</v>
      </c>
      <c r="H121" s="2800">
        <f t="shared" si="63"/>
        <v>0</v>
      </c>
      <c r="I121" s="2806"/>
      <c r="J121" s="2818"/>
      <c r="K121" s="2806"/>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6"/>
      <c r="AG121" s="2829"/>
      <c r="AH121" s="2829"/>
      <c r="AI121" s="2829"/>
      <c r="AJ121" s="2829"/>
      <c r="AK121" s="2829"/>
      <c r="AL121" s="2829"/>
      <c r="AM121" s="2829"/>
      <c r="AN121" s="2829"/>
      <c r="AO121" s="2829"/>
      <c r="AP121" s="2829"/>
      <c r="AQ121" s="2829"/>
      <c r="AR121" s="2829"/>
      <c r="AS121" s="2829"/>
      <c r="AT121" s="2849"/>
      <c r="AU121" s="2850"/>
      <c r="AV121" s="447">
        <f t="shared" si="88"/>
        <v>0</v>
      </c>
      <c r="AW121" s="447">
        <f t="shared" si="89"/>
        <v>0</v>
      </c>
      <c r="AX121" s="447">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ht="15.6">
      <c r="A122" s="2794"/>
      <c r="B122" s="2804"/>
      <c r="C122" s="2802"/>
      <c r="D122" s="2803"/>
      <c r="E122" s="2797">
        <f t="shared" si="87"/>
        <v>0</v>
      </c>
      <c r="F122" s="2798"/>
      <c r="G122" s="2799">
        <f t="shared" si="62"/>
        <v>0</v>
      </c>
      <c r="H122" s="2800">
        <f t="shared" si="63"/>
        <v>0</v>
      </c>
      <c r="I122" s="2806"/>
      <c r="J122" s="2818"/>
      <c r="K122" s="2806"/>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6"/>
      <c r="AG122" s="2829"/>
      <c r="AH122" s="2829"/>
      <c r="AI122" s="2829"/>
      <c r="AJ122" s="2829"/>
      <c r="AK122" s="2829"/>
      <c r="AL122" s="2829"/>
      <c r="AM122" s="2829"/>
      <c r="AN122" s="2829"/>
      <c r="AO122" s="2829"/>
      <c r="AP122" s="2829"/>
      <c r="AQ122" s="2829"/>
      <c r="AR122" s="2829"/>
      <c r="AS122" s="2829"/>
      <c r="AT122" s="2849"/>
      <c r="AU122" s="2850"/>
      <c r="AV122" s="447">
        <f t="shared" si="88"/>
        <v>0</v>
      </c>
      <c r="AW122" s="447">
        <f t="shared" si="89"/>
        <v>0</v>
      </c>
      <c r="AX122" s="447">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ht="15.6">
      <c r="A123" s="2794"/>
      <c r="B123" s="2804"/>
      <c r="C123" s="2802"/>
      <c r="D123" s="2803"/>
      <c r="E123" s="2797">
        <f t="shared" si="87"/>
        <v>0</v>
      </c>
      <c r="F123" s="2798"/>
      <c r="G123" s="2799">
        <f t="shared" si="62"/>
        <v>0</v>
      </c>
      <c r="H123" s="2800">
        <f t="shared" si="63"/>
        <v>0</v>
      </c>
      <c r="I123" s="2806"/>
      <c r="J123" s="2818"/>
      <c r="K123" s="2806"/>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6"/>
      <c r="AG123" s="2829"/>
      <c r="AH123" s="2829"/>
      <c r="AI123" s="2829"/>
      <c r="AJ123" s="2829"/>
      <c r="AK123" s="2829"/>
      <c r="AL123" s="2829"/>
      <c r="AM123" s="2829"/>
      <c r="AN123" s="2829"/>
      <c r="AO123" s="2829"/>
      <c r="AP123" s="2829"/>
      <c r="AQ123" s="2829"/>
      <c r="AR123" s="2829"/>
      <c r="AS123" s="2829"/>
      <c r="AT123" s="2849"/>
      <c r="AU123" s="2850"/>
      <c r="AV123" s="447">
        <f t="shared" si="88"/>
        <v>0</v>
      </c>
      <c r="AW123" s="447">
        <f t="shared" si="89"/>
        <v>0</v>
      </c>
      <c r="AX123" s="447">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ht="15.6">
      <c r="A124" s="2794"/>
      <c r="B124" s="2804"/>
      <c r="C124" s="2802"/>
      <c r="D124" s="2803"/>
      <c r="E124" s="2797">
        <f t="shared" si="87"/>
        <v>0</v>
      </c>
      <c r="F124" s="2798"/>
      <c r="G124" s="2799">
        <f t="shared" si="62"/>
        <v>0</v>
      </c>
      <c r="H124" s="2800">
        <f t="shared" si="63"/>
        <v>0</v>
      </c>
      <c r="I124" s="2806"/>
      <c r="J124" s="2818"/>
      <c r="K124" s="2806"/>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6"/>
      <c r="AG124" s="2829"/>
      <c r="AH124" s="2829"/>
      <c r="AI124" s="2829"/>
      <c r="AJ124" s="2829"/>
      <c r="AK124" s="2829"/>
      <c r="AL124" s="2829"/>
      <c r="AM124" s="2829"/>
      <c r="AN124" s="2829"/>
      <c r="AO124" s="2829"/>
      <c r="AP124" s="2829"/>
      <c r="AQ124" s="2829"/>
      <c r="AR124" s="2829"/>
      <c r="AS124" s="2829"/>
      <c r="AT124" s="2849"/>
      <c r="AU124" s="2850"/>
      <c r="AV124" s="447">
        <f t="shared" si="88"/>
        <v>0</v>
      </c>
      <c r="AW124" s="447">
        <f t="shared" si="89"/>
        <v>0</v>
      </c>
      <c r="AX124" s="447">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ht="15.6">
      <c r="A125" s="2794"/>
      <c r="B125" s="2804"/>
      <c r="C125" s="2802"/>
      <c r="D125" s="2803"/>
      <c r="E125" s="2797">
        <f t="shared" si="87"/>
        <v>0</v>
      </c>
      <c r="F125" s="2798"/>
      <c r="G125" s="2799">
        <f t="shared" si="62"/>
        <v>0</v>
      </c>
      <c r="H125" s="2800">
        <f t="shared" si="63"/>
        <v>0</v>
      </c>
      <c r="I125" s="2806"/>
      <c r="J125" s="2818"/>
      <c r="K125" s="2806"/>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6"/>
      <c r="AG125" s="2829"/>
      <c r="AH125" s="2829"/>
      <c r="AI125" s="2829"/>
      <c r="AJ125" s="2829"/>
      <c r="AK125" s="2829"/>
      <c r="AL125" s="2829"/>
      <c r="AM125" s="2829"/>
      <c r="AN125" s="2829"/>
      <c r="AO125" s="2829"/>
      <c r="AP125" s="2829"/>
      <c r="AQ125" s="2829"/>
      <c r="AR125" s="2829"/>
      <c r="AS125" s="2829"/>
      <c r="AT125" s="2849"/>
      <c r="AU125" s="2850"/>
      <c r="AV125" s="447">
        <f t="shared" si="88"/>
        <v>0</v>
      </c>
      <c r="AW125" s="447">
        <f t="shared" si="89"/>
        <v>0</v>
      </c>
      <c r="AX125" s="447">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ht="15.6">
      <c r="A126" s="2794"/>
      <c r="B126" s="2804"/>
      <c r="C126" s="2802"/>
      <c r="D126" s="2803"/>
      <c r="E126" s="2797">
        <f t="shared" si="87"/>
        <v>0</v>
      </c>
      <c r="F126" s="2798"/>
      <c r="G126" s="2799">
        <f t="shared" si="62"/>
        <v>0</v>
      </c>
      <c r="H126" s="2800">
        <f t="shared" si="63"/>
        <v>0</v>
      </c>
      <c r="I126" s="2806"/>
      <c r="J126" s="2818"/>
      <c r="K126" s="2806"/>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6"/>
      <c r="AG126" s="2829"/>
      <c r="AH126" s="2829"/>
      <c r="AI126" s="2829"/>
      <c r="AJ126" s="2829"/>
      <c r="AK126" s="2829"/>
      <c r="AL126" s="2829"/>
      <c r="AM126" s="2829"/>
      <c r="AN126" s="2829"/>
      <c r="AO126" s="2829"/>
      <c r="AP126" s="2829"/>
      <c r="AQ126" s="2829"/>
      <c r="AR126" s="2829"/>
      <c r="AS126" s="2829"/>
      <c r="AT126" s="2849"/>
      <c r="AU126" s="2850"/>
      <c r="AV126" s="447">
        <f t="shared" si="88"/>
        <v>0</v>
      </c>
      <c r="AW126" s="447">
        <f t="shared" si="89"/>
        <v>0</v>
      </c>
      <c r="AX126" s="447">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ht="15.6">
      <c r="A127" s="2794"/>
      <c r="B127" s="2804"/>
      <c r="C127" s="2802"/>
      <c r="D127" s="2803"/>
      <c r="E127" s="2797">
        <f t="shared" si="87"/>
        <v>0</v>
      </c>
      <c r="F127" s="2798"/>
      <c r="G127" s="2799">
        <f t="shared" si="62"/>
        <v>0</v>
      </c>
      <c r="H127" s="2800">
        <f t="shared" si="63"/>
        <v>0</v>
      </c>
      <c r="I127" s="2806"/>
      <c r="J127" s="2818"/>
      <c r="K127" s="2806"/>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6"/>
      <c r="AG127" s="2829"/>
      <c r="AH127" s="2829"/>
      <c r="AI127" s="2829"/>
      <c r="AJ127" s="2829"/>
      <c r="AK127" s="2829"/>
      <c r="AL127" s="2829"/>
      <c r="AM127" s="2829"/>
      <c r="AN127" s="2829"/>
      <c r="AO127" s="2829"/>
      <c r="AP127" s="2829"/>
      <c r="AQ127" s="2829"/>
      <c r="AR127" s="2829"/>
      <c r="AS127" s="2829"/>
      <c r="AT127" s="2849"/>
      <c r="AU127" s="2850"/>
      <c r="AV127" s="447">
        <f t="shared" si="88"/>
        <v>0</v>
      </c>
      <c r="AW127" s="447">
        <f t="shared" si="89"/>
        <v>0</v>
      </c>
      <c r="AX127" s="447">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ht="15.6">
      <c r="A128" s="2794"/>
      <c r="B128" s="2804"/>
      <c r="C128" s="2802"/>
      <c r="D128" s="2803"/>
      <c r="E128" s="2797">
        <f t="shared" si="87"/>
        <v>0</v>
      </c>
      <c r="F128" s="2798"/>
      <c r="G128" s="2799">
        <f t="shared" si="62"/>
        <v>0</v>
      </c>
      <c r="H128" s="2800">
        <f t="shared" si="63"/>
        <v>0</v>
      </c>
      <c r="I128" s="2806"/>
      <c r="J128" s="2818"/>
      <c r="K128" s="2806"/>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6"/>
      <c r="AG128" s="2829"/>
      <c r="AH128" s="2829"/>
      <c r="AI128" s="2829"/>
      <c r="AJ128" s="2829"/>
      <c r="AK128" s="2829"/>
      <c r="AL128" s="2829"/>
      <c r="AM128" s="2829"/>
      <c r="AN128" s="2829"/>
      <c r="AO128" s="2829"/>
      <c r="AP128" s="2829"/>
      <c r="AQ128" s="2829"/>
      <c r="AR128" s="2829"/>
      <c r="AS128" s="2829"/>
      <c r="AT128" s="2849"/>
      <c r="AU128" s="2850"/>
      <c r="AV128" s="447">
        <f t="shared" si="88"/>
        <v>0</v>
      </c>
      <c r="AW128" s="447">
        <f t="shared" si="89"/>
        <v>0</v>
      </c>
      <c r="AX128" s="447">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ht="15.6">
      <c r="A129" s="2794"/>
      <c r="B129" s="2804"/>
      <c r="C129" s="2802"/>
      <c r="D129" s="2803"/>
      <c r="E129" s="2797">
        <f t="shared" si="87"/>
        <v>0</v>
      </c>
      <c r="F129" s="2798"/>
      <c r="G129" s="2799">
        <f t="shared" si="62"/>
        <v>0</v>
      </c>
      <c r="H129" s="2800">
        <f t="shared" si="63"/>
        <v>0</v>
      </c>
      <c r="I129" s="2806"/>
      <c r="J129" s="2818"/>
      <c r="K129" s="2806"/>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6"/>
      <c r="AG129" s="2829"/>
      <c r="AH129" s="2829"/>
      <c r="AI129" s="2829"/>
      <c r="AJ129" s="2829"/>
      <c r="AK129" s="2829"/>
      <c r="AL129" s="2829"/>
      <c r="AM129" s="2829"/>
      <c r="AN129" s="2829"/>
      <c r="AO129" s="2829"/>
      <c r="AP129" s="2829"/>
      <c r="AQ129" s="2829"/>
      <c r="AR129" s="2829"/>
      <c r="AS129" s="2829"/>
      <c r="AT129" s="2849"/>
      <c r="AU129" s="2850"/>
      <c r="AV129" s="447">
        <f t="shared" si="88"/>
        <v>0</v>
      </c>
      <c r="AW129" s="447">
        <f t="shared" si="89"/>
        <v>0</v>
      </c>
      <c r="AX129" s="447">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ht="15.6">
      <c r="A130" s="2794"/>
      <c r="B130" s="2804"/>
      <c r="C130" s="2802"/>
      <c r="D130" s="2803"/>
      <c r="E130" s="2797">
        <f t="shared" si="87"/>
        <v>0</v>
      </c>
      <c r="F130" s="2798"/>
      <c r="G130" s="2799">
        <f t="shared" si="62"/>
        <v>0</v>
      </c>
      <c r="H130" s="2800">
        <f t="shared" si="63"/>
        <v>0</v>
      </c>
      <c r="I130" s="2806"/>
      <c r="J130" s="2818"/>
      <c r="K130" s="2806"/>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6"/>
      <c r="AG130" s="2829"/>
      <c r="AH130" s="2829"/>
      <c r="AI130" s="2829"/>
      <c r="AJ130" s="2829"/>
      <c r="AK130" s="2829"/>
      <c r="AL130" s="2829"/>
      <c r="AM130" s="2829"/>
      <c r="AN130" s="2829"/>
      <c r="AO130" s="2829"/>
      <c r="AP130" s="2829"/>
      <c r="AQ130" s="2829"/>
      <c r="AR130" s="2829"/>
      <c r="AS130" s="2829"/>
      <c r="AT130" s="2849"/>
      <c r="AU130" s="2850"/>
      <c r="AV130" s="447">
        <f t="shared" si="88"/>
        <v>0</v>
      </c>
      <c r="AW130" s="447">
        <f t="shared" si="89"/>
        <v>0</v>
      </c>
      <c r="AX130" s="447">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ht="15.6">
      <c r="A131" s="2794"/>
      <c r="B131" s="2804"/>
      <c r="C131" s="2802"/>
      <c r="D131" s="2803"/>
      <c r="E131" s="2797">
        <f t="shared" si="87"/>
        <v>0</v>
      </c>
      <c r="F131" s="2798"/>
      <c r="G131" s="2799">
        <f t="shared" si="62"/>
        <v>0</v>
      </c>
      <c r="H131" s="2800">
        <f t="shared" si="63"/>
        <v>0</v>
      </c>
      <c r="I131" s="2806"/>
      <c r="J131" s="2818"/>
      <c r="K131" s="2806"/>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6"/>
      <c r="AG131" s="2829"/>
      <c r="AH131" s="2829"/>
      <c r="AI131" s="2829"/>
      <c r="AJ131" s="2829"/>
      <c r="AK131" s="2829"/>
      <c r="AL131" s="2829"/>
      <c r="AM131" s="2829"/>
      <c r="AN131" s="2829"/>
      <c r="AO131" s="2829"/>
      <c r="AP131" s="2829"/>
      <c r="AQ131" s="2829"/>
      <c r="AR131" s="2829"/>
      <c r="AS131" s="2829"/>
      <c r="AT131" s="2849"/>
      <c r="AU131" s="2850"/>
      <c r="AV131" s="447">
        <f t="shared" si="88"/>
        <v>0</v>
      </c>
      <c r="AW131" s="447">
        <f t="shared" si="89"/>
        <v>0</v>
      </c>
      <c r="AX131" s="447">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ht="15.6">
      <c r="A132" s="2794"/>
      <c r="B132" s="2804"/>
      <c r="C132" s="2802"/>
      <c r="D132" s="2803"/>
      <c r="E132" s="2797">
        <f t="shared" si="87"/>
        <v>0</v>
      </c>
      <c r="F132" s="2798"/>
      <c r="G132" s="2799">
        <f t="shared" si="62"/>
        <v>0</v>
      </c>
      <c r="H132" s="2800">
        <f t="shared" si="63"/>
        <v>0</v>
      </c>
      <c r="I132" s="2806"/>
      <c r="J132" s="2818"/>
      <c r="K132" s="2806"/>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6"/>
      <c r="AG132" s="2829"/>
      <c r="AH132" s="2829"/>
      <c r="AI132" s="2829"/>
      <c r="AJ132" s="2829"/>
      <c r="AK132" s="2829"/>
      <c r="AL132" s="2829"/>
      <c r="AM132" s="2829"/>
      <c r="AN132" s="2829"/>
      <c r="AO132" s="2829"/>
      <c r="AP132" s="2829"/>
      <c r="AQ132" s="2829"/>
      <c r="AR132" s="2829"/>
      <c r="AS132" s="2829"/>
      <c r="AT132" s="2849"/>
      <c r="AU132" s="2850"/>
      <c r="AV132" s="447">
        <f t="shared" si="88"/>
        <v>0</v>
      </c>
      <c r="AW132" s="447">
        <f t="shared" si="89"/>
        <v>0</v>
      </c>
      <c r="AX132" s="447">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ht="15.6">
      <c r="A133" s="2794"/>
      <c r="B133" s="2804"/>
      <c r="C133" s="2802"/>
      <c r="D133" s="2803"/>
      <c r="E133" s="2797">
        <f t="shared" si="87"/>
        <v>0</v>
      </c>
      <c r="F133" s="2798"/>
      <c r="G133" s="2799">
        <f t="shared" si="62"/>
        <v>0</v>
      </c>
      <c r="H133" s="2800">
        <f t="shared" si="63"/>
        <v>0</v>
      </c>
      <c r="I133" s="2806"/>
      <c r="J133" s="2818"/>
      <c r="K133" s="2806"/>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6"/>
      <c r="AG133" s="2829"/>
      <c r="AH133" s="2829"/>
      <c r="AI133" s="2829"/>
      <c r="AJ133" s="2829"/>
      <c r="AK133" s="2829"/>
      <c r="AL133" s="2829"/>
      <c r="AM133" s="2829"/>
      <c r="AN133" s="2829"/>
      <c r="AO133" s="2829"/>
      <c r="AP133" s="2829"/>
      <c r="AQ133" s="2829"/>
      <c r="AR133" s="2829"/>
      <c r="AS133" s="2829"/>
      <c r="AT133" s="2849"/>
      <c r="AU133" s="2850"/>
      <c r="AV133" s="447">
        <f t="shared" si="88"/>
        <v>0</v>
      </c>
      <c r="AW133" s="447">
        <f t="shared" si="89"/>
        <v>0</v>
      </c>
      <c r="AX133" s="447">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ht="15.6">
      <c r="A134" s="2794"/>
      <c r="B134" s="2804"/>
      <c r="C134" s="2802"/>
      <c r="D134" s="2803"/>
      <c r="E134" s="2797">
        <f t="shared" si="87"/>
        <v>0</v>
      </c>
      <c r="F134" s="2798"/>
      <c r="G134" s="2799">
        <f t="shared" si="62"/>
        <v>0</v>
      </c>
      <c r="H134" s="2800">
        <f t="shared" si="63"/>
        <v>0</v>
      </c>
      <c r="I134" s="2806"/>
      <c r="J134" s="2818"/>
      <c r="K134" s="2806"/>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6"/>
      <c r="AG134" s="2829"/>
      <c r="AH134" s="2829"/>
      <c r="AI134" s="2829"/>
      <c r="AJ134" s="2829"/>
      <c r="AK134" s="2829"/>
      <c r="AL134" s="2829"/>
      <c r="AM134" s="2829"/>
      <c r="AN134" s="2829"/>
      <c r="AO134" s="2829"/>
      <c r="AP134" s="2829"/>
      <c r="AQ134" s="2829"/>
      <c r="AR134" s="2829"/>
      <c r="AS134" s="2829"/>
      <c r="AT134" s="2849"/>
      <c r="AU134" s="2850"/>
      <c r="AV134" s="447">
        <f t="shared" si="88"/>
        <v>0</v>
      </c>
      <c r="AW134" s="447">
        <f t="shared" si="89"/>
        <v>0</v>
      </c>
      <c r="AX134" s="447">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ht="15.6">
      <c r="A135" s="2794"/>
      <c r="B135" s="2804"/>
      <c r="C135" s="2802"/>
      <c r="D135" s="2803"/>
      <c r="E135" s="2797">
        <f t="shared" si="87"/>
        <v>0</v>
      </c>
      <c r="F135" s="2798"/>
      <c r="G135" s="2799">
        <f t="shared" si="62"/>
        <v>0</v>
      </c>
      <c r="H135" s="2800">
        <f t="shared" si="63"/>
        <v>0</v>
      </c>
      <c r="I135" s="2806"/>
      <c r="J135" s="2818"/>
      <c r="K135" s="2806"/>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6"/>
      <c r="AG135" s="2829"/>
      <c r="AH135" s="2829"/>
      <c r="AI135" s="2829"/>
      <c r="AJ135" s="2829"/>
      <c r="AK135" s="2829"/>
      <c r="AL135" s="2829"/>
      <c r="AM135" s="2829"/>
      <c r="AN135" s="2829"/>
      <c r="AO135" s="2829"/>
      <c r="AP135" s="2829"/>
      <c r="AQ135" s="2829"/>
      <c r="AR135" s="2829"/>
      <c r="AS135" s="2829"/>
      <c r="AT135" s="2849"/>
      <c r="AU135" s="2850"/>
      <c r="AV135" s="447">
        <f t="shared" si="88"/>
        <v>0</v>
      </c>
      <c r="AW135" s="447">
        <f t="shared" si="89"/>
        <v>0</v>
      </c>
      <c r="AX135" s="447">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ht="15.6">
      <c r="A136" s="2794"/>
      <c r="B136" s="2804"/>
      <c r="C136" s="2802"/>
      <c r="D136" s="2803"/>
      <c r="E136" s="2797">
        <f t="shared" si="87"/>
        <v>0</v>
      </c>
      <c r="F136" s="2798"/>
      <c r="G136" s="2799">
        <f t="shared" si="62"/>
        <v>0</v>
      </c>
      <c r="H136" s="2800">
        <f t="shared" si="63"/>
        <v>0</v>
      </c>
      <c r="I136" s="2806"/>
      <c r="J136" s="2818"/>
      <c r="K136" s="2806"/>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6"/>
      <c r="AG136" s="2829"/>
      <c r="AH136" s="2829"/>
      <c r="AI136" s="2829"/>
      <c r="AJ136" s="2829"/>
      <c r="AK136" s="2829"/>
      <c r="AL136" s="2829"/>
      <c r="AM136" s="2829"/>
      <c r="AN136" s="2829"/>
      <c r="AO136" s="2829"/>
      <c r="AP136" s="2829"/>
      <c r="AQ136" s="2829"/>
      <c r="AR136" s="2829"/>
      <c r="AS136" s="2829"/>
      <c r="AT136" s="2849"/>
      <c r="AU136" s="2850"/>
      <c r="AV136" s="447">
        <f t="shared" si="88"/>
        <v>0</v>
      </c>
      <c r="AW136" s="447">
        <f t="shared" si="89"/>
        <v>0</v>
      </c>
      <c r="AX136" s="447">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ht="15.6">
      <c r="A137" s="2794"/>
      <c r="B137" s="2804"/>
      <c r="C137" s="2802"/>
      <c r="D137" s="2803"/>
      <c r="E137" s="2797">
        <f t="shared" si="87"/>
        <v>0</v>
      </c>
      <c r="F137" s="2798"/>
      <c r="G137" s="2799">
        <f t="shared" si="62"/>
        <v>0</v>
      </c>
      <c r="H137" s="2800">
        <f t="shared" si="63"/>
        <v>0</v>
      </c>
      <c r="I137" s="2806"/>
      <c r="J137" s="2818"/>
      <c r="K137" s="2806"/>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6"/>
      <c r="AG137" s="2829"/>
      <c r="AH137" s="2829"/>
      <c r="AI137" s="2829"/>
      <c r="AJ137" s="2829"/>
      <c r="AK137" s="2829"/>
      <c r="AL137" s="2829"/>
      <c r="AM137" s="2829"/>
      <c r="AN137" s="2829"/>
      <c r="AO137" s="2829"/>
      <c r="AP137" s="2829"/>
      <c r="AQ137" s="2829"/>
      <c r="AR137" s="2829"/>
      <c r="AS137" s="2829"/>
      <c r="AT137" s="2849"/>
      <c r="AU137" s="2850"/>
      <c r="AV137" s="447">
        <f t="shared" si="88"/>
        <v>0</v>
      </c>
      <c r="AW137" s="447">
        <f t="shared" si="89"/>
        <v>0</v>
      </c>
      <c r="AX137" s="447">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ht="15.6">
      <c r="A138" s="2794"/>
      <c r="B138" s="2804"/>
      <c r="C138" s="2802"/>
      <c r="D138" s="2803"/>
      <c r="E138" s="2797">
        <f t="shared" si="87"/>
        <v>0</v>
      </c>
      <c r="F138" s="2798"/>
      <c r="G138" s="2799">
        <f t="shared" si="62"/>
        <v>0</v>
      </c>
      <c r="H138" s="2800">
        <f t="shared" si="63"/>
        <v>0</v>
      </c>
      <c r="I138" s="2806"/>
      <c r="J138" s="2818"/>
      <c r="K138" s="2806"/>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6"/>
      <c r="AG138" s="2829"/>
      <c r="AH138" s="2829"/>
      <c r="AI138" s="2829"/>
      <c r="AJ138" s="2829"/>
      <c r="AK138" s="2829"/>
      <c r="AL138" s="2829"/>
      <c r="AM138" s="2829"/>
      <c r="AN138" s="2829"/>
      <c r="AO138" s="2829"/>
      <c r="AP138" s="2829"/>
      <c r="AQ138" s="2829"/>
      <c r="AR138" s="2829"/>
      <c r="AS138" s="2829"/>
      <c r="AT138" s="2849"/>
      <c r="AU138" s="2850"/>
      <c r="AV138" s="447">
        <f t="shared" si="88"/>
        <v>0</v>
      </c>
      <c r="AW138" s="447">
        <f t="shared" si="89"/>
        <v>0</v>
      </c>
      <c r="AX138" s="447">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ht="15.6">
      <c r="A139" s="2794"/>
      <c r="B139" s="2804"/>
      <c r="C139" s="2802"/>
      <c r="D139" s="2803"/>
      <c r="E139" s="2797">
        <f t="shared" si="87"/>
        <v>0</v>
      </c>
      <c r="F139" s="2798"/>
      <c r="G139" s="2799">
        <f t="shared" si="62"/>
        <v>0</v>
      </c>
      <c r="H139" s="2800">
        <f t="shared" si="63"/>
        <v>0</v>
      </c>
      <c r="I139" s="2806"/>
      <c r="J139" s="2818"/>
      <c r="K139" s="2806"/>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447">
        <f t="shared" si="88"/>
        <v>0</v>
      </c>
      <c r="AW139" s="447">
        <f t="shared" si="89"/>
        <v>0</v>
      </c>
      <c r="AX139" s="447">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ht="15.6">
      <c r="A140" s="2794"/>
      <c r="B140" s="2804"/>
      <c r="C140" s="2802"/>
      <c r="D140" s="2803"/>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447">
        <f t="shared" si="88"/>
        <v>0</v>
      </c>
      <c r="AW140" s="447">
        <f t="shared" si="89"/>
        <v>0</v>
      </c>
      <c r="AX140" s="447">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ht="15.6">
      <c r="A141" s="2794"/>
      <c r="B141" s="2804"/>
      <c r="C141" s="2802"/>
      <c r="D141" s="2803"/>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447">
        <f t="shared" si="88"/>
        <v>0</v>
      </c>
      <c r="AW141" s="447">
        <f t="shared" si="89"/>
        <v>0</v>
      </c>
      <c r="AX141" s="447">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ht="15.6">
      <c r="A142" s="2794"/>
      <c r="B142" s="2804"/>
      <c r="C142" s="2802"/>
      <c r="D142" s="2803"/>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447">
        <f t="shared" si="88"/>
        <v>0</v>
      </c>
      <c r="AW142" s="447">
        <f t="shared" si="89"/>
        <v>0</v>
      </c>
      <c r="AX142" s="447">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ht="15.6">
      <c r="A143" s="2794"/>
      <c r="B143" s="2804"/>
      <c r="C143" s="2802"/>
      <c r="D143" s="2803"/>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447">
        <f t="shared" si="88"/>
        <v>0</v>
      </c>
      <c r="AW143" s="447">
        <f t="shared" si="89"/>
        <v>0</v>
      </c>
      <c r="AX143" s="447">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ht="15.6">
      <c r="A144" s="2794"/>
      <c r="B144" s="2804"/>
      <c r="C144" s="2802"/>
      <c r="D144" s="2803"/>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447">
        <f t="shared" si="88"/>
        <v>0</v>
      </c>
      <c r="AW144" s="447">
        <f t="shared" si="89"/>
        <v>0</v>
      </c>
      <c r="AX144" s="447">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ht="15.6">
      <c r="A145" s="2794"/>
      <c r="B145" s="2804"/>
      <c r="C145" s="2802"/>
      <c r="D145" s="2803"/>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447">
        <f t="shared" ref="AV145:AV176" si="117">A145</f>
        <v>0</v>
      </c>
      <c r="AW145" s="447">
        <f t="shared" ref="AW145:AW176" si="118">B145</f>
        <v>0</v>
      </c>
      <c r="AX145" s="447">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ht="15.6">
      <c r="A146" s="2794"/>
      <c r="B146" s="2804"/>
      <c r="C146" s="2802"/>
      <c r="D146" s="2803"/>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447">
        <f t="shared" si="117"/>
        <v>0</v>
      </c>
      <c r="AW146" s="447">
        <f t="shared" si="118"/>
        <v>0</v>
      </c>
      <c r="AX146" s="447">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ht="15.6">
      <c r="A147" s="2794"/>
      <c r="B147" s="2805"/>
      <c r="C147" s="2806"/>
      <c r="D147" s="2803"/>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447">
        <f t="shared" si="117"/>
        <v>0</v>
      </c>
      <c r="AW147" s="447">
        <f t="shared" si="118"/>
        <v>0</v>
      </c>
      <c r="AX147" s="447">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447">
        <f t="shared" si="117"/>
        <v>0</v>
      </c>
      <c r="AW148" s="447">
        <f t="shared" si="118"/>
        <v>0</v>
      </c>
      <c r="AX148" s="447">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447">
        <f t="shared" si="117"/>
        <v>0</v>
      </c>
      <c r="AW149" s="447">
        <f t="shared" si="118"/>
        <v>0</v>
      </c>
      <c r="AX149" s="447">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447">
        <f t="shared" si="117"/>
        <v>0</v>
      </c>
      <c r="AW150" s="447">
        <f t="shared" si="118"/>
        <v>0</v>
      </c>
      <c r="AX150" s="447">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447">
        <f t="shared" si="117"/>
        <v>0</v>
      </c>
      <c r="AW151" s="447">
        <f t="shared" si="118"/>
        <v>0</v>
      </c>
      <c r="AX151" s="447">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447">
        <f t="shared" si="117"/>
        <v>0</v>
      </c>
      <c r="AW152" s="447">
        <f t="shared" si="118"/>
        <v>0</v>
      </c>
      <c r="AX152" s="447">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447">
        <f t="shared" si="117"/>
        <v>0</v>
      </c>
      <c r="AW153" s="447">
        <f t="shared" si="118"/>
        <v>0</v>
      </c>
      <c r="AX153" s="447">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447">
        <f t="shared" si="117"/>
        <v>0</v>
      </c>
      <c r="AW154" s="447">
        <f t="shared" si="118"/>
        <v>0</v>
      </c>
      <c r="AX154" s="447">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447">
        <f t="shared" si="117"/>
        <v>0</v>
      </c>
      <c r="AW155" s="447">
        <f t="shared" si="118"/>
        <v>0</v>
      </c>
      <c r="AX155" s="447">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447">
        <f t="shared" si="117"/>
        <v>0</v>
      </c>
      <c r="AW156" s="447">
        <f t="shared" si="118"/>
        <v>0</v>
      </c>
      <c r="AX156" s="447">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447">
        <f t="shared" si="117"/>
        <v>0</v>
      </c>
      <c r="AW157" s="447">
        <f t="shared" si="118"/>
        <v>0</v>
      </c>
      <c r="AX157" s="447">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447">
        <f t="shared" si="117"/>
        <v>0</v>
      </c>
      <c r="AW158" s="447">
        <f t="shared" si="118"/>
        <v>0</v>
      </c>
      <c r="AX158" s="447">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447">
        <f t="shared" si="117"/>
        <v>0</v>
      </c>
      <c r="AW159" s="447">
        <f t="shared" si="118"/>
        <v>0</v>
      </c>
      <c r="AX159" s="447">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447">
        <f t="shared" si="117"/>
        <v>0</v>
      </c>
      <c r="AW160" s="447">
        <f t="shared" si="118"/>
        <v>0</v>
      </c>
      <c r="AX160" s="447">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447">
        <f t="shared" si="117"/>
        <v>0</v>
      </c>
      <c r="AW161" s="447">
        <f t="shared" si="118"/>
        <v>0</v>
      </c>
      <c r="AX161" s="447">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447">
        <f t="shared" si="117"/>
        <v>0</v>
      </c>
      <c r="AW162" s="447">
        <f t="shared" si="118"/>
        <v>0</v>
      </c>
      <c r="AX162" s="447">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447">
        <f t="shared" si="117"/>
        <v>0</v>
      </c>
      <c r="AW163" s="447">
        <f t="shared" si="118"/>
        <v>0</v>
      </c>
      <c r="AX163" s="447">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447">
        <f t="shared" si="117"/>
        <v>0</v>
      </c>
      <c r="AW164" s="447">
        <f t="shared" si="118"/>
        <v>0</v>
      </c>
      <c r="AX164" s="447">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447">
        <f t="shared" si="117"/>
        <v>0</v>
      </c>
      <c r="AW165" s="447">
        <f t="shared" si="118"/>
        <v>0</v>
      </c>
      <c r="AX165" s="447">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447">
        <f t="shared" si="117"/>
        <v>0</v>
      </c>
      <c r="AW166" s="447">
        <f t="shared" si="118"/>
        <v>0</v>
      </c>
      <c r="AX166" s="447">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447">
        <f t="shared" si="117"/>
        <v>0</v>
      </c>
      <c r="AW167" s="447">
        <f t="shared" si="118"/>
        <v>0</v>
      </c>
      <c r="AX167" s="447">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447">
        <f t="shared" si="117"/>
        <v>0</v>
      </c>
      <c r="AW168" s="447">
        <f t="shared" si="118"/>
        <v>0</v>
      </c>
      <c r="AX168" s="447">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447">
        <f t="shared" si="117"/>
        <v>0</v>
      </c>
      <c r="AW169" s="447">
        <f t="shared" si="118"/>
        <v>0</v>
      </c>
      <c r="AX169" s="447">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447">
        <f t="shared" si="117"/>
        <v>0</v>
      </c>
      <c r="AW170" s="447">
        <f t="shared" si="118"/>
        <v>0</v>
      </c>
      <c r="AX170" s="447">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447">
        <f t="shared" si="117"/>
        <v>0</v>
      </c>
      <c r="AW171" s="447">
        <f t="shared" si="118"/>
        <v>0</v>
      </c>
      <c r="AX171" s="447">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447">
        <f t="shared" si="117"/>
        <v>0</v>
      </c>
      <c r="AW172" s="447">
        <f t="shared" si="118"/>
        <v>0</v>
      </c>
      <c r="AX172" s="447">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447">
        <f t="shared" si="117"/>
        <v>0</v>
      </c>
      <c r="AW173" s="447">
        <f t="shared" si="118"/>
        <v>0</v>
      </c>
      <c r="AX173" s="447">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447">
        <f t="shared" si="117"/>
        <v>0</v>
      </c>
      <c r="AW174" s="447">
        <f t="shared" si="118"/>
        <v>0</v>
      </c>
      <c r="AX174" s="447">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447">
        <f t="shared" si="117"/>
        <v>0</v>
      </c>
      <c r="AW175" s="447">
        <f t="shared" si="118"/>
        <v>0</v>
      </c>
      <c r="AX175" s="447">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447">
        <f t="shared" si="117"/>
        <v>0</v>
      </c>
      <c r="AW176" s="447">
        <f t="shared" si="118"/>
        <v>0</v>
      </c>
      <c r="AX176" s="447">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447">
        <f t="shared" ref="AV177:AV204" si="146">A177</f>
        <v>0</v>
      </c>
      <c r="AW177" s="447">
        <f t="shared" ref="AW177:AW204" si="147">B177</f>
        <v>0</v>
      </c>
      <c r="AX177" s="447">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447">
        <f t="shared" si="146"/>
        <v>0</v>
      </c>
      <c r="AW178" s="447">
        <f t="shared" si="147"/>
        <v>0</v>
      </c>
      <c r="AX178" s="447">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447">
        <f t="shared" si="146"/>
        <v>0</v>
      </c>
      <c r="AW179" s="447">
        <f t="shared" si="147"/>
        <v>0</v>
      </c>
      <c r="AX179" s="447">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447">
        <f t="shared" si="146"/>
        <v>0</v>
      </c>
      <c r="AW180" s="447">
        <f t="shared" si="147"/>
        <v>0</v>
      </c>
      <c r="AX180" s="447">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447">
        <f t="shared" si="146"/>
        <v>0</v>
      </c>
      <c r="AW181" s="447">
        <f t="shared" si="147"/>
        <v>0</v>
      </c>
      <c r="AX181" s="447">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447">
        <f t="shared" si="146"/>
        <v>0</v>
      </c>
      <c r="AW182" s="447">
        <f t="shared" si="147"/>
        <v>0</v>
      </c>
      <c r="AX182" s="447">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447">
        <f t="shared" si="146"/>
        <v>0</v>
      </c>
      <c r="AW183" s="447">
        <f t="shared" si="147"/>
        <v>0</v>
      </c>
      <c r="AX183" s="447">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447">
        <f t="shared" si="146"/>
        <v>0</v>
      </c>
      <c r="AW184" s="447">
        <f t="shared" si="147"/>
        <v>0</v>
      </c>
      <c r="AX184" s="447">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447">
        <f t="shared" si="146"/>
        <v>0</v>
      </c>
      <c r="AW185" s="447">
        <f t="shared" si="147"/>
        <v>0</v>
      </c>
      <c r="AX185" s="447">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447">
        <f t="shared" si="146"/>
        <v>0</v>
      </c>
      <c r="AW186" s="447">
        <f t="shared" si="147"/>
        <v>0</v>
      </c>
      <c r="AX186" s="447">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447">
        <f t="shared" si="146"/>
        <v>0</v>
      </c>
      <c r="AW187" s="447">
        <f t="shared" si="147"/>
        <v>0</v>
      </c>
      <c r="AX187" s="447">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447">
        <f t="shared" si="146"/>
        <v>0</v>
      </c>
      <c r="AW188" s="447">
        <f t="shared" si="147"/>
        <v>0</v>
      </c>
      <c r="AX188" s="447">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447">
        <f t="shared" si="146"/>
        <v>0</v>
      </c>
      <c r="AW189" s="447">
        <f t="shared" si="147"/>
        <v>0</v>
      </c>
      <c r="AX189" s="447">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447">
        <f t="shared" si="146"/>
        <v>0</v>
      </c>
      <c r="AW190" s="447">
        <f t="shared" si="147"/>
        <v>0</v>
      </c>
      <c r="AX190" s="447">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447">
        <f t="shared" si="146"/>
        <v>0</v>
      </c>
      <c r="AW191" s="447">
        <f t="shared" si="147"/>
        <v>0</v>
      </c>
      <c r="AX191" s="447">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447">
        <f t="shared" si="146"/>
        <v>0</v>
      </c>
      <c r="AW192" s="447">
        <f t="shared" si="147"/>
        <v>0</v>
      </c>
      <c r="AX192" s="447">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447">
        <f t="shared" si="146"/>
        <v>0</v>
      </c>
      <c r="AW193" s="447">
        <f t="shared" si="147"/>
        <v>0</v>
      </c>
      <c r="AX193" s="447">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447">
        <f t="shared" si="146"/>
        <v>0</v>
      </c>
      <c r="AW194" s="447">
        <f t="shared" si="147"/>
        <v>0</v>
      </c>
      <c r="AX194" s="447">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447">
        <f t="shared" si="146"/>
        <v>0</v>
      </c>
      <c r="AW195" s="447">
        <f t="shared" si="147"/>
        <v>0</v>
      </c>
      <c r="AX195" s="447">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447">
        <f t="shared" si="146"/>
        <v>0</v>
      </c>
      <c r="AW196" s="447">
        <f t="shared" si="147"/>
        <v>0</v>
      </c>
      <c r="AX196" s="447">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447">
        <f t="shared" si="146"/>
        <v>0</v>
      </c>
      <c r="AW197" s="447">
        <f t="shared" si="147"/>
        <v>0</v>
      </c>
      <c r="AX197" s="447">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447">
        <f t="shared" si="146"/>
        <v>0</v>
      </c>
      <c r="AW198" s="447">
        <f t="shared" si="147"/>
        <v>0</v>
      </c>
      <c r="AX198" s="447">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447">
        <f t="shared" si="146"/>
        <v>0</v>
      </c>
      <c r="AW199" s="447">
        <f t="shared" si="147"/>
        <v>0</v>
      </c>
      <c r="AX199" s="447">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447">
        <f t="shared" si="146"/>
        <v>0</v>
      </c>
      <c r="AW200" s="447">
        <f t="shared" si="147"/>
        <v>0</v>
      </c>
      <c r="AX200" s="447">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447">
        <f t="shared" si="146"/>
        <v>0</v>
      </c>
      <c r="AW201" s="447">
        <f t="shared" si="147"/>
        <v>0</v>
      </c>
      <c r="AX201" s="447">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447">
        <f t="shared" si="146"/>
        <v>0</v>
      </c>
      <c r="AW202" s="447">
        <f t="shared" si="147"/>
        <v>0</v>
      </c>
      <c r="AX202" s="447">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447">
        <f t="shared" si="146"/>
        <v>0</v>
      </c>
      <c r="AW203" s="447">
        <f t="shared" si="147"/>
        <v>0</v>
      </c>
      <c r="AX203" s="447">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447">
        <f t="shared" si="146"/>
        <v>0</v>
      </c>
      <c r="AW204" s="447">
        <f t="shared" si="147"/>
        <v>0</v>
      </c>
      <c r="AX204" s="447">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ht="15.6">
      <c r="A205" s="2794"/>
      <c r="B205" s="2804"/>
      <c r="C205" s="2802"/>
      <c r="D205" s="2803"/>
      <c r="E205" s="2797">
        <f t="shared" ref="E205:E296" si="149">IF($C$3="是",ROUND($A$3*G205/$B$3,2),ROUND($A$3*(G205-AT205)/$B$3,2))</f>
        <v>0</v>
      </c>
      <c r="F205" s="2798"/>
      <c r="G205" s="2799">
        <f t="shared" ref="G205:G293" si="150">H205+AC205+AT205</f>
        <v>0</v>
      </c>
      <c r="H205" s="2800">
        <f t="shared" ref="H205:H293" si="151">SUMIF(I$12:AB$12,"总值",I205:AB205)</f>
        <v>0</v>
      </c>
      <c r="I205" s="2806"/>
      <c r="J205" s="2818"/>
      <c r="K205" s="2806"/>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447">
        <f t="shared" ref="AV205:AV296" si="153">A205</f>
        <v>0</v>
      </c>
      <c r="AW205" s="447">
        <f t="shared" ref="AW205:AW296" si="154">B205</f>
        <v>0</v>
      </c>
      <c r="AX205" s="447">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ht="15.6">
      <c r="A206" s="2794"/>
      <c r="B206" s="2804"/>
      <c r="C206" s="2802"/>
      <c r="D206" s="2803"/>
      <c r="E206" s="2797">
        <f t="shared" si="149"/>
        <v>0</v>
      </c>
      <c r="F206" s="2798"/>
      <c r="G206" s="2799">
        <f t="shared" si="150"/>
        <v>0</v>
      </c>
      <c r="H206" s="2800">
        <f t="shared" si="151"/>
        <v>0</v>
      </c>
      <c r="I206" s="2806"/>
      <c r="J206" s="2818"/>
      <c r="K206" s="2806"/>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447">
        <f t="shared" si="153"/>
        <v>0</v>
      </c>
      <c r="AW206" s="447">
        <f t="shared" si="154"/>
        <v>0</v>
      </c>
      <c r="AX206" s="447">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ht="15.6">
      <c r="A207" s="2794"/>
      <c r="B207" s="2804"/>
      <c r="C207" s="2802"/>
      <c r="D207" s="2803"/>
      <c r="E207" s="2797">
        <f t="shared" si="149"/>
        <v>0</v>
      </c>
      <c r="F207" s="2798"/>
      <c r="G207" s="2799">
        <f t="shared" si="150"/>
        <v>0</v>
      </c>
      <c r="H207" s="2800">
        <f t="shared" si="151"/>
        <v>0</v>
      </c>
      <c r="I207" s="2806"/>
      <c r="J207" s="2818"/>
      <c r="K207" s="2806"/>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447">
        <f t="shared" si="153"/>
        <v>0</v>
      </c>
      <c r="AW207" s="447">
        <f t="shared" si="154"/>
        <v>0</v>
      </c>
      <c r="AX207" s="447">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ht="15.6">
      <c r="A208" s="2794"/>
      <c r="B208" s="2804"/>
      <c r="C208" s="2802"/>
      <c r="D208" s="2803"/>
      <c r="E208" s="2797">
        <f t="shared" si="149"/>
        <v>0</v>
      </c>
      <c r="F208" s="2798"/>
      <c r="G208" s="2799">
        <f t="shared" si="150"/>
        <v>0</v>
      </c>
      <c r="H208" s="2800">
        <f t="shared" si="151"/>
        <v>0</v>
      </c>
      <c r="I208" s="2806"/>
      <c r="J208" s="2818"/>
      <c r="K208" s="2806"/>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447">
        <f t="shared" si="153"/>
        <v>0</v>
      </c>
      <c r="AW208" s="447">
        <f t="shared" si="154"/>
        <v>0</v>
      </c>
      <c r="AX208" s="447">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ht="15.6">
      <c r="A209" s="2794"/>
      <c r="B209" s="2804"/>
      <c r="C209" s="2802"/>
      <c r="D209" s="2803"/>
      <c r="E209" s="2797">
        <f t="shared" si="149"/>
        <v>0</v>
      </c>
      <c r="F209" s="2798"/>
      <c r="G209" s="2799">
        <f t="shared" si="150"/>
        <v>0</v>
      </c>
      <c r="H209" s="2800">
        <f t="shared" si="151"/>
        <v>0</v>
      </c>
      <c r="I209" s="2806"/>
      <c r="J209" s="2818"/>
      <c r="K209" s="2806"/>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447">
        <f t="shared" si="153"/>
        <v>0</v>
      </c>
      <c r="AW209" s="447">
        <f t="shared" si="154"/>
        <v>0</v>
      </c>
      <c r="AX209" s="447">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ht="15.6">
      <c r="A210" s="2794"/>
      <c r="B210" s="2804"/>
      <c r="C210" s="2802"/>
      <c r="D210" s="2803"/>
      <c r="E210" s="2797">
        <f t="shared" si="149"/>
        <v>0</v>
      </c>
      <c r="F210" s="2798"/>
      <c r="G210" s="2799">
        <f t="shared" si="150"/>
        <v>0</v>
      </c>
      <c r="H210" s="2800">
        <f t="shared" si="151"/>
        <v>0</v>
      </c>
      <c r="I210" s="2806"/>
      <c r="J210" s="2818"/>
      <c r="K210" s="2806"/>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447">
        <f t="shared" si="153"/>
        <v>0</v>
      </c>
      <c r="AW210" s="447">
        <f t="shared" si="154"/>
        <v>0</v>
      </c>
      <c r="AX210" s="447">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ht="15.6">
      <c r="A211" s="2794"/>
      <c r="B211" s="2804"/>
      <c r="C211" s="2802"/>
      <c r="D211" s="2803"/>
      <c r="E211" s="2797">
        <f t="shared" si="149"/>
        <v>0</v>
      </c>
      <c r="F211" s="2798"/>
      <c r="G211" s="2799">
        <f t="shared" si="150"/>
        <v>0</v>
      </c>
      <c r="H211" s="2800">
        <f t="shared" si="151"/>
        <v>0</v>
      </c>
      <c r="I211" s="2806"/>
      <c r="J211" s="2818"/>
      <c r="K211" s="2806"/>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447">
        <f t="shared" si="153"/>
        <v>0</v>
      </c>
      <c r="AW211" s="447">
        <f t="shared" si="154"/>
        <v>0</v>
      </c>
      <c r="AX211" s="447">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ht="15.6">
      <c r="A212" s="2794"/>
      <c r="B212" s="2804"/>
      <c r="C212" s="2802"/>
      <c r="D212" s="2803"/>
      <c r="E212" s="2797">
        <f t="shared" si="149"/>
        <v>0</v>
      </c>
      <c r="F212" s="2798"/>
      <c r="G212" s="2799">
        <f t="shared" si="150"/>
        <v>0</v>
      </c>
      <c r="H212" s="2800">
        <f t="shared" si="151"/>
        <v>0</v>
      </c>
      <c r="I212" s="2806"/>
      <c r="J212" s="2818"/>
      <c r="K212" s="2806"/>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6"/>
      <c r="AG212" s="2829"/>
      <c r="AH212" s="2829"/>
      <c r="AI212" s="2829"/>
      <c r="AJ212" s="2829"/>
      <c r="AK212" s="2829"/>
      <c r="AL212" s="2829"/>
      <c r="AM212" s="2829"/>
      <c r="AN212" s="2829"/>
      <c r="AO212" s="2829"/>
      <c r="AP212" s="2829"/>
      <c r="AQ212" s="2829"/>
      <c r="AR212" s="2829"/>
      <c r="AS212" s="2829"/>
      <c r="AT212" s="2849"/>
      <c r="AU212" s="2850"/>
      <c r="AV212" s="447">
        <f t="shared" si="153"/>
        <v>0</v>
      </c>
      <c r="AW212" s="447">
        <f t="shared" si="154"/>
        <v>0</v>
      </c>
      <c r="AX212" s="447">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ht="15.6">
      <c r="A213" s="2794"/>
      <c r="B213" s="2805"/>
      <c r="C213" s="2806"/>
      <c r="D213" s="2803"/>
      <c r="E213" s="2797">
        <f t="shared" si="149"/>
        <v>0</v>
      </c>
      <c r="F213" s="2798"/>
      <c r="G213" s="2799">
        <f t="shared" si="150"/>
        <v>0</v>
      </c>
      <c r="H213" s="2800">
        <f t="shared" si="151"/>
        <v>0</v>
      </c>
      <c r="I213" s="2806"/>
      <c r="J213" s="2818"/>
      <c r="K213" s="2806"/>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6"/>
      <c r="AG213" s="2829"/>
      <c r="AH213" s="2829"/>
      <c r="AI213" s="2829"/>
      <c r="AJ213" s="2829"/>
      <c r="AK213" s="2829"/>
      <c r="AL213" s="2829"/>
      <c r="AM213" s="2829"/>
      <c r="AN213" s="2829"/>
      <c r="AO213" s="2829"/>
      <c r="AP213" s="2829"/>
      <c r="AQ213" s="2829"/>
      <c r="AR213" s="2829"/>
      <c r="AS213" s="2829"/>
      <c r="AT213" s="2849"/>
      <c r="AU213" s="2850"/>
      <c r="AV213" s="447">
        <f t="shared" si="153"/>
        <v>0</v>
      </c>
      <c r="AW213" s="447">
        <f t="shared" si="154"/>
        <v>0</v>
      </c>
      <c r="AX213" s="447">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ht="15.6">
      <c r="A214" s="2794"/>
      <c r="B214" s="2804"/>
      <c r="C214" s="2802"/>
      <c r="D214" s="2803"/>
      <c r="E214" s="2797">
        <f t="shared" si="149"/>
        <v>0</v>
      </c>
      <c r="F214" s="2798"/>
      <c r="G214" s="2799">
        <f t="shared" si="150"/>
        <v>0</v>
      </c>
      <c r="H214" s="2800">
        <f t="shared" si="151"/>
        <v>0</v>
      </c>
      <c r="I214" s="2806"/>
      <c r="J214" s="2818"/>
      <c r="K214" s="2806"/>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6"/>
      <c r="AG214" s="2829"/>
      <c r="AH214" s="2829"/>
      <c r="AI214" s="2829"/>
      <c r="AJ214" s="2829"/>
      <c r="AK214" s="2829"/>
      <c r="AL214" s="2829"/>
      <c r="AM214" s="2829"/>
      <c r="AN214" s="2829"/>
      <c r="AO214" s="2829"/>
      <c r="AP214" s="2829"/>
      <c r="AQ214" s="2829"/>
      <c r="AR214" s="2829"/>
      <c r="AS214" s="2829"/>
      <c r="AT214" s="2849"/>
      <c r="AU214" s="2850"/>
      <c r="AV214" s="447">
        <f t="shared" si="153"/>
        <v>0</v>
      </c>
      <c r="AW214" s="447">
        <f t="shared" si="154"/>
        <v>0</v>
      </c>
      <c r="AX214" s="447">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ht="15.6">
      <c r="A215" s="2794"/>
      <c r="B215" s="2804"/>
      <c r="C215" s="2802"/>
      <c r="D215" s="2803"/>
      <c r="E215" s="2797">
        <f t="shared" si="149"/>
        <v>0</v>
      </c>
      <c r="F215" s="2798"/>
      <c r="G215" s="2799">
        <f t="shared" si="150"/>
        <v>0</v>
      </c>
      <c r="H215" s="2800">
        <f t="shared" si="151"/>
        <v>0</v>
      </c>
      <c r="I215" s="2806"/>
      <c r="J215" s="2818"/>
      <c r="K215" s="2806"/>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6"/>
      <c r="AG215" s="2829"/>
      <c r="AH215" s="2829"/>
      <c r="AI215" s="2829"/>
      <c r="AJ215" s="2829"/>
      <c r="AK215" s="2829"/>
      <c r="AL215" s="2829"/>
      <c r="AM215" s="2829"/>
      <c r="AN215" s="2829"/>
      <c r="AO215" s="2829"/>
      <c r="AP215" s="2829"/>
      <c r="AQ215" s="2829"/>
      <c r="AR215" s="2829"/>
      <c r="AS215" s="2829"/>
      <c r="AT215" s="2849"/>
      <c r="AU215" s="2850"/>
      <c r="AV215" s="447">
        <f t="shared" si="153"/>
        <v>0</v>
      </c>
      <c r="AW215" s="447">
        <f t="shared" si="154"/>
        <v>0</v>
      </c>
      <c r="AX215" s="447">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ht="15.6">
      <c r="A216" s="2794"/>
      <c r="B216" s="2804"/>
      <c r="C216" s="2802"/>
      <c r="D216" s="2803"/>
      <c r="E216" s="2797">
        <f t="shared" si="149"/>
        <v>0</v>
      </c>
      <c r="F216" s="2798"/>
      <c r="G216" s="2799">
        <f t="shared" si="150"/>
        <v>0</v>
      </c>
      <c r="H216" s="2800">
        <f t="shared" si="151"/>
        <v>0</v>
      </c>
      <c r="I216" s="2806"/>
      <c r="J216" s="2818"/>
      <c r="K216" s="2806"/>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6"/>
      <c r="AG216" s="2829"/>
      <c r="AH216" s="2829"/>
      <c r="AI216" s="2829"/>
      <c r="AJ216" s="2829"/>
      <c r="AK216" s="2829"/>
      <c r="AL216" s="2829"/>
      <c r="AM216" s="2829"/>
      <c r="AN216" s="2829"/>
      <c r="AO216" s="2829"/>
      <c r="AP216" s="2829"/>
      <c r="AQ216" s="2829"/>
      <c r="AR216" s="2829"/>
      <c r="AS216" s="2829"/>
      <c r="AT216" s="2849"/>
      <c r="AU216" s="2850"/>
      <c r="AV216" s="447">
        <f t="shared" si="153"/>
        <v>0</v>
      </c>
      <c r="AW216" s="447">
        <f t="shared" si="154"/>
        <v>0</v>
      </c>
      <c r="AX216" s="447">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ht="15.6">
      <c r="A217" s="2794"/>
      <c r="B217" s="2804"/>
      <c r="C217" s="2802"/>
      <c r="D217" s="2803"/>
      <c r="E217" s="2797">
        <f t="shared" si="149"/>
        <v>0</v>
      </c>
      <c r="F217" s="2798"/>
      <c r="G217" s="2799">
        <f t="shared" si="150"/>
        <v>0</v>
      </c>
      <c r="H217" s="2800">
        <f t="shared" si="151"/>
        <v>0</v>
      </c>
      <c r="I217" s="2806"/>
      <c r="J217" s="2818"/>
      <c r="K217" s="2806"/>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6"/>
      <c r="AG217" s="2829"/>
      <c r="AH217" s="2829"/>
      <c r="AI217" s="2829"/>
      <c r="AJ217" s="2829"/>
      <c r="AK217" s="2829"/>
      <c r="AL217" s="2829"/>
      <c r="AM217" s="2829"/>
      <c r="AN217" s="2829"/>
      <c r="AO217" s="2829"/>
      <c r="AP217" s="2829"/>
      <c r="AQ217" s="2829"/>
      <c r="AR217" s="2829"/>
      <c r="AS217" s="2829"/>
      <c r="AT217" s="2849"/>
      <c r="AU217" s="2850"/>
      <c r="AV217" s="447">
        <f t="shared" si="153"/>
        <v>0</v>
      </c>
      <c r="AW217" s="447">
        <f t="shared" si="154"/>
        <v>0</v>
      </c>
      <c r="AX217" s="447">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ht="15.6">
      <c r="A218" s="2794"/>
      <c r="B218" s="2804"/>
      <c r="C218" s="2802"/>
      <c r="D218" s="2803"/>
      <c r="E218" s="2797">
        <f t="shared" si="149"/>
        <v>0</v>
      </c>
      <c r="F218" s="2798"/>
      <c r="G218" s="2799">
        <f t="shared" si="150"/>
        <v>0</v>
      </c>
      <c r="H218" s="2800">
        <f t="shared" si="151"/>
        <v>0</v>
      </c>
      <c r="I218" s="2806"/>
      <c r="J218" s="2818"/>
      <c r="K218" s="2806"/>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6"/>
      <c r="AG218" s="2829"/>
      <c r="AH218" s="2829"/>
      <c r="AI218" s="2829"/>
      <c r="AJ218" s="2829"/>
      <c r="AK218" s="2829"/>
      <c r="AL218" s="2829"/>
      <c r="AM218" s="2829"/>
      <c r="AN218" s="2829"/>
      <c r="AO218" s="2829"/>
      <c r="AP218" s="2829"/>
      <c r="AQ218" s="2829"/>
      <c r="AR218" s="2829"/>
      <c r="AS218" s="2829"/>
      <c r="AT218" s="2849"/>
      <c r="AU218" s="2850"/>
      <c r="AV218" s="447">
        <f t="shared" si="153"/>
        <v>0</v>
      </c>
      <c r="AW218" s="447">
        <f t="shared" si="154"/>
        <v>0</v>
      </c>
      <c r="AX218" s="447">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ht="15.6">
      <c r="A219" s="2794"/>
      <c r="B219" s="2804"/>
      <c r="C219" s="2802"/>
      <c r="D219" s="2803"/>
      <c r="E219" s="2797">
        <f t="shared" si="149"/>
        <v>0</v>
      </c>
      <c r="F219" s="2798"/>
      <c r="G219" s="2799">
        <f t="shared" si="150"/>
        <v>0</v>
      </c>
      <c r="H219" s="2800">
        <f t="shared" si="151"/>
        <v>0</v>
      </c>
      <c r="I219" s="2806"/>
      <c r="J219" s="2818"/>
      <c r="K219" s="2806"/>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6"/>
      <c r="AG219" s="2829"/>
      <c r="AH219" s="2829"/>
      <c r="AI219" s="2829"/>
      <c r="AJ219" s="2829"/>
      <c r="AK219" s="2829"/>
      <c r="AL219" s="2829"/>
      <c r="AM219" s="2829"/>
      <c r="AN219" s="2829"/>
      <c r="AO219" s="2829"/>
      <c r="AP219" s="2829"/>
      <c r="AQ219" s="2829"/>
      <c r="AR219" s="2829"/>
      <c r="AS219" s="2829"/>
      <c r="AT219" s="2849"/>
      <c r="AU219" s="2850"/>
      <c r="AV219" s="447">
        <f t="shared" si="153"/>
        <v>0</v>
      </c>
      <c r="AW219" s="447">
        <f t="shared" si="154"/>
        <v>0</v>
      </c>
      <c r="AX219" s="447">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ht="15.6">
      <c r="A220" s="2794"/>
      <c r="B220" s="2804"/>
      <c r="C220" s="2802"/>
      <c r="D220" s="2803"/>
      <c r="E220" s="2797">
        <f t="shared" si="149"/>
        <v>0</v>
      </c>
      <c r="F220" s="2798"/>
      <c r="G220" s="2799">
        <f t="shared" si="150"/>
        <v>0</v>
      </c>
      <c r="H220" s="2800">
        <f t="shared" si="151"/>
        <v>0</v>
      </c>
      <c r="I220" s="2806"/>
      <c r="J220" s="2818"/>
      <c r="K220" s="2806"/>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6"/>
      <c r="AG220" s="2829"/>
      <c r="AH220" s="2829"/>
      <c r="AI220" s="2829"/>
      <c r="AJ220" s="2829"/>
      <c r="AK220" s="2829"/>
      <c r="AL220" s="2829"/>
      <c r="AM220" s="2829"/>
      <c r="AN220" s="2829"/>
      <c r="AO220" s="2829"/>
      <c r="AP220" s="2829"/>
      <c r="AQ220" s="2829"/>
      <c r="AR220" s="2829"/>
      <c r="AS220" s="2829"/>
      <c r="AT220" s="2849"/>
      <c r="AU220" s="2850"/>
      <c r="AV220" s="447">
        <f t="shared" si="153"/>
        <v>0</v>
      </c>
      <c r="AW220" s="447">
        <f t="shared" si="154"/>
        <v>0</v>
      </c>
      <c r="AX220" s="447">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ht="15.6">
      <c r="A221" s="2794"/>
      <c r="B221" s="2804"/>
      <c r="C221" s="2802"/>
      <c r="D221" s="2803"/>
      <c r="E221" s="2797">
        <f t="shared" si="149"/>
        <v>0</v>
      </c>
      <c r="F221" s="2798"/>
      <c r="G221" s="2799">
        <f t="shared" si="150"/>
        <v>0</v>
      </c>
      <c r="H221" s="2800">
        <f t="shared" si="151"/>
        <v>0</v>
      </c>
      <c r="I221" s="2806"/>
      <c r="J221" s="2818"/>
      <c r="K221" s="2806"/>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6"/>
      <c r="AG221" s="2829"/>
      <c r="AH221" s="2829"/>
      <c r="AI221" s="2829"/>
      <c r="AJ221" s="2829"/>
      <c r="AK221" s="2829"/>
      <c r="AL221" s="2829"/>
      <c r="AM221" s="2829"/>
      <c r="AN221" s="2829"/>
      <c r="AO221" s="2829"/>
      <c r="AP221" s="2829"/>
      <c r="AQ221" s="2829"/>
      <c r="AR221" s="2829"/>
      <c r="AS221" s="2829"/>
      <c r="AT221" s="2849"/>
      <c r="AU221" s="2850"/>
      <c r="AV221" s="447">
        <f t="shared" si="153"/>
        <v>0</v>
      </c>
      <c r="AW221" s="447">
        <f t="shared" si="154"/>
        <v>0</v>
      </c>
      <c r="AX221" s="447">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ht="15.6">
      <c r="A222" s="2794"/>
      <c r="B222" s="2804"/>
      <c r="C222" s="2802"/>
      <c r="D222" s="2803"/>
      <c r="E222" s="2797">
        <f t="shared" si="149"/>
        <v>0</v>
      </c>
      <c r="F222" s="2798"/>
      <c r="G222" s="2799">
        <f t="shared" si="150"/>
        <v>0</v>
      </c>
      <c r="H222" s="2800">
        <f t="shared" si="151"/>
        <v>0</v>
      </c>
      <c r="I222" s="2806"/>
      <c r="J222" s="2818"/>
      <c r="K222" s="2806"/>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6"/>
      <c r="AG222" s="2829"/>
      <c r="AH222" s="2829"/>
      <c r="AI222" s="2829"/>
      <c r="AJ222" s="2829"/>
      <c r="AK222" s="2829"/>
      <c r="AL222" s="2829"/>
      <c r="AM222" s="2829"/>
      <c r="AN222" s="2829"/>
      <c r="AO222" s="2829"/>
      <c r="AP222" s="2829"/>
      <c r="AQ222" s="2829"/>
      <c r="AR222" s="2829"/>
      <c r="AS222" s="2829"/>
      <c r="AT222" s="2849"/>
      <c r="AU222" s="2850"/>
      <c r="AV222" s="447">
        <f t="shared" si="153"/>
        <v>0</v>
      </c>
      <c r="AW222" s="447">
        <f t="shared" si="154"/>
        <v>0</v>
      </c>
      <c r="AX222" s="447">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ht="15.6">
      <c r="A223" s="2794"/>
      <c r="B223" s="2804"/>
      <c r="C223" s="2802"/>
      <c r="D223" s="2803"/>
      <c r="E223" s="2797">
        <f t="shared" si="149"/>
        <v>0</v>
      </c>
      <c r="F223" s="2798"/>
      <c r="G223" s="2799">
        <f t="shared" si="150"/>
        <v>0</v>
      </c>
      <c r="H223" s="2800">
        <f t="shared" si="151"/>
        <v>0</v>
      </c>
      <c r="I223" s="2806"/>
      <c r="J223" s="2818"/>
      <c r="K223" s="2806"/>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6"/>
      <c r="AG223" s="2829"/>
      <c r="AH223" s="2829"/>
      <c r="AI223" s="2829"/>
      <c r="AJ223" s="2829"/>
      <c r="AK223" s="2829"/>
      <c r="AL223" s="2829"/>
      <c r="AM223" s="2829"/>
      <c r="AN223" s="2829"/>
      <c r="AO223" s="2829"/>
      <c r="AP223" s="2829"/>
      <c r="AQ223" s="2829"/>
      <c r="AR223" s="2829"/>
      <c r="AS223" s="2829"/>
      <c r="AT223" s="2849"/>
      <c r="AU223" s="2850"/>
      <c r="AV223" s="447">
        <f t="shared" si="153"/>
        <v>0</v>
      </c>
      <c r="AW223" s="447">
        <f t="shared" si="154"/>
        <v>0</v>
      </c>
      <c r="AX223" s="447">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ht="15.6">
      <c r="A224" s="2794"/>
      <c r="B224" s="2804"/>
      <c r="C224" s="2802"/>
      <c r="D224" s="2803"/>
      <c r="E224" s="2797">
        <f t="shared" si="149"/>
        <v>0</v>
      </c>
      <c r="F224" s="2798"/>
      <c r="G224" s="2799">
        <f t="shared" si="150"/>
        <v>0</v>
      </c>
      <c r="H224" s="2800">
        <f t="shared" si="151"/>
        <v>0</v>
      </c>
      <c r="I224" s="2806"/>
      <c r="J224" s="2818"/>
      <c r="K224" s="2806"/>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6"/>
      <c r="AG224" s="2829"/>
      <c r="AH224" s="2829"/>
      <c r="AI224" s="2829"/>
      <c r="AJ224" s="2829"/>
      <c r="AK224" s="2829"/>
      <c r="AL224" s="2829"/>
      <c r="AM224" s="2829"/>
      <c r="AN224" s="2829"/>
      <c r="AO224" s="2829"/>
      <c r="AP224" s="2829"/>
      <c r="AQ224" s="2829"/>
      <c r="AR224" s="2829"/>
      <c r="AS224" s="2829"/>
      <c r="AT224" s="2849"/>
      <c r="AU224" s="2850"/>
      <c r="AV224" s="447">
        <f t="shared" si="153"/>
        <v>0</v>
      </c>
      <c r="AW224" s="447">
        <f t="shared" si="154"/>
        <v>0</v>
      </c>
      <c r="AX224" s="447">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ht="15.6">
      <c r="A225" s="2794"/>
      <c r="B225" s="2804"/>
      <c r="C225" s="2802"/>
      <c r="D225" s="2803"/>
      <c r="E225" s="2797">
        <f t="shared" si="149"/>
        <v>0</v>
      </c>
      <c r="F225" s="2798"/>
      <c r="G225" s="2799">
        <f t="shared" si="150"/>
        <v>0</v>
      </c>
      <c r="H225" s="2800">
        <f t="shared" si="151"/>
        <v>0</v>
      </c>
      <c r="I225" s="2806"/>
      <c r="J225" s="2818"/>
      <c r="K225" s="2806"/>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6"/>
      <c r="AG225" s="2829"/>
      <c r="AH225" s="2829"/>
      <c r="AI225" s="2829"/>
      <c r="AJ225" s="2829"/>
      <c r="AK225" s="2829"/>
      <c r="AL225" s="2829"/>
      <c r="AM225" s="2829"/>
      <c r="AN225" s="2829"/>
      <c r="AO225" s="2829"/>
      <c r="AP225" s="2829"/>
      <c r="AQ225" s="2829"/>
      <c r="AR225" s="2829"/>
      <c r="AS225" s="2829"/>
      <c r="AT225" s="2849"/>
      <c r="AU225" s="2850"/>
      <c r="AV225" s="447">
        <f t="shared" si="153"/>
        <v>0</v>
      </c>
      <c r="AW225" s="447">
        <f t="shared" si="154"/>
        <v>0</v>
      </c>
      <c r="AX225" s="447">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ht="15.6">
      <c r="A226" s="2794"/>
      <c r="B226" s="2804"/>
      <c r="C226" s="2802"/>
      <c r="D226" s="2803"/>
      <c r="E226" s="2797">
        <f t="shared" si="149"/>
        <v>0</v>
      </c>
      <c r="F226" s="2798"/>
      <c r="G226" s="2799">
        <f t="shared" si="150"/>
        <v>0</v>
      </c>
      <c r="H226" s="2800">
        <f t="shared" si="151"/>
        <v>0</v>
      </c>
      <c r="I226" s="2806"/>
      <c r="J226" s="2818"/>
      <c r="K226" s="2806"/>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6"/>
      <c r="AG226" s="2829"/>
      <c r="AH226" s="2829"/>
      <c r="AI226" s="2829"/>
      <c r="AJ226" s="2829"/>
      <c r="AK226" s="2829"/>
      <c r="AL226" s="2829"/>
      <c r="AM226" s="2829"/>
      <c r="AN226" s="2829"/>
      <c r="AO226" s="2829"/>
      <c r="AP226" s="2829"/>
      <c r="AQ226" s="2829"/>
      <c r="AR226" s="2829"/>
      <c r="AS226" s="2829"/>
      <c r="AT226" s="2849"/>
      <c r="AU226" s="2850"/>
      <c r="AV226" s="447">
        <f t="shared" si="153"/>
        <v>0</v>
      </c>
      <c r="AW226" s="447">
        <f t="shared" si="154"/>
        <v>0</v>
      </c>
      <c r="AX226" s="447">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ht="15.6">
      <c r="A227" s="2794"/>
      <c r="B227" s="2804"/>
      <c r="C227" s="2802"/>
      <c r="D227" s="2803"/>
      <c r="E227" s="2797">
        <f t="shared" si="149"/>
        <v>0</v>
      </c>
      <c r="F227" s="2798"/>
      <c r="G227" s="2799">
        <f t="shared" si="150"/>
        <v>0</v>
      </c>
      <c r="H227" s="2800">
        <f t="shared" si="151"/>
        <v>0</v>
      </c>
      <c r="I227" s="2806"/>
      <c r="J227" s="2818"/>
      <c r="K227" s="2806"/>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6"/>
      <c r="AG227" s="2829"/>
      <c r="AH227" s="2829"/>
      <c r="AI227" s="2829"/>
      <c r="AJ227" s="2829"/>
      <c r="AK227" s="2829"/>
      <c r="AL227" s="2829"/>
      <c r="AM227" s="2829"/>
      <c r="AN227" s="2829"/>
      <c r="AO227" s="2829"/>
      <c r="AP227" s="2829"/>
      <c r="AQ227" s="2829"/>
      <c r="AR227" s="2829"/>
      <c r="AS227" s="2829"/>
      <c r="AT227" s="2849"/>
      <c r="AU227" s="2850"/>
      <c r="AV227" s="447">
        <f t="shared" si="153"/>
        <v>0</v>
      </c>
      <c r="AW227" s="447">
        <f t="shared" si="154"/>
        <v>0</v>
      </c>
      <c r="AX227" s="447">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ht="15.6">
      <c r="A228" s="2794"/>
      <c r="B228" s="2804"/>
      <c r="C228" s="2802"/>
      <c r="D228" s="2803"/>
      <c r="E228" s="2797">
        <f t="shared" si="149"/>
        <v>0</v>
      </c>
      <c r="F228" s="2798"/>
      <c r="G228" s="2799">
        <f t="shared" si="150"/>
        <v>0</v>
      </c>
      <c r="H228" s="2800">
        <f t="shared" si="151"/>
        <v>0</v>
      </c>
      <c r="I228" s="2806"/>
      <c r="J228" s="2818"/>
      <c r="K228" s="2806"/>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6"/>
      <c r="AG228" s="2829"/>
      <c r="AH228" s="2829"/>
      <c r="AI228" s="2829"/>
      <c r="AJ228" s="2829"/>
      <c r="AK228" s="2829"/>
      <c r="AL228" s="2829"/>
      <c r="AM228" s="2829"/>
      <c r="AN228" s="2829"/>
      <c r="AO228" s="2829"/>
      <c r="AP228" s="2829"/>
      <c r="AQ228" s="2829"/>
      <c r="AR228" s="2829"/>
      <c r="AS228" s="2829"/>
      <c r="AT228" s="2849"/>
      <c r="AU228" s="2850"/>
      <c r="AV228" s="447">
        <f t="shared" si="153"/>
        <v>0</v>
      </c>
      <c r="AW228" s="447">
        <f t="shared" si="154"/>
        <v>0</v>
      </c>
      <c r="AX228" s="447">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ht="15.6">
      <c r="A229" s="2794"/>
      <c r="B229" s="2804"/>
      <c r="C229" s="2802"/>
      <c r="D229" s="2803"/>
      <c r="E229" s="2797">
        <f t="shared" si="149"/>
        <v>0</v>
      </c>
      <c r="F229" s="2798"/>
      <c r="G229" s="2799">
        <f t="shared" si="150"/>
        <v>0</v>
      </c>
      <c r="H229" s="2800">
        <f t="shared" si="151"/>
        <v>0</v>
      </c>
      <c r="I229" s="2806"/>
      <c r="J229" s="2818"/>
      <c r="K229" s="2806"/>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6"/>
      <c r="AG229" s="2829"/>
      <c r="AH229" s="2829"/>
      <c r="AI229" s="2829"/>
      <c r="AJ229" s="2829"/>
      <c r="AK229" s="2829"/>
      <c r="AL229" s="2829"/>
      <c r="AM229" s="2829"/>
      <c r="AN229" s="2829"/>
      <c r="AO229" s="2829"/>
      <c r="AP229" s="2829"/>
      <c r="AQ229" s="2829"/>
      <c r="AR229" s="2829"/>
      <c r="AS229" s="2829"/>
      <c r="AT229" s="2849"/>
      <c r="AU229" s="2850"/>
      <c r="AV229" s="447">
        <f t="shared" si="153"/>
        <v>0</v>
      </c>
      <c r="AW229" s="447">
        <f t="shared" si="154"/>
        <v>0</v>
      </c>
      <c r="AX229" s="447">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ht="15.6">
      <c r="A230" s="2794"/>
      <c r="B230" s="2804"/>
      <c r="C230" s="2802"/>
      <c r="D230" s="2803"/>
      <c r="E230" s="2797">
        <f t="shared" si="149"/>
        <v>0</v>
      </c>
      <c r="F230" s="2798"/>
      <c r="G230" s="2799">
        <f t="shared" si="150"/>
        <v>0</v>
      </c>
      <c r="H230" s="2800">
        <f t="shared" si="151"/>
        <v>0</v>
      </c>
      <c r="I230" s="2806"/>
      <c r="J230" s="2818"/>
      <c r="K230" s="2806"/>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6"/>
      <c r="AG230" s="2829"/>
      <c r="AH230" s="2829"/>
      <c r="AI230" s="2829"/>
      <c r="AJ230" s="2829"/>
      <c r="AK230" s="2829"/>
      <c r="AL230" s="2829"/>
      <c r="AM230" s="2829"/>
      <c r="AN230" s="2829"/>
      <c r="AO230" s="2829"/>
      <c r="AP230" s="2829"/>
      <c r="AQ230" s="2829"/>
      <c r="AR230" s="2829"/>
      <c r="AS230" s="2829"/>
      <c r="AT230" s="2849"/>
      <c r="AU230" s="2850"/>
      <c r="AV230" s="447">
        <f t="shared" si="153"/>
        <v>0</v>
      </c>
      <c r="AW230" s="447">
        <f t="shared" si="154"/>
        <v>0</v>
      </c>
      <c r="AX230" s="447">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ht="15.6">
      <c r="A231" s="2794"/>
      <c r="B231" s="2804"/>
      <c r="C231" s="2802"/>
      <c r="D231" s="2803"/>
      <c r="E231" s="2797">
        <f t="shared" si="149"/>
        <v>0</v>
      </c>
      <c r="F231" s="2798"/>
      <c r="G231" s="2799">
        <f t="shared" si="150"/>
        <v>0</v>
      </c>
      <c r="H231" s="2800">
        <f t="shared" si="151"/>
        <v>0</v>
      </c>
      <c r="I231" s="2806"/>
      <c r="J231" s="2818"/>
      <c r="K231" s="2806"/>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447">
        <f t="shared" si="153"/>
        <v>0</v>
      </c>
      <c r="AW231" s="447">
        <f t="shared" si="154"/>
        <v>0</v>
      </c>
      <c r="AX231" s="447">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ht="15.6">
      <c r="A232" s="2794"/>
      <c r="B232" s="2804"/>
      <c r="C232" s="2802"/>
      <c r="D232" s="2803"/>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447">
        <f t="shared" si="153"/>
        <v>0</v>
      </c>
      <c r="AW232" s="447">
        <f t="shared" si="154"/>
        <v>0</v>
      </c>
      <c r="AX232" s="447">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ht="15.6">
      <c r="A233" s="2794"/>
      <c r="B233" s="2804"/>
      <c r="C233" s="2802"/>
      <c r="D233" s="2803"/>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447">
        <f t="shared" si="153"/>
        <v>0</v>
      </c>
      <c r="AW233" s="447">
        <f t="shared" si="154"/>
        <v>0</v>
      </c>
      <c r="AX233" s="447">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ht="15.6">
      <c r="A234" s="2794"/>
      <c r="B234" s="2804"/>
      <c r="C234" s="2802"/>
      <c r="D234" s="2803"/>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447">
        <f t="shared" si="153"/>
        <v>0</v>
      </c>
      <c r="AW234" s="447">
        <f t="shared" si="154"/>
        <v>0</v>
      </c>
      <c r="AX234" s="447">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ht="15.6">
      <c r="A235" s="2794"/>
      <c r="B235" s="2804"/>
      <c r="C235" s="2802"/>
      <c r="D235" s="2803"/>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447">
        <f t="shared" si="153"/>
        <v>0</v>
      </c>
      <c r="AW235" s="447">
        <f t="shared" si="154"/>
        <v>0</v>
      </c>
      <c r="AX235" s="447">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ht="15.6">
      <c r="A236" s="2794"/>
      <c r="B236" s="2804"/>
      <c r="C236" s="2802"/>
      <c r="D236" s="2803"/>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447">
        <f t="shared" si="153"/>
        <v>0</v>
      </c>
      <c r="AW236" s="447">
        <f t="shared" si="154"/>
        <v>0</v>
      </c>
      <c r="AX236" s="447">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ht="15.6">
      <c r="A237" s="2794"/>
      <c r="B237" s="2804"/>
      <c r="C237" s="2802"/>
      <c r="D237" s="2803"/>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447">
        <f t="shared" si="153"/>
        <v>0</v>
      </c>
      <c r="AW237" s="447">
        <f t="shared" si="154"/>
        <v>0</v>
      </c>
      <c r="AX237" s="447">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ht="15.6">
      <c r="A238" s="2794"/>
      <c r="B238" s="2804"/>
      <c r="C238" s="2802"/>
      <c r="D238" s="2803"/>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447">
        <f t="shared" si="153"/>
        <v>0</v>
      </c>
      <c r="AW238" s="447">
        <f t="shared" si="154"/>
        <v>0</v>
      </c>
      <c r="AX238" s="447">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ht="15.6">
      <c r="A239" s="2794"/>
      <c r="B239" s="2805"/>
      <c r="C239" s="2806"/>
      <c r="D239" s="2803"/>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447">
        <f t="shared" si="153"/>
        <v>0</v>
      </c>
      <c r="AW239" s="447">
        <f t="shared" si="154"/>
        <v>0</v>
      </c>
      <c r="AX239" s="447">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447">
        <f t="shared" si="153"/>
        <v>0</v>
      </c>
      <c r="AW240" s="447">
        <f t="shared" si="154"/>
        <v>0</v>
      </c>
      <c r="AX240" s="447">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447">
        <f t="shared" si="153"/>
        <v>0</v>
      </c>
      <c r="AW241" s="447">
        <f t="shared" si="154"/>
        <v>0</v>
      </c>
      <c r="AX241" s="447">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447">
        <f t="shared" si="153"/>
        <v>0</v>
      </c>
      <c r="AW242" s="447">
        <f t="shared" si="154"/>
        <v>0</v>
      </c>
      <c r="AX242" s="447">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447">
        <f t="shared" si="153"/>
        <v>0</v>
      </c>
      <c r="AW243" s="447">
        <f t="shared" si="154"/>
        <v>0</v>
      </c>
      <c r="AX243" s="447">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447">
        <f t="shared" si="153"/>
        <v>0</v>
      </c>
      <c r="AW244" s="447">
        <f t="shared" si="154"/>
        <v>0</v>
      </c>
      <c r="AX244" s="447">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447">
        <f t="shared" si="153"/>
        <v>0</v>
      </c>
      <c r="AW245" s="447">
        <f t="shared" si="154"/>
        <v>0</v>
      </c>
      <c r="AX245" s="447">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447">
        <f t="shared" si="153"/>
        <v>0</v>
      </c>
      <c r="AW246" s="447">
        <f t="shared" si="154"/>
        <v>0</v>
      </c>
      <c r="AX246" s="447">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447">
        <f t="shared" si="153"/>
        <v>0</v>
      </c>
      <c r="AW247" s="447">
        <f t="shared" si="154"/>
        <v>0</v>
      </c>
      <c r="AX247" s="447">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447">
        <f t="shared" si="153"/>
        <v>0</v>
      </c>
      <c r="AW248" s="447">
        <f t="shared" si="154"/>
        <v>0</v>
      </c>
      <c r="AX248" s="447">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447">
        <f t="shared" si="153"/>
        <v>0</v>
      </c>
      <c r="AW249" s="447">
        <f t="shared" si="154"/>
        <v>0</v>
      </c>
      <c r="AX249" s="447">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447">
        <f t="shared" si="153"/>
        <v>0</v>
      </c>
      <c r="AW250" s="447">
        <f t="shared" si="154"/>
        <v>0</v>
      </c>
      <c r="AX250" s="447">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447">
        <f t="shared" si="153"/>
        <v>0</v>
      </c>
      <c r="AW251" s="447">
        <f t="shared" si="154"/>
        <v>0</v>
      </c>
      <c r="AX251" s="447">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447">
        <f t="shared" si="153"/>
        <v>0</v>
      </c>
      <c r="AW252" s="447">
        <f t="shared" si="154"/>
        <v>0</v>
      </c>
      <c r="AX252" s="447">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447">
        <f t="shared" si="153"/>
        <v>0</v>
      </c>
      <c r="AW253" s="447">
        <f t="shared" si="154"/>
        <v>0</v>
      </c>
      <c r="AX253" s="447">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447">
        <f t="shared" si="153"/>
        <v>0</v>
      </c>
      <c r="AW254" s="447">
        <f t="shared" si="154"/>
        <v>0</v>
      </c>
      <c r="AX254" s="447">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447">
        <f t="shared" si="153"/>
        <v>0</v>
      </c>
      <c r="AW255" s="447">
        <f t="shared" si="154"/>
        <v>0</v>
      </c>
      <c r="AX255" s="447">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447">
        <f t="shared" si="153"/>
        <v>0</v>
      </c>
      <c r="AW256" s="447">
        <f t="shared" si="154"/>
        <v>0</v>
      </c>
      <c r="AX256" s="447">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447">
        <f t="shared" si="153"/>
        <v>0</v>
      </c>
      <c r="AW257" s="447">
        <f t="shared" si="154"/>
        <v>0</v>
      </c>
      <c r="AX257" s="447">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447">
        <f t="shared" si="153"/>
        <v>0</v>
      </c>
      <c r="AW258" s="447">
        <f t="shared" si="154"/>
        <v>0</v>
      </c>
      <c r="AX258" s="447">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447">
        <f t="shared" si="153"/>
        <v>0</v>
      </c>
      <c r="AW259" s="447">
        <f t="shared" si="154"/>
        <v>0</v>
      </c>
      <c r="AX259" s="447">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447">
        <f t="shared" si="153"/>
        <v>0</v>
      </c>
      <c r="AW260" s="447">
        <f t="shared" si="154"/>
        <v>0</v>
      </c>
      <c r="AX260" s="447">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447">
        <f t="shared" si="153"/>
        <v>0</v>
      </c>
      <c r="AW261" s="447">
        <f t="shared" si="154"/>
        <v>0</v>
      </c>
      <c r="AX261" s="447">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447">
        <f t="shared" si="153"/>
        <v>0</v>
      </c>
      <c r="AW262" s="447">
        <f t="shared" si="154"/>
        <v>0</v>
      </c>
      <c r="AX262" s="447">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447">
        <f t="shared" si="153"/>
        <v>0</v>
      </c>
      <c r="AW263" s="447">
        <f t="shared" si="154"/>
        <v>0</v>
      </c>
      <c r="AX263" s="447">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447">
        <f t="shared" si="153"/>
        <v>0</v>
      </c>
      <c r="AW264" s="447">
        <f t="shared" si="154"/>
        <v>0</v>
      </c>
      <c r="AX264" s="447">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447">
        <f t="shared" si="153"/>
        <v>0</v>
      </c>
      <c r="AW265" s="447">
        <f t="shared" si="154"/>
        <v>0</v>
      </c>
      <c r="AX265" s="447">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447">
        <f t="shared" si="153"/>
        <v>0</v>
      </c>
      <c r="AW266" s="447">
        <f t="shared" si="154"/>
        <v>0</v>
      </c>
      <c r="AX266" s="447">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447">
        <f t="shared" si="153"/>
        <v>0</v>
      </c>
      <c r="AW267" s="447">
        <f t="shared" si="154"/>
        <v>0</v>
      </c>
      <c r="AX267" s="447">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447">
        <f t="shared" si="153"/>
        <v>0</v>
      </c>
      <c r="AW268" s="447">
        <f t="shared" si="154"/>
        <v>0</v>
      </c>
      <c r="AX268" s="447">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447">
        <f t="shared" si="153"/>
        <v>0</v>
      </c>
      <c r="AW269" s="447">
        <f t="shared" si="154"/>
        <v>0</v>
      </c>
      <c r="AX269" s="447">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447">
        <f t="shared" si="153"/>
        <v>0</v>
      </c>
      <c r="AW270" s="447">
        <f t="shared" si="154"/>
        <v>0</v>
      </c>
      <c r="AX270" s="447">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447">
        <f t="shared" si="153"/>
        <v>0</v>
      </c>
      <c r="AW271" s="447">
        <f t="shared" si="154"/>
        <v>0</v>
      </c>
      <c r="AX271" s="447">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447">
        <f t="shared" si="153"/>
        <v>0</v>
      </c>
      <c r="AW272" s="447">
        <f t="shared" si="154"/>
        <v>0</v>
      </c>
      <c r="AX272" s="447">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447">
        <f t="shared" si="153"/>
        <v>0</v>
      </c>
      <c r="AW273" s="447">
        <f t="shared" si="154"/>
        <v>0</v>
      </c>
      <c r="AX273" s="447">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447">
        <f t="shared" si="153"/>
        <v>0</v>
      </c>
      <c r="AW274" s="447">
        <f t="shared" si="154"/>
        <v>0</v>
      </c>
      <c r="AX274" s="447">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447">
        <f t="shared" si="153"/>
        <v>0</v>
      </c>
      <c r="AW275" s="447">
        <f t="shared" si="154"/>
        <v>0</v>
      </c>
      <c r="AX275" s="447">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447">
        <f t="shared" si="153"/>
        <v>0</v>
      </c>
      <c r="AW276" s="447">
        <f t="shared" si="154"/>
        <v>0</v>
      </c>
      <c r="AX276" s="447">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447">
        <f t="shared" si="153"/>
        <v>0</v>
      </c>
      <c r="AW277" s="447">
        <f t="shared" si="154"/>
        <v>0</v>
      </c>
      <c r="AX277" s="447">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447">
        <f t="shared" si="153"/>
        <v>0</v>
      </c>
      <c r="AW278" s="447">
        <f t="shared" si="154"/>
        <v>0</v>
      </c>
      <c r="AX278" s="447">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447">
        <f t="shared" si="153"/>
        <v>0</v>
      </c>
      <c r="AW279" s="447">
        <f t="shared" si="154"/>
        <v>0</v>
      </c>
      <c r="AX279" s="447">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447">
        <f t="shared" si="153"/>
        <v>0</v>
      </c>
      <c r="AW280" s="447">
        <f t="shared" si="154"/>
        <v>0</v>
      </c>
      <c r="AX280" s="447">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447">
        <f t="shared" si="153"/>
        <v>0</v>
      </c>
      <c r="AW281" s="447">
        <f t="shared" si="154"/>
        <v>0</v>
      </c>
      <c r="AX281" s="447">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447">
        <f t="shared" si="153"/>
        <v>0</v>
      </c>
      <c r="AW282" s="447">
        <f t="shared" si="154"/>
        <v>0</v>
      </c>
      <c r="AX282" s="447">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447">
        <f t="shared" si="153"/>
        <v>0</v>
      </c>
      <c r="AW283" s="447">
        <f t="shared" si="154"/>
        <v>0</v>
      </c>
      <c r="AX283" s="447">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447">
        <f t="shared" si="153"/>
        <v>0</v>
      </c>
      <c r="AW284" s="447">
        <f t="shared" si="154"/>
        <v>0</v>
      </c>
      <c r="AX284" s="447">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447">
        <f t="shared" si="153"/>
        <v>0</v>
      </c>
      <c r="AW285" s="447">
        <f t="shared" si="154"/>
        <v>0</v>
      </c>
      <c r="AX285" s="447">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447">
        <f t="shared" si="153"/>
        <v>0</v>
      </c>
      <c r="AW286" s="447">
        <f t="shared" si="154"/>
        <v>0</v>
      </c>
      <c r="AX286" s="447">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447">
        <f t="shared" si="153"/>
        <v>0</v>
      </c>
      <c r="AW287" s="447">
        <f t="shared" si="154"/>
        <v>0</v>
      </c>
      <c r="AX287" s="447">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447">
        <f t="shared" si="153"/>
        <v>0</v>
      </c>
      <c r="AW288" s="447">
        <f t="shared" si="154"/>
        <v>0</v>
      </c>
      <c r="AX288" s="447">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447">
        <f t="shared" si="153"/>
        <v>0</v>
      </c>
      <c r="AW289" s="447">
        <f t="shared" si="154"/>
        <v>0</v>
      </c>
      <c r="AX289" s="447">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447">
        <f t="shared" si="153"/>
        <v>0</v>
      </c>
      <c r="AW290" s="447">
        <f t="shared" si="154"/>
        <v>0</v>
      </c>
      <c r="AX290" s="447">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447">
        <f t="shared" si="153"/>
        <v>0</v>
      </c>
      <c r="AW291" s="447">
        <f t="shared" si="154"/>
        <v>0</v>
      </c>
      <c r="AX291" s="447">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447">
        <f t="shared" si="153"/>
        <v>0</v>
      </c>
      <c r="AW292" s="447">
        <f t="shared" si="154"/>
        <v>0</v>
      </c>
      <c r="AX292" s="447">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447">
        <f t="shared" si="153"/>
        <v>0</v>
      </c>
      <c r="AW293" s="447">
        <f t="shared" si="154"/>
        <v>0</v>
      </c>
      <c r="AX293" s="447">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447">
        <f t="shared" si="153"/>
        <v>0</v>
      </c>
      <c r="AW294" s="447">
        <f t="shared" si="154"/>
        <v>0</v>
      </c>
      <c r="AX294" s="447">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447">
        <f t="shared" si="153"/>
        <v>0</v>
      </c>
      <c r="AW295" s="447">
        <f t="shared" si="154"/>
        <v>0</v>
      </c>
      <c r="AX295" s="447">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447">
        <f t="shared" si="153"/>
        <v>0</v>
      </c>
      <c r="AW296" s="447">
        <f t="shared" si="154"/>
        <v>0</v>
      </c>
      <c r="AX296" s="447">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ht="15.6">
      <c r="A297" s="2794"/>
      <c r="B297" s="2804"/>
      <c r="C297" s="2802"/>
      <c r="D297" s="2803"/>
      <c r="E297" s="2797">
        <f t="shared" ref="E297:E328" si="203">IF($C$3="是",ROUND($A$3*G297/$B$3,2),ROUND($A$3*(G297-AT297)/$B$3,2))</f>
        <v>0</v>
      </c>
      <c r="F297" s="2798"/>
      <c r="G297" s="2799">
        <f t="shared" si="178"/>
        <v>0</v>
      </c>
      <c r="H297" s="2800">
        <f t="shared" si="179"/>
        <v>0</v>
      </c>
      <c r="I297" s="2806"/>
      <c r="J297" s="2818"/>
      <c r="K297" s="2806"/>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447">
        <f t="shared" ref="AV297:AV328" si="204">A297</f>
        <v>0</v>
      </c>
      <c r="AW297" s="447">
        <f t="shared" ref="AW297:AW328" si="205">B297</f>
        <v>0</v>
      </c>
      <c r="AX297" s="447">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ht="15.6">
      <c r="A298" s="2794"/>
      <c r="B298" s="2804"/>
      <c r="C298" s="2802"/>
      <c r="D298" s="2803"/>
      <c r="E298" s="2797">
        <f t="shared" si="203"/>
        <v>0</v>
      </c>
      <c r="F298" s="2798"/>
      <c r="G298" s="2799">
        <f t="shared" si="178"/>
        <v>0</v>
      </c>
      <c r="H298" s="2800">
        <f t="shared" si="179"/>
        <v>0</v>
      </c>
      <c r="I298" s="2806"/>
      <c r="J298" s="2818"/>
      <c r="K298" s="2806"/>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447">
        <f t="shared" si="204"/>
        <v>0</v>
      </c>
      <c r="AW298" s="447">
        <f t="shared" si="205"/>
        <v>0</v>
      </c>
      <c r="AX298" s="447">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ht="15.6">
      <c r="A299" s="2794"/>
      <c r="B299" s="2804"/>
      <c r="C299" s="2802"/>
      <c r="D299" s="2803"/>
      <c r="E299" s="2797">
        <f t="shared" si="203"/>
        <v>0</v>
      </c>
      <c r="F299" s="2798"/>
      <c r="G299" s="2799">
        <f t="shared" si="178"/>
        <v>0</v>
      </c>
      <c r="H299" s="2800">
        <f t="shared" si="179"/>
        <v>0</v>
      </c>
      <c r="I299" s="2806"/>
      <c r="J299" s="2818"/>
      <c r="K299" s="2806"/>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447">
        <f t="shared" si="204"/>
        <v>0</v>
      </c>
      <c r="AW299" s="447">
        <f t="shared" si="205"/>
        <v>0</v>
      </c>
      <c r="AX299" s="447">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ht="15.6">
      <c r="A300" s="2794"/>
      <c r="B300" s="2804"/>
      <c r="C300" s="2802"/>
      <c r="D300" s="2803"/>
      <c r="E300" s="2797">
        <f t="shared" si="203"/>
        <v>0</v>
      </c>
      <c r="F300" s="2798"/>
      <c r="G300" s="2799">
        <f t="shared" si="178"/>
        <v>0</v>
      </c>
      <c r="H300" s="2800">
        <f t="shared" si="179"/>
        <v>0</v>
      </c>
      <c r="I300" s="2806"/>
      <c r="J300" s="2818"/>
      <c r="K300" s="2806"/>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447">
        <f t="shared" si="204"/>
        <v>0</v>
      </c>
      <c r="AW300" s="447">
        <f t="shared" si="205"/>
        <v>0</v>
      </c>
      <c r="AX300" s="447">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ht="15.6">
      <c r="A301" s="2794"/>
      <c r="B301" s="2804"/>
      <c r="C301" s="2802"/>
      <c r="D301" s="2803"/>
      <c r="E301" s="2797">
        <f t="shared" si="203"/>
        <v>0</v>
      </c>
      <c r="F301" s="2798"/>
      <c r="G301" s="2799">
        <f t="shared" si="178"/>
        <v>0</v>
      </c>
      <c r="H301" s="2800">
        <f t="shared" si="179"/>
        <v>0</v>
      </c>
      <c r="I301" s="2806"/>
      <c r="J301" s="2818"/>
      <c r="K301" s="2806"/>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447">
        <f t="shared" si="204"/>
        <v>0</v>
      </c>
      <c r="AW301" s="447">
        <f t="shared" si="205"/>
        <v>0</v>
      </c>
      <c r="AX301" s="447">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ht="15.6">
      <c r="A302" s="2794"/>
      <c r="B302" s="2804"/>
      <c r="C302" s="2802"/>
      <c r="D302" s="2803"/>
      <c r="E302" s="2797">
        <f t="shared" si="203"/>
        <v>0</v>
      </c>
      <c r="F302" s="2798"/>
      <c r="G302" s="2799">
        <f t="shared" si="178"/>
        <v>0</v>
      </c>
      <c r="H302" s="2800">
        <f t="shared" si="179"/>
        <v>0</v>
      </c>
      <c r="I302" s="2806"/>
      <c r="J302" s="2818"/>
      <c r="K302" s="2806"/>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447">
        <f t="shared" si="204"/>
        <v>0</v>
      </c>
      <c r="AW302" s="447">
        <f t="shared" si="205"/>
        <v>0</v>
      </c>
      <c r="AX302" s="447">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ht="15.6">
      <c r="A303" s="2794"/>
      <c r="B303" s="2804"/>
      <c r="C303" s="2802"/>
      <c r="D303" s="2803"/>
      <c r="E303" s="2797">
        <f t="shared" si="203"/>
        <v>0</v>
      </c>
      <c r="F303" s="2798"/>
      <c r="G303" s="2799">
        <f t="shared" si="178"/>
        <v>0</v>
      </c>
      <c r="H303" s="2800">
        <f t="shared" si="179"/>
        <v>0</v>
      </c>
      <c r="I303" s="2806"/>
      <c r="J303" s="2818"/>
      <c r="K303" s="2806"/>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447">
        <f t="shared" si="204"/>
        <v>0</v>
      </c>
      <c r="AW303" s="447">
        <f t="shared" si="205"/>
        <v>0</v>
      </c>
      <c r="AX303" s="447">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ht="15.6">
      <c r="A304" s="2794"/>
      <c r="B304" s="2804"/>
      <c r="C304" s="2802"/>
      <c r="D304" s="2803"/>
      <c r="E304" s="2797">
        <f t="shared" si="203"/>
        <v>0</v>
      </c>
      <c r="F304" s="2798"/>
      <c r="G304" s="2799">
        <f t="shared" si="178"/>
        <v>0</v>
      </c>
      <c r="H304" s="2800">
        <f t="shared" si="179"/>
        <v>0</v>
      </c>
      <c r="I304" s="2806"/>
      <c r="J304" s="2818"/>
      <c r="K304" s="2806"/>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6"/>
      <c r="AG304" s="2829"/>
      <c r="AH304" s="2829"/>
      <c r="AI304" s="2829"/>
      <c r="AJ304" s="2829"/>
      <c r="AK304" s="2829"/>
      <c r="AL304" s="2829"/>
      <c r="AM304" s="2829"/>
      <c r="AN304" s="2829"/>
      <c r="AO304" s="2829"/>
      <c r="AP304" s="2829"/>
      <c r="AQ304" s="2829"/>
      <c r="AR304" s="2829"/>
      <c r="AS304" s="2829"/>
      <c r="AT304" s="2849"/>
      <c r="AU304" s="2850"/>
      <c r="AV304" s="447">
        <f t="shared" si="204"/>
        <v>0</v>
      </c>
      <c r="AW304" s="447">
        <f t="shared" si="205"/>
        <v>0</v>
      </c>
      <c r="AX304" s="447">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ht="15.6">
      <c r="A305" s="2794"/>
      <c r="B305" s="2805"/>
      <c r="C305" s="2806"/>
      <c r="D305" s="2803"/>
      <c r="E305" s="2797">
        <f t="shared" si="203"/>
        <v>0</v>
      </c>
      <c r="F305" s="2798"/>
      <c r="G305" s="2799">
        <f t="shared" si="178"/>
        <v>0</v>
      </c>
      <c r="H305" s="2800">
        <f t="shared" si="179"/>
        <v>0</v>
      </c>
      <c r="I305" s="2806"/>
      <c r="J305" s="2818"/>
      <c r="K305" s="2806"/>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6"/>
      <c r="AG305" s="2829"/>
      <c r="AH305" s="2829"/>
      <c r="AI305" s="2829"/>
      <c r="AJ305" s="2829"/>
      <c r="AK305" s="2829"/>
      <c r="AL305" s="2829"/>
      <c r="AM305" s="2829"/>
      <c r="AN305" s="2829"/>
      <c r="AO305" s="2829"/>
      <c r="AP305" s="2829"/>
      <c r="AQ305" s="2829"/>
      <c r="AR305" s="2829"/>
      <c r="AS305" s="2829"/>
      <c r="AT305" s="2849"/>
      <c r="AU305" s="2850"/>
      <c r="AV305" s="447">
        <f t="shared" si="204"/>
        <v>0</v>
      </c>
      <c r="AW305" s="447">
        <f t="shared" si="205"/>
        <v>0</v>
      </c>
      <c r="AX305" s="447">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ht="15.6">
      <c r="A306" s="2794"/>
      <c r="B306" s="2804"/>
      <c r="C306" s="2802"/>
      <c r="D306" s="2803"/>
      <c r="E306" s="2797">
        <f t="shared" si="203"/>
        <v>0</v>
      </c>
      <c r="F306" s="2798"/>
      <c r="G306" s="2799">
        <f t="shared" si="178"/>
        <v>0</v>
      </c>
      <c r="H306" s="2800">
        <f t="shared" si="179"/>
        <v>0</v>
      </c>
      <c r="I306" s="2806"/>
      <c r="J306" s="2818"/>
      <c r="K306" s="2806"/>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6"/>
      <c r="AG306" s="2829"/>
      <c r="AH306" s="2829"/>
      <c r="AI306" s="2829"/>
      <c r="AJ306" s="2829"/>
      <c r="AK306" s="2829"/>
      <c r="AL306" s="2829"/>
      <c r="AM306" s="2829"/>
      <c r="AN306" s="2829"/>
      <c r="AO306" s="2829"/>
      <c r="AP306" s="2829"/>
      <c r="AQ306" s="2829"/>
      <c r="AR306" s="2829"/>
      <c r="AS306" s="2829"/>
      <c r="AT306" s="2849"/>
      <c r="AU306" s="2850"/>
      <c r="AV306" s="447">
        <f t="shared" si="204"/>
        <v>0</v>
      </c>
      <c r="AW306" s="447">
        <f t="shared" si="205"/>
        <v>0</v>
      </c>
      <c r="AX306" s="447">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ht="15.6">
      <c r="A307" s="2794"/>
      <c r="B307" s="2804"/>
      <c r="C307" s="2802"/>
      <c r="D307" s="2803"/>
      <c r="E307" s="2797">
        <f t="shared" si="203"/>
        <v>0</v>
      </c>
      <c r="F307" s="2798"/>
      <c r="G307" s="2799">
        <f t="shared" si="178"/>
        <v>0</v>
      </c>
      <c r="H307" s="2800">
        <f t="shared" si="179"/>
        <v>0</v>
      </c>
      <c r="I307" s="2806"/>
      <c r="J307" s="2818"/>
      <c r="K307" s="2806"/>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6"/>
      <c r="AG307" s="2829"/>
      <c r="AH307" s="2829"/>
      <c r="AI307" s="2829"/>
      <c r="AJ307" s="2829"/>
      <c r="AK307" s="2829"/>
      <c r="AL307" s="2829"/>
      <c r="AM307" s="2829"/>
      <c r="AN307" s="2829"/>
      <c r="AO307" s="2829"/>
      <c r="AP307" s="2829"/>
      <c r="AQ307" s="2829"/>
      <c r="AR307" s="2829"/>
      <c r="AS307" s="2829"/>
      <c r="AT307" s="2849"/>
      <c r="AU307" s="2850"/>
      <c r="AV307" s="447">
        <f t="shared" si="204"/>
        <v>0</v>
      </c>
      <c r="AW307" s="447">
        <f t="shared" si="205"/>
        <v>0</v>
      </c>
      <c r="AX307" s="447">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ht="15.6">
      <c r="A308" s="2794"/>
      <c r="B308" s="2804"/>
      <c r="C308" s="2802"/>
      <c r="D308" s="2803"/>
      <c r="E308" s="2797">
        <f t="shared" si="203"/>
        <v>0</v>
      </c>
      <c r="F308" s="2798"/>
      <c r="G308" s="2799">
        <f t="shared" si="178"/>
        <v>0</v>
      </c>
      <c r="H308" s="2800">
        <f t="shared" si="179"/>
        <v>0</v>
      </c>
      <c r="I308" s="2806"/>
      <c r="J308" s="2818"/>
      <c r="K308" s="2806"/>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6"/>
      <c r="AG308" s="2829"/>
      <c r="AH308" s="2829"/>
      <c r="AI308" s="2829"/>
      <c r="AJ308" s="2829"/>
      <c r="AK308" s="2829"/>
      <c r="AL308" s="2829"/>
      <c r="AM308" s="2829"/>
      <c r="AN308" s="2829"/>
      <c r="AO308" s="2829"/>
      <c r="AP308" s="2829"/>
      <c r="AQ308" s="2829"/>
      <c r="AR308" s="2829"/>
      <c r="AS308" s="2829"/>
      <c r="AT308" s="2849"/>
      <c r="AU308" s="2850"/>
      <c r="AV308" s="447">
        <f t="shared" si="204"/>
        <v>0</v>
      </c>
      <c r="AW308" s="447">
        <f t="shared" si="205"/>
        <v>0</v>
      </c>
      <c r="AX308" s="447">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ht="15.6">
      <c r="A309" s="2794"/>
      <c r="B309" s="2804"/>
      <c r="C309" s="2802"/>
      <c r="D309" s="2803"/>
      <c r="E309" s="2797">
        <f t="shared" si="203"/>
        <v>0</v>
      </c>
      <c r="F309" s="2798"/>
      <c r="G309" s="2799">
        <f t="shared" si="178"/>
        <v>0</v>
      </c>
      <c r="H309" s="2800">
        <f t="shared" si="179"/>
        <v>0</v>
      </c>
      <c r="I309" s="2806"/>
      <c r="J309" s="2818"/>
      <c r="K309" s="2806"/>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6"/>
      <c r="AG309" s="2829"/>
      <c r="AH309" s="2829"/>
      <c r="AI309" s="2829"/>
      <c r="AJ309" s="2829"/>
      <c r="AK309" s="2829"/>
      <c r="AL309" s="2829"/>
      <c r="AM309" s="2829"/>
      <c r="AN309" s="2829"/>
      <c r="AO309" s="2829"/>
      <c r="AP309" s="2829"/>
      <c r="AQ309" s="2829"/>
      <c r="AR309" s="2829"/>
      <c r="AS309" s="2829"/>
      <c r="AT309" s="2849"/>
      <c r="AU309" s="2850"/>
      <c r="AV309" s="447">
        <f t="shared" si="204"/>
        <v>0</v>
      </c>
      <c r="AW309" s="447">
        <f t="shared" si="205"/>
        <v>0</v>
      </c>
      <c r="AX309" s="447">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ht="15.6">
      <c r="A310" s="2794"/>
      <c r="B310" s="2804"/>
      <c r="C310" s="2802"/>
      <c r="D310" s="2803"/>
      <c r="E310" s="2797">
        <f t="shared" si="203"/>
        <v>0</v>
      </c>
      <c r="F310" s="2798"/>
      <c r="G310" s="2799">
        <f t="shared" si="178"/>
        <v>0</v>
      </c>
      <c r="H310" s="2800">
        <f t="shared" si="179"/>
        <v>0</v>
      </c>
      <c r="I310" s="2806"/>
      <c r="J310" s="2818"/>
      <c r="K310" s="2806"/>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6"/>
      <c r="AG310" s="2829"/>
      <c r="AH310" s="2829"/>
      <c r="AI310" s="2829"/>
      <c r="AJ310" s="2829"/>
      <c r="AK310" s="2829"/>
      <c r="AL310" s="2829"/>
      <c r="AM310" s="2829"/>
      <c r="AN310" s="2829"/>
      <c r="AO310" s="2829"/>
      <c r="AP310" s="2829"/>
      <c r="AQ310" s="2829"/>
      <c r="AR310" s="2829"/>
      <c r="AS310" s="2829"/>
      <c r="AT310" s="2849"/>
      <c r="AU310" s="2850"/>
      <c r="AV310" s="447">
        <f t="shared" si="204"/>
        <v>0</v>
      </c>
      <c r="AW310" s="447">
        <f t="shared" si="205"/>
        <v>0</v>
      </c>
      <c r="AX310" s="447">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ht="15.6">
      <c r="A311" s="2794"/>
      <c r="B311" s="2804"/>
      <c r="C311" s="2802"/>
      <c r="D311" s="2803"/>
      <c r="E311" s="2797">
        <f t="shared" si="203"/>
        <v>0</v>
      </c>
      <c r="F311" s="2798"/>
      <c r="G311" s="2799">
        <f t="shared" si="178"/>
        <v>0</v>
      </c>
      <c r="H311" s="2800">
        <f t="shared" si="179"/>
        <v>0</v>
      </c>
      <c r="I311" s="2806"/>
      <c r="J311" s="2818"/>
      <c r="K311" s="2806"/>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6"/>
      <c r="AG311" s="2829"/>
      <c r="AH311" s="2829"/>
      <c r="AI311" s="2829"/>
      <c r="AJ311" s="2829"/>
      <c r="AK311" s="2829"/>
      <c r="AL311" s="2829"/>
      <c r="AM311" s="2829"/>
      <c r="AN311" s="2829"/>
      <c r="AO311" s="2829"/>
      <c r="AP311" s="2829"/>
      <c r="AQ311" s="2829"/>
      <c r="AR311" s="2829"/>
      <c r="AS311" s="2829"/>
      <c r="AT311" s="2849"/>
      <c r="AU311" s="2850"/>
      <c r="AV311" s="447">
        <f t="shared" si="204"/>
        <v>0</v>
      </c>
      <c r="AW311" s="447">
        <f t="shared" si="205"/>
        <v>0</v>
      </c>
      <c r="AX311" s="447">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ht="15.6">
      <c r="A312" s="2794"/>
      <c r="B312" s="2804"/>
      <c r="C312" s="2802"/>
      <c r="D312" s="2803"/>
      <c r="E312" s="2797">
        <f t="shared" si="203"/>
        <v>0</v>
      </c>
      <c r="F312" s="2798"/>
      <c r="G312" s="2799">
        <f t="shared" si="178"/>
        <v>0</v>
      </c>
      <c r="H312" s="2800">
        <f t="shared" si="179"/>
        <v>0</v>
      </c>
      <c r="I312" s="2806"/>
      <c r="J312" s="2818"/>
      <c r="K312" s="2806"/>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6"/>
      <c r="AG312" s="2829"/>
      <c r="AH312" s="2829"/>
      <c r="AI312" s="2829"/>
      <c r="AJ312" s="2829"/>
      <c r="AK312" s="2829"/>
      <c r="AL312" s="2829"/>
      <c r="AM312" s="2829"/>
      <c r="AN312" s="2829"/>
      <c r="AO312" s="2829"/>
      <c r="AP312" s="2829"/>
      <c r="AQ312" s="2829"/>
      <c r="AR312" s="2829"/>
      <c r="AS312" s="2829"/>
      <c r="AT312" s="2849"/>
      <c r="AU312" s="2850"/>
      <c r="AV312" s="447">
        <f t="shared" si="204"/>
        <v>0</v>
      </c>
      <c r="AW312" s="447">
        <f t="shared" si="205"/>
        <v>0</v>
      </c>
      <c r="AX312" s="447">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ht="15.6">
      <c r="A313" s="2794"/>
      <c r="B313" s="2804"/>
      <c r="C313" s="2802"/>
      <c r="D313" s="2803"/>
      <c r="E313" s="2797">
        <f t="shared" si="203"/>
        <v>0</v>
      </c>
      <c r="F313" s="2798"/>
      <c r="G313" s="2799">
        <f t="shared" si="178"/>
        <v>0</v>
      </c>
      <c r="H313" s="2800">
        <f t="shared" si="179"/>
        <v>0</v>
      </c>
      <c r="I313" s="2806"/>
      <c r="J313" s="2818"/>
      <c r="K313" s="2806"/>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6"/>
      <c r="AG313" s="2829"/>
      <c r="AH313" s="2829"/>
      <c r="AI313" s="2829"/>
      <c r="AJ313" s="2829"/>
      <c r="AK313" s="2829"/>
      <c r="AL313" s="2829"/>
      <c r="AM313" s="2829"/>
      <c r="AN313" s="2829"/>
      <c r="AO313" s="2829"/>
      <c r="AP313" s="2829"/>
      <c r="AQ313" s="2829"/>
      <c r="AR313" s="2829"/>
      <c r="AS313" s="2829"/>
      <c r="AT313" s="2849"/>
      <c r="AU313" s="2850"/>
      <c r="AV313" s="447">
        <f t="shared" si="204"/>
        <v>0</v>
      </c>
      <c r="AW313" s="447">
        <f t="shared" si="205"/>
        <v>0</v>
      </c>
      <c r="AX313" s="447">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ht="15.6">
      <c r="A314" s="2794"/>
      <c r="B314" s="2804"/>
      <c r="C314" s="2802"/>
      <c r="D314" s="2803"/>
      <c r="E314" s="2797">
        <f t="shared" si="203"/>
        <v>0</v>
      </c>
      <c r="F314" s="2798"/>
      <c r="G314" s="2799">
        <f t="shared" si="178"/>
        <v>0</v>
      </c>
      <c r="H314" s="2800">
        <f t="shared" si="179"/>
        <v>0</v>
      </c>
      <c r="I314" s="2806"/>
      <c r="J314" s="2818"/>
      <c r="K314" s="2806"/>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6"/>
      <c r="AG314" s="2829"/>
      <c r="AH314" s="2829"/>
      <c r="AI314" s="2829"/>
      <c r="AJ314" s="2829"/>
      <c r="AK314" s="2829"/>
      <c r="AL314" s="2829"/>
      <c r="AM314" s="2829"/>
      <c r="AN314" s="2829"/>
      <c r="AO314" s="2829"/>
      <c r="AP314" s="2829"/>
      <c r="AQ314" s="2829"/>
      <c r="AR314" s="2829"/>
      <c r="AS314" s="2829"/>
      <c r="AT314" s="2849"/>
      <c r="AU314" s="2850"/>
      <c r="AV314" s="447">
        <f t="shared" si="204"/>
        <v>0</v>
      </c>
      <c r="AW314" s="447">
        <f t="shared" si="205"/>
        <v>0</v>
      </c>
      <c r="AX314" s="447">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ht="15.6">
      <c r="A315" s="2794"/>
      <c r="B315" s="2804"/>
      <c r="C315" s="2802"/>
      <c r="D315" s="2803"/>
      <c r="E315" s="2797">
        <f t="shared" si="203"/>
        <v>0</v>
      </c>
      <c r="F315" s="2798"/>
      <c r="G315" s="2799">
        <f t="shared" si="178"/>
        <v>0</v>
      </c>
      <c r="H315" s="2800">
        <f t="shared" si="179"/>
        <v>0</v>
      </c>
      <c r="I315" s="2806"/>
      <c r="J315" s="2818"/>
      <c r="K315" s="2806"/>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6"/>
      <c r="AG315" s="2829"/>
      <c r="AH315" s="2829"/>
      <c r="AI315" s="2829"/>
      <c r="AJ315" s="2829"/>
      <c r="AK315" s="2829"/>
      <c r="AL315" s="2829"/>
      <c r="AM315" s="2829"/>
      <c r="AN315" s="2829"/>
      <c r="AO315" s="2829"/>
      <c r="AP315" s="2829"/>
      <c r="AQ315" s="2829"/>
      <c r="AR315" s="2829"/>
      <c r="AS315" s="2829"/>
      <c r="AT315" s="2849"/>
      <c r="AU315" s="2850"/>
      <c r="AV315" s="447">
        <f t="shared" si="204"/>
        <v>0</v>
      </c>
      <c r="AW315" s="447">
        <f t="shared" si="205"/>
        <v>0</v>
      </c>
      <c r="AX315" s="447">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ht="15.6">
      <c r="A316" s="2794"/>
      <c r="B316" s="2804"/>
      <c r="C316" s="2802"/>
      <c r="D316" s="2803"/>
      <c r="E316" s="2797">
        <f t="shared" si="203"/>
        <v>0</v>
      </c>
      <c r="F316" s="2798"/>
      <c r="G316" s="2799">
        <f t="shared" si="178"/>
        <v>0</v>
      </c>
      <c r="H316" s="2800">
        <f t="shared" si="179"/>
        <v>0</v>
      </c>
      <c r="I316" s="2806"/>
      <c r="J316" s="2818"/>
      <c r="K316" s="2806"/>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6"/>
      <c r="AG316" s="2829"/>
      <c r="AH316" s="2829"/>
      <c r="AI316" s="2829"/>
      <c r="AJ316" s="2829"/>
      <c r="AK316" s="2829"/>
      <c r="AL316" s="2829"/>
      <c r="AM316" s="2829"/>
      <c r="AN316" s="2829"/>
      <c r="AO316" s="2829"/>
      <c r="AP316" s="2829"/>
      <c r="AQ316" s="2829"/>
      <c r="AR316" s="2829"/>
      <c r="AS316" s="2829"/>
      <c r="AT316" s="2849"/>
      <c r="AU316" s="2850"/>
      <c r="AV316" s="447">
        <f t="shared" si="204"/>
        <v>0</v>
      </c>
      <c r="AW316" s="447">
        <f t="shared" si="205"/>
        <v>0</v>
      </c>
      <c r="AX316" s="447">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ht="15.6">
      <c r="A317" s="2794"/>
      <c r="B317" s="2804"/>
      <c r="C317" s="2802"/>
      <c r="D317" s="2803"/>
      <c r="E317" s="2797">
        <f t="shared" si="203"/>
        <v>0</v>
      </c>
      <c r="F317" s="2798"/>
      <c r="G317" s="2799">
        <f t="shared" si="178"/>
        <v>0</v>
      </c>
      <c r="H317" s="2800">
        <f t="shared" si="179"/>
        <v>0</v>
      </c>
      <c r="I317" s="2806"/>
      <c r="J317" s="2818"/>
      <c r="K317" s="2806"/>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6"/>
      <c r="AG317" s="2829"/>
      <c r="AH317" s="2829"/>
      <c r="AI317" s="2829"/>
      <c r="AJ317" s="2829"/>
      <c r="AK317" s="2829"/>
      <c r="AL317" s="2829"/>
      <c r="AM317" s="2829"/>
      <c r="AN317" s="2829"/>
      <c r="AO317" s="2829"/>
      <c r="AP317" s="2829"/>
      <c r="AQ317" s="2829"/>
      <c r="AR317" s="2829"/>
      <c r="AS317" s="2829"/>
      <c r="AT317" s="2849"/>
      <c r="AU317" s="2850"/>
      <c r="AV317" s="447">
        <f t="shared" si="204"/>
        <v>0</v>
      </c>
      <c r="AW317" s="447">
        <f t="shared" si="205"/>
        <v>0</v>
      </c>
      <c r="AX317" s="447">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ht="15.6">
      <c r="A318" s="2794"/>
      <c r="B318" s="2804"/>
      <c r="C318" s="2802"/>
      <c r="D318" s="2803"/>
      <c r="E318" s="2797">
        <f t="shared" si="203"/>
        <v>0</v>
      </c>
      <c r="F318" s="2798"/>
      <c r="G318" s="2799">
        <f t="shared" si="178"/>
        <v>0</v>
      </c>
      <c r="H318" s="2800">
        <f t="shared" si="179"/>
        <v>0</v>
      </c>
      <c r="I318" s="2806"/>
      <c r="J318" s="2818"/>
      <c r="K318" s="2806"/>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6"/>
      <c r="AG318" s="2829"/>
      <c r="AH318" s="2829"/>
      <c r="AI318" s="2829"/>
      <c r="AJ318" s="2829"/>
      <c r="AK318" s="2829"/>
      <c r="AL318" s="2829"/>
      <c r="AM318" s="2829"/>
      <c r="AN318" s="2829"/>
      <c r="AO318" s="2829"/>
      <c r="AP318" s="2829"/>
      <c r="AQ318" s="2829"/>
      <c r="AR318" s="2829"/>
      <c r="AS318" s="2829"/>
      <c r="AT318" s="2849"/>
      <c r="AU318" s="2850"/>
      <c r="AV318" s="447">
        <f t="shared" si="204"/>
        <v>0</v>
      </c>
      <c r="AW318" s="447">
        <f t="shared" si="205"/>
        <v>0</v>
      </c>
      <c r="AX318" s="447">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ht="15.6">
      <c r="A319" s="2794"/>
      <c r="B319" s="2804"/>
      <c r="C319" s="2802"/>
      <c r="D319" s="2803"/>
      <c r="E319" s="2797">
        <f t="shared" si="203"/>
        <v>0</v>
      </c>
      <c r="F319" s="2798"/>
      <c r="G319" s="2799">
        <f t="shared" si="178"/>
        <v>0</v>
      </c>
      <c r="H319" s="2800">
        <f t="shared" si="179"/>
        <v>0</v>
      </c>
      <c r="I319" s="2806"/>
      <c r="J319" s="2818"/>
      <c r="K319" s="2806"/>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6"/>
      <c r="AG319" s="2829"/>
      <c r="AH319" s="2829"/>
      <c r="AI319" s="2829"/>
      <c r="AJ319" s="2829"/>
      <c r="AK319" s="2829"/>
      <c r="AL319" s="2829"/>
      <c r="AM319" s="2829"/>
      <c r="AN319" s="2829"/>
      <c r="AO319" s="2829"/>
      <c r="AP319" s="2829"/>
      <c r="AQ319" s="2829"/>
      <c r="AR319" s="2829"/>
      <c r="AS319" s="2829"/>
      <c r="AT319" s="2849"/>
      <c r="AU319" s="2850"/>
      <c r="AV319" s="447">
        <f t="shared" si="204"/>
        <v>0</v>
      </c>
      <c r="AW319" s="447">
        <f t="shared" si="205"/>
        <v>0</v>
      </c>
      <c r="AX319" s="447">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ht="15.6">
      <c r="A320" s="2794"/>
      <c r="B320" s="2804"/>
      <c r="C320" s="2802"/>
      <c r="D320" s="2803"/>
      <c r="E320" s="2797">
        <f t="shared" si="203"/>
        <v>0</v>
      </c>
      <c r="F320" s="2798"/>
      <c r="G320" s="2799">
        <f t="shared" si="178"/>
        <v>0</v>
      </c>
      <c r="H320" s="2800">
        <f t="shared" si="179"/>
        <v>0</v>
      </c>
      <c r="I320" s="2806"/>
      <c r="J320" s="2818"/>
      <c r="K320" s="2806"/>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6"/>
      <c r="AG320" s="2829"/>
      <c r="AH320" s="2829"/>
      <c r="AI320" s="2829"/>
      <c r="AJ320" s="2829"/>
      <c r="AK320" s="2829"/>
      <c r="AL320" s="2829"/>
      <c r="AM320" s="2829"/>
      <c r="AN320" s="2829"/>
      <c r="AO320" s="2829"/>
      <c r="AP320" s="2829"/>
      <c r="AQ320" s="2829"/>
      <c r="AR320" s="2829"/>
      <c r="AS320" s="2829"/>
      <c r="AT320" s="2849"/>
      <c r="AU320" s="2850"/>
      <c r="AV320" s="447">
        <f t="shared" si="204"/>
        <v>0</v>
      </c>
      <c r="AW320" s="447">
        <f t="shared" si="205"/>
        <v>0</v>
      </c>
      <c r="AX320" s="447">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ht="15.6">
      <c r="A321" s="2794"/>
      <c r="B321" s="2804"/>
      <c r="C321" s="2802"/>
      <c r="D321" s="2803"/>
      <c r="E321" s="2797">
        <f t="shared" si="203"/>
        <v>0</v>
      </c>
      <c r="F321" s="2798"/>
      <c r="G321" s="2799">
        <f t="shared" si="178"/>
        <v>0</v>
      </c>
      <c r="H321" s="2800">
        <f t="shared" si="179"/>
        <v>0</v>
      </c>
      <c r="I321" s="2806"/>
      <c r="J321" s="2818"/>
      <c r="K321" s="2806"/>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6"/>
      <c r="AG321" s="2829"/>
      <c r="AH321" s="2829"/>
      <c r="AI321" s="2829"/>
      <c r="AJ321" s="2829"/>
      <c r="AK321" s="2829"/>
      <c r="AL321" s="2829"/>
      <c r="AM321" s="2829"/>
      <c r="AN321" s="2829"/>
      <c r="AO321" s="2829"/>
      <c r="AP321" s="2829"/>
      <c r="AQ321" s="2829"/>
      <c r="AR321" s="2829"/>
      <c r="AS321" s="2829"/>
      <c r="AT321" s="2849"/>
      <c r="AU321" s="2850"/>
      <c r="AV321" s="447">
        <f t="shared" si="204"/>
        <v>0</v>
      </c>
      <c r="AW321" s="447">
        <f t="shared" si="205"/>
        <v>0</v>
      </c>
      <c r="AX321" s="447">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ht="15.6">
      <c r="A322" s="2794"/>
      <c r="B322" s="2804"/>
      <c r="C322" s="2802"/>
      <c r="D322" s="2803"/>
      <c r="E322" s="2797">
        <f t="shared" si="203"/>
        <v>0</v>
      </c>
      <c r="F322" s="2798"/>
      <c r="G322" s="2799">
        <f t="shared" si="178"/>
        <v>0</v>
      </c>
      <c r="H322" s="2800">
        <f t="shared" si="179"/>
        <v>0</v>
      </c>
      <c r="I322" s="2806"/>
      <c r="J322" s="2818"/>
      <c r="K322" s="2806"/>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6"/>
      <c r="AG322" s="2829"/>
      <c r="AH322" s="2829"/>
      <c r="AI322" s="2829"/>
      <c r="AJ322" s="2829"/>
      <c r="AK322" s="2829"/>
      <c r="AL322" s="2829"/>
      <c r="AM322" s="2829"/>
      <c r="AN322" s="2829"/>
      <c r="AO322" s="2829"/>
      <c r="AP322" s="2829"/>
      <c r="AQ322" s="2829"/>
      <c r="AR322" s="2829"/>
      <c r="AS322" s="2829"/>
      <c r="AT322" s="2849"/>
      <c r="AU322" s="2850"/>
      <c r="AV322" s="447">
        <f t="shared" si="204"/>
        <v>0</v>
      </c>
      <c r="AW322" s="447">
        <f t="shared" si="205"/>
        <v>0</v>
      </c>
      <c r="AX322" s="447">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ht="15.6">
      <c r="A323" s="2794"/>
      <c r="B323" s="2804"/>
      <c r="C323" s="2802"/>
      <c r="D323" s="2803"/>
      <c r="E323" s="2797">
        <f t="shared" si="203"/>
        <v>0</v>
      </c>
      <c r="F323" s="2798"/>
      <c r="G323" s="2799">
        <f t="shared" si="178"/>
        <v>0</v>
      </c>
      <c r="H323" s="2800">
        <f t="shared" si="179"/>
        <v>0</v>
      </c>
      <c r="I323" s="2806"/>
      <c r="J323" s="2818"/>
      <c r="K323" s="2806"/>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447">
        <f t="shared" si="204"/>
        <v>0</v>
      </c>
      <c r="AW323" s="447">
        <f t="shared" si="205"/>
        <v>0</v>
      </c>
      <c r="AX323" s="447">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ht="15.6">
      <c r="A324" s="2794"/>
      <c r="B324" s="2804"/>
      <c r="C324" s="2802"/>
      <c r="D324" s="2803"/>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447">
        <f t="shared" si="204"/>
        <v>0</v>
      </c>
      <c r="AW324" s="447">
        <f t="shared" si="205"/>
        <v>0</v>
      </c>
      <c r="AX324" s="447">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ht="15.6">
      <c r="A325" s="2794"/>
      <c r="B325" s="2804"/>
      <c r="C325" s="2802"/>
      <c r="D325" s="2803"/>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447">
        <f t="shared" si="204"/>
        <v>0</v>
      </c>
      <c r="AW325" s="447">
        <f t="shared" si="205"/>
        <v>0</v>
      </c>
      <c r="AX325" s="447">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ht="15.6">
      <c r="A326" s="2794"/>
      <c r="B326" s="2804"/>
      <c r="C326" s="2802"/>
      <c r="D326" s="2803"/>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447">
        <f t="shared" si="204"/>
        <v>0</v>
      </c>
      <c r="AW326" s="447">
        <f t="shared" si="205"/>
        <v>0</v>
      </c>
      <c r="AX326" s="447">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ht="15.6">
      <c r="A327" s="2794"/>
      <c r="B327" s="2804"/>
      <c r="C327" s="2802"/>
      <c r="D327" s="2803"/>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447">
        <f t="shared" si="204"/>
        <v>0</v>
      </c>
      <c r="AW327" s="447">
        <f t="shared" si="205"/>
        <v>0</v>
      </c>
      <c r="AX327" s="447">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ht="15.6">
      <c r="A328" s="2794"/>
      <c r="B328" s="2804"/>
      <c r="C328" s="2802"/>
      <c r="D328" s="2803"/>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447">
        <f t="shared" si="204"/>
        <v>0</v>
      </c>
      <c r="AW328" s="447">
        <f t="shared" si="205"/>
        <v>0</v>
      </c>
      <c r="AX328" s="447">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ht="15.6">
      <c r="A329" s="2794"/>
      <c r="B329" s="2804"/>
      <c r="C329" s="2802"/>
      <c r="D329" s="2803"/>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447">
        <f t="shared" ref="AV329:AV360" si="233">A329</f>
        <v>0</v>
      </c>
      <c r="AW329" s="447">
        <f t="shared" ref="AW329:AW360" si="234">B329</f>
        <v>0</v>
      </c>
      <c r="AX329" s="447">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ht="15.6">
      <c r="A330" s="2794"/>
      <c r="B330" s="2804"/>
      <c r="C330" s="2802"/>
      <c r="D330" s="2803"/>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447">
        <f t="shared" si="233"/>
        <v>0</v>
      </c>
      <c r="AW330" s="447">
        <f t="shared" si="234"/>
        <v>0</v>
      </c>
      <c r="AX330" s="447">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ht="15.6">
      <c r="A331" s="2794"/>
      <c r="B331" s="2805"/>
      <c r="C331" s="2806"/>
      <c r="D331" s="2803"/>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447">
        <f t="shared" si="233"/>
        <v>0</v>
      </c>
      <c r="AW331" s="447">
        <f t="shared" si="234"/>
        <v>0</v>
      </c>
      <c r="AX331" s="447">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447">
        <f t="shared" si="233"/>
        <v>0</v>
      </c>
      <c r="AW332" s="447">
        <f t="shared" si="234"/>
        <v>0</v>
      </c>
      <c r="AX332" s="447">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447">
        <f t="shared" si="233"/>
        <v>0</v>
      </c>
      <c r="AW333" s="447">
        <f t="shared" si="234"/>
        <v>0</v>
      </c>
      <c r="AX333" s="447">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447">
        <f t="shared" si="233"/>
        <v>0</v>
      </c>
      <c r="AW334" s="447">
        <f t="shared" si="234"/>
        <v>0</v>
      </c>
      <c r="AX334" s="447">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447">
        <f t="shared" si="233"/>
        <v>0</v>
      </c>
      <c r="AW335" s="447">
        <f t="shared" si="234"/>
        <v>0</v>
      </c>
      <c r="AX335" s="447">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447">
        <f t="shared" si="233"/>
        <v>0</v>
      </c>
      <c r="AW336" s="447">
        <f t="shared" si="234"/>
        <v>0</v>
      </c>
      <c r="AX336" s="447">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447">
        <f t="shared" si="233"/>
        <v>0</v>
      </c>
      <c r="AW337" s="447">
        <f t="shared" si="234"/>
        <v>0</v>
      </c>
      <c r="AX337" s="447">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447">
        <f t="shared" si="233"/>
        <v>0</v>
      </c>
      <c r="AW338" s="447">
        <f t="shared" si="234"/>
        <v>0</v>
      </c>
      <c r="AX338" s="447">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447">
        <f t="shared" si="233"/>
        <v>0</v>
      </c>
      <c r="AW339" s="447">
        <f t="shared" si="234"/>
        <v>0</v>
      </c>
      <c r="AX339" s="447">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447">
        <f t="shared" si="233"/>
        <v>0</v>
      </c>
      <c r="AW340" s="447">
        <f t="shared" si="234"/>
        <v>0</v>
      </c>
      <c r="AX340" s="447">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447">
        <f t="shared" si="233"/>
        <v>0</v>
      </c>
      <c r="AW341" s="447">
        <f t="shared" si="234"/>
        <v>0</v>
      </c>
      <c r="AX341" s="447">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447">
        <f t="shared" si="233"/>
        <v>0</v>
      </c>
      <c r="AW342" s="447">
        <f t="shared" si="234"/>
        <v>0</v>
      </c>
      <c r="AX342" s="447">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447">
        <f t="shared" si="233"/>
        <v>0</v>
      </c>
      <c r="AW343" s="447">
        <f t="shared" si="234"/>
        <v>0</v>
      </c>
      <c r="AX343" s="447">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447">
        <f t="shared" si="233"/>
        <v>0</v>
      </c>
      <c r="AW344" s="447">
        <f t="shared" si="234"/>
        <v>0</v>
      </c>
      <c r="AX344" s="447">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447">
        <f t="shared" si="233"/>
        <v>0</v>
      </c>
      <c r="AW345" s="447">
        <f t="shared" si="234"/>
        <v>0</v>
      </c>
      <c r="AX345" s="447">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447">
        <f t="shared" si="233"/>
        <v>0</v>
      </c>
      <c r="AW346" s="447">
        <f t="shared" si="234"/>
        <v>0</v>
      </c>
      <c r="AX346" s="447">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447">
        <f t="shared" si="233"/>
        <v>0</v>
      </c>
      <c r="AW347" s="447">
        <f t="shared" si="234"/>
        <v>0</v>
      </c>
      <c r="AX347" s="447">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447">
        <f t="shared" si="233"/>
        <v>0</v>
      </c>
      <c r="AW348" s="447">
        <f t="shared" si="234"/>
        <v>0</v>
      </c>
      <c r="AX348" s="447">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447">
        <f t="shared" si="233"/>
        <v>0</v>
      </c>
      <c r="AW349" s="447">
        <f t="shared" si="234"/>
        <v>0</v>
      </c>
      <c r="AX349" s="447">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447">
        <f t="shared" si="233"/>
        <v>0</v>
      </c>
      <c r="AW350" s="447">
        <f t="shared" si="234"/>
        <v>0</v>
      </c>
      <c r="AX350" s="447">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447">
        <f t="shared" si="233"/>
        <v>0</v>
      </c>
      <c r="AW351" s="447">
        <f t="shared" si="234"/>
        <v>0</v>
      </c>
      <c r="AX351" s="447">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447">
        <f t="shared" si="233"/>
        <v>0</v>
      </c>
      <c r="AW352" s="447">
        <f t="shared" si="234"/>
        <v>0</v>
      </c>
      <c r="AX352" s="447">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447">
        <f t="shared" si="233"/>
        <v>0</v>
      </c>
      <c r="AW353" s="447">
        <f t="shared" si="234"/>
        <v>0</v>
      </c>
      <c r="AX353" s="447">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447">
        <f t="shared" si="233"/>
        <v>0</v>
      </c>
      <c r="AW354" s="447">
        <f t="shared" si="234"/>
        <v>0</v>
      </c>
      <c r="AX354" s="447">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447">
        <f t="shared" si="233"/>
        <v>0</v>
      </c>
      <c r="AW355" s="447">
        <f t="shared" si="234"/>
        <v>0</v>
      </c>
      <c r="AX355" s="447">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447">
        <f t="shared" si="233"/>
        <v>0</v>
      </c>
      <c r="AW356" s="447">
        <f t="shared" si="234"/>
        <v>0</v>
      </c>
      <c r="AX356" s="447">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447">
        <f t="shared" si="233"/>
        <v>0</v>
      </c>
      <c r="AW357" s="447">
        <f t="shared" si="234"/>
        <v>0</v>
      </c>
      <c r="AX357" s="447">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447">
        <f t="shared" si="233"/>
        <v>0</v>
      </c>
      <c r="AW358" s="447">
        <f t="shared" si="234"/>
        <v>0</v>
      </c>
      <c r="AX358" s="447">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447">
        <f t="shared" si="233"/>
        <v>0</v>
      </c>
      <c r="AW359" s="447">
        <f t="shared" si="234"/>
        <v>0</v>
      </c>
      <c r="AX359" s="447">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447">
        <f t="shared" si="233"/>
        <v>0</v>
      </c>
      <c r="AW360" s="447">
        <f t="shared" si="234"/>
        <v>0</v>
      </c>
      <c r="AX360" s="447">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447">
        <f t="shared" ref="AV361:AV388" si="262">A361</f>
        <v>0</v>
      </c>
      <c r="AW361" s="447">
        <f t="shared" ref="AW361:AW388" si="263">B361</f>
        <v>0</v>
      </c>
      <c r="AX361" s="447">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447">
        <f t="shared" si="262"/>
        <v>0</v>
      </c>
      <c r="AW362" s="447">
        <f t="shared" si="263"/>
        <v>0</v>
      </c>
      <c r="AX362" s="447">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447">
        <f t="shared" si="262"/>
        <v>0</v>
      </c>
      <c r="AW363" s="447">
        <f t="shared" si="263"/>
        <v>0</v>
      </c>
      <c r="AX363" s="447">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447">
        <f t="shared" si="262"/>
        <v>0</v>
      </c>
      <c r="AW364" s="447">
        <f t="shared" si="263"/>
        <v>0</v>
      </c>
      <c r="AX364" s="447">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447">
        <f t="shared" si="262"/>
        <v>0</v>
      </c>
      <c r="AW365" s="447">
        <f t="shared" si="263"/>
        <v>0</v>
      </c>
      <c r="AX365" s="447">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447">
        <f t="shared" si="262"/>
        <v>0</v>
      </c>
      <c r="AW366" s="447">
        <f t="shared" si="263"/>
        <v>0</v>
      </c>
      <c r="AX366" s="447">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447">
        <f t="shared" si="262"/>
        <v>0</v>
      </c>
      <c r="AW367" s="447">
        <f t="shared" si="263"/>
        <v>0</v>
      </c>
      <c r="AX367" s="447">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447">
        <f t="shared" si="262"/>
        <v>0</v>
      </c>
      <c r="AW368" s="447">
        <f t="shared" si="263"/>
        <v>0</v>
      </c>
      <c r="AX368" s="447">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447">
        <f t="shared" si="262"/>
        <v>0</v>
      </c>
      <c r="AW369" s="447">
        <f t="shared" si="263"/>
        <v>0</v>
      </c>
      <c r="AX369" s="447">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447">
        <f t="shared" si="262"/>
        <v>0</v>
      </c>
      <c r="AW370" s="447">
        <f t="shared" si="263"/>
        <v>0</v>
      </c>
      <c r="AX370" s="447">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447">
        <f t="shared" si="262"/>
        <v>0</v>
      </c>
      <c r="AW371" s="447">
        <f t="shared" si="263"/>
        <v>0</v>
      </c>
      <c r="AX371" s="447">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447">
        <f t="shared" si="262"/>
        <v>0</v>
      </c>
      <c r="AW372" s="447">
        <f t="shared" si="263"/>
        <v>0</v>
      </c>
      <c r="AX372" s="447">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447">
        <f t="shared" si="262"/>
        <v>0</v>
      </c>
      <c r="AW373" s="447">
        <f t="shared" si="263"/>
        <v>0</v>
      </c>
      <c r="AX373" s="447">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447">
        <f t="shared" si="262"/>
        <v>0</v>
      </c>
      <c r="AW374" s="447">
        <f t="shared" si="263"/>
        <v>0</v>
      </c>
      <c r="AX374" s="447">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447">
        <f t="shared" si="262"/>
        <v>0</v>
      </c>
      <c r="AW375" s="447">
        <f t="shared" si="263"/>
        <v>0</v>
      </c>
      <c r="AX375" s="447">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447">
        <f t="shared" si="262"/>
        <v>0</v>
      </c>
      <c r="AW376" s="447">
        <f t="shared" si="263"/>
        <v>0</v>
      </c>
      <c r="AX376" s="447">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447">
        <f t="shared" si="262"/>
        <v>0</v>
      </c>
      <c r="AW377" s="447">
        <f t="shared" si="263"/>
        <v>0</v>
      </c>
      <c r="AX377" s="447">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447">
        <f t="shared" si="262"/>
        <v>0</v>
      </c>
      <c r="AW378" s="447">
        <f t="shared" si="263"/>
        <v>0</v>
      </c>
      <c r="AX378" s="447">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447">
        <f t="shared" si="262"/>
        <v>0</v>
      </c>
      <c r="AW379" s="447">
        <f t="shared" si="263"/>
        <v>0</v>
      </c>
      <c r="AX379" s="447">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447">
        <f t="shared" si="262"/>
        <v>0</v>
      </c>
      <c r="AW380" s="447">
        <f t="shared" si="263"/>
        <v>0</v>
      </c>
      <c r="AX380" s="447">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447">
        <f t="shared" si="262"/>
        <v>0</v>
      </c>
      <c r="AW381" s="447">
        <f t="shared" si="263"/>
        <v>0</v>
      </c>
      <c r="AX381" s="447">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447">
        <f t="shared" si="262"/>
        <v>0</v>
      </c>
      <c r="AW382" s="447">
        <f t="shared" si="263"/>
        <v>0</v>
      </c>
      <c r="AX382" s="447">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447">
        <f t="shared" si="262"/>
        <v>0</v>
      </c>
      <c r="AW383" s="447">
        <f t="shared" si="263"/>
        <v>0</v>
      </c>
      <c r="AX383" s="447">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447">
        <f t="shared" si="262"/>
        <v>0</v>
      </c>
      <c r="AW384" s="447">
        <f t="shared" si="263"/>
        <v>0</v>
      </c>
      <c r="AX384" s="447">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447">
        <f t="shared" si="262"/>
        <v>0</v>
      </c>
      <c r="AW385" s="447">
        <f t="shared" si="263"/>
        <v>0</v>
      </c>
      <c r="AX385" s="447">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447">
        <f t="shared" si="262"/>
        <v>0</v>
      </c>
      <c r="AW386" s="447">
        <f t="shared" si="263"/>
        <v>0</v>
      </c>
      <c r="AX386" s="447">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447">
        <f t="shared" si="262"/>
        <v>0</v>
      </c>
      <c r="AW387" s="447">
        <f t="shared" si="263"/>
        <v>0</v>
      </c>
      <c r="AX387" s="447">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447">
        <f t="shared" si="262"/>
        <v>0</v>
      </c>
      <c r="AW388" s="447">
        <f t="shared" si="263"/>
        <v>0</v>
      </c>
      <c r="AX388" s="447">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ht="15.6">
      <c r="A389" s="2794"/>
      <c r="B389" s="2804"/>
      <c r="C389" s="2802"/>
      <c r="D389" s="2803"/>
      <c r="E389" s="2797">
        <f t="shared" ref="E389:E480" si="265">IF($C$3="是",ROUND($A$3*G389/$B$3,2),ROUND($A$3*(G389-AT389)/$B$3,2))</f>
        <v>0</v>
      </c>
      <c r="F389" s="2798"/>
      <c r="G389" s="2799">
        <f t="shared" ref="G389:G477" si="266">H389+AC389+AT389</f>
        <v>0</v>
      </c>
      <c r="H389" s="2800">
        <f t="shared" ref="H389:H477" si="267">SUMIF(I$12:AB$12,"总值",I389:AB389)</f>
        <v>0</v>
      </c>
      <c r="I389" s="2806"/>
      <c r="J389" s="2818"/>
      <c r="K389" s="2806"/>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447">
        <f t="shared" ref="AV389:AV480" si="269">A389</f>
        <v>0</v>
      </c>
      <c r="AW389" s="447">
        <f t="shared" ref="AW389:AW480" si="270">B389</f>
        <v>0</v>
      </c>
      <c r="AX389" s="447">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ht="15.6">
      <c r="A390" s="2794"/>
      <c r="B390" s="2804"/>
      <c r="C390" s="2802"/>
      <c r="D390" s="2803"/>
      <c r="E390" s="2797">
        <f t="shared" si="265"/>
        <v>0</v>
      </c>
      <c r="F390" s="2798"/>
      <c r="G390" s="2799">
        <f t="shared" si="266"/>
        <v>0</v>
      </c>
      <c r="H390" s="2800">
        <f t="shared" si="267"/>
        <v>0</v>
      </c>
      <c r="I390" s="2806"/>
      <c r="J390" s="2818"/>
      <c r="K390" s="2806"/>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447">
        <f t="shared" si="269"/>
        <v>0</v>
      </c>
      <c r="AW390" s="447">
        <f t="shared" si="270"/>
        <v>0</v>
      </c>
      <c r="AX390" s="447">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ht="15.6">
      <c r="A391" s="2794"/>
      <c r="B391" s="2804"/>
      <c r="C391" s="2802"/>
      <c r="D391" s="2803"/>
      <c r="E391" s="2797">
        <f t="shared" si="265"/>
        <v>0</v>
      </c>
      <c r="F391" s="2798"/>
      <c r="G391" s="2799">
        <f t="shared" si="266"/>
        <v>0</v>
      </c>
      <c r="H391" s="2800">
        <f t="shared" si="267"/>
        <v>0</v>
      </c>
      <c r="I391" s="2806"/>
      <c r="J391" s="2818"/>
      <c r="K391" s="2806"/>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447">
        <f t="shared" si="269"/>
        <v>0</v>
      </c>
      <c r="AW391" s="447">
        <f t="shared" si="270"/>
        <v>0</v>
      </c>
      <c r="AX391" s="447">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ht="15.6">
      <c r="A392" s="2794"/>
      <c r="B392" s="2804"/>
      <c r="C392" s="2802"/>
      <c r="D392" s="2803"/>
      <c r="E392" s="2797">
        <f t="shared" si="265"/>
        <v>0</v>
      </c>
      <c r="F392" s="2798"/>
      <c r="G392" s="2799">
        <f t="shared" si="266"/>
        <v>0</v>
      </c>
      <c r="H392" s="2800">
        <f t="shared" si="267"/>
        <v>0</v>
      </c>
      <c r="I392" s="2806"/>
      <c r="J392" s="2818"/>
      <c r="K392" s="2806"/>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447">
        <f t="shared" si="269"/>
        <v>0</v>
      </c>
      <c r="AW392" s="447">
        <f t="shared" si="270"/>
        <v>0</v>
      </c>
      <c r="AX392" s="447">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ht="15.6">
      <c r="A393" s="2794"/>
      <c r="B393" s="2804"/>
      <c r="C393" s="2802"/>
      <c r="D393" s="2803"/>
      <c r="E393" s="2797">
        <f t="shared" si="265"/>
        <v>0</v>
      </c>
      <c r="F393" s="2798"/>
      <c r="G393" s="2799">
        <f t="shared" si="266"/>
        <v>0</v>
      </c>
      <c r="H393" s="2800">
        <f t="shared" si="267"/>
        <v>0</v>
      </c>
      <c r="I393" s="2806"/>
      <c r="J393" s="2818"/>
      <c r="K393" s="2806"/>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447">
        <f t="shared" si="269"/>
        <v>0</v>
      </c>
      <c r="AW393" s="447">
        <f t="shared" si="270"/>
        <v>0</v>
      </c>
      <c r="AX393" s="447">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ht="15.6">
      <c r="A394" s="2794"/>
      <c r="B394" s="2804"/>
      <c r="C394" s="2802"/>
      <c r="D394" s="2803"/>
      <c r="E394" s="2797">
        <f t="shared" si="265"/>
        <v>0</v>
      </c>
      <c r="F394" s="2798"/>
      <c r="G394" s="2799">
        <f t="shared" si="266"/>
        <v>0</v>
      </c>
      <c r="H394" s="2800">
        <f t="shared" si="267"/>
        <v>0</v>
      </c>
      <c r="I394" s="2806"/>
      <c r="J394" s="2818"/>
      <c r="K394" s="2806"/>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447">
        <f t="shared" si="269"/>
        <v>0</v>
      </c>
      <c r="AW394" s="447">
        <f t="shared" si="270"/>
        <v>0</v>
      </c>
      <c r="AX394" s="447">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ht="15.6">
      <c r="A395" s="2794"/>
      <c r="B395" s="2804"/>
      <c r="C395" s="2802"/>
      <c r="D395" s="2803"/>
      <c r="E395" s="2797">
        <f t="shared" si="265"/>
        <v>0</v>
      </c>
      <c r="F395" s="2798"/>
      <c r="G395" s="2799">
        <f t="shared" si="266"/>
        <v>0</v>
      </c>
      <c r="H395" s="2800">
        <f t="shared" si="267"/>
        <v>0</v>
      </c>
      <c r="I395" s="2806"/>
      <c r="J395" s="2818"/>
      <c r="K395" s="2806"/>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447">
        <f t="shared" si="269"/>
        <v>0</v>
      </c>
      <c r="AW395" s="447">
        <f t="shared" si="270"/>
        <v>0</v>
      </c>
      <c r="AX395" s="447">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ht="15.6">
      <c r="A396" s="2794"/>
      <c r="B396" s="2804"/>
      <c r="C396" s="2802"/>
      <c r="D396" s="2803"/>
      <c r="E396" s="2797">
        <f t="shared" si="265"/>
        <v>0</v>
      </c>
      <c r="F396" s="2798"/>
      <c r="G396" s="2799">
        <f t="shared" si="266"/>
        <v>0</v>
      </c>
      <c r="H396" s="2800">
        <f t="shared" si="267"/>
        <v>0</v>
      </c>
      <c r="I396" s="2806"/>
      <c r="J396" s="2818"/>
      <c r="K396" s="2806"/>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6"/>
      <c r="AG396" s="2829"/>
      <c r="AH396" s="2829"/>
      <c r="AI396" s="2829"/>
      <c r="AJ396" s="2829"/>
      <c r="AK396" s="2829"/>
      <c r="AL396" s="2829"/>
      <c r="AM396" s="2829"/>
      <c r="AN396" s="2829"/>
      <c r="AO396" s="2829"/>
      <c r="AP396" s="2829"/>
      <c r="AQ396" s="2829"/>
      <c r="AR396" s="2829"/>
      <c r="AS396" s="2829"/>
      <c r="AT396" s="2849"/>
      <c r="AU396" s="2850"/>
      <c r="AV396" s="447">
        <f t="shared" si="269"/>
        <v>0</v>
      </c>
      <c r="AW396" s="447">
        <f t="shared" si="270"/>
        <v>0</v>
      </c>
      <c r="AX396" s="447">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ht="15.6">
      <c r="A397" s="2794"/>
      <c r="B397" s="2805"/>
      <c r="C397" s="2806"/>
      <c r="D397" s="2803"/>
      <c r="E397" s="2797">
        <f t="shared" si="265"/>
        <v>0</v>
      </c>
      <c r="F397" s="2798"/>
      <c r="G397" s="2799">
        <f t="shared" si="266"/>
        <v>0</v>
      </c>
      <c r="H397" s="2800">
        <f t="shared" si="267"/>
        <v>0</v>
      </c>
      <c r="I397" s="2806"/>
      <c r="J397" s="2818"/>
      <c r="K397" s="2806"/>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6"/>
      <c r="AG397" s="2829"/>
      <c r="AH397" s="2829"/>
      <c r="AI397" s="2829"/>
      <c r="AJ397" s="2829"/>
      <c r="AK397" s="2829"/>
      <c r="AL397" s="2829"/>
      <c r="AM397" s="2829"/>
      <c r="AN397" s="2829"/>
      <c r="AO397" s="2829"/>
      <c r="AP397" s="2829"/>
      <c r="AQ397" s="2829"/>
      <c r="AR397" s="2829"/>
      <c r="AS397" s="2829"/>
      <c r="AT397" s="2849"/>
      <c r="AU397" s="2850"/>
      <c r="AV397" s="447">
        <f t="shared" si="269"/>
        <v>0</v>
      </c>
      <c r="AW397" s="447">
        <f t="shared" si="270"/>
        <v>0</v>
      </c>
      <c r="AX397" s="447">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ht="15.6">
      <c r="A398" s="2794"/>
      <c r="B398" s="2804"/>
      <c r="C398" s="2802"/>
      <c r="D398" s="2803"/>
      <c r="E398" s="2797">
        <f t="shared" si="265"/>
        <v>0</v>
      </c>
      <c r="F398" s="2798"/>
      <c r="G398" s="2799">
        <f t="shared" si="266"/>
        <v>0</v>
      </c>
      <c r="H398" s="2800">
        <f t="shared" si="267"/>
        <v>0</v>
      </c>
      <c r="I398" s="2806"/>
      <c r="J398" s="2818"/>
      <c r="K398" s="2806"/>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6"/>
      <c r="AG398" s="2829"/>
      <c r="AH398" s="2829"/>
      <c r="AI398" s="2829"/>
      <c r="AJ398" s="2829"/>
      <c r="AK398" s="2829"/>
      <c r="AL398" s="2829"/>
      <c r="AM398" s="2829"/>
      <c r="AN398" s="2829"/>
      <c r="AO398" s="2829"/>
      <c r="AP398" s="2829"/>
      <c r="AQ398" s="2829"/>
      <c r="AR398" s="2829"/>
      <c r="AS398" s="2829"/>
      <c r="AT398" s="2849"/>
      <c r="AU398" s="2850"/>
      <c r="AV398" s="447">
        <f t="shared" si="269"/>
        <v>0</v>
      </c>
      <c r="AW398" s="447">
        <f t="shared" si="270"/>
        <v>0</v>
      </c>
      <c r="AX398" s="447">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ht="15.6">
      <c r="A399" s="2794"/>
      <c r="B399" s="2804"/>
      <c r="C399" s="2802"/>
      <c r="D399" s="2803"/>
      <c r="E399" s="2797">
        <f t="shared" si="265"/>
        <v>0</v>
      </c>
      <c r="F399" s="2798"/>
      <c r="G399" s="2799">
        <f t="shared" si="266"/>
        <v>0</v>
      </c>
      <c r="H399" s="2800">
        <f t="shared" si="267"/>
        <v>0</v>
      </c>
      <c r="I399" s="2806"/>
      <c r="J399" s="2818"/>
      <c r="K399" s="2806"/>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6"/>
      <c r="AG399" s="2829"/>
      <c r="AH399" s="2829"/>
      <c r="AI399" s="2829"/>
      <c r="AJ399" s="2829"/>
      <c r="AK399" s="2829"/>
      <c r="AL399" s="2829"/>
      <c r="AM399" s="2829"/>
      <c r="AN399" s="2829"/>
      <c r="AO399" s="2829"/>
      <c r="AP399" s="2829"/>
      <c r="AQ399" s="2829"/>
      <c r="AR399" s="2829"/>
      <c r="AS399" s="2829"/>
      <c r="AT399" s="2849"/>
      <c r="AU399" s="2850"/>
      <c r="AV399" s="447">
        <f t="shared" si="269"/>
        <v>0</v>
      </c>
      <c r="AW399" s="447">
        <f t="shared" si="270"/>
        <v>0</v>
      </c>
      <c r="AX399" s="447">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ht="15.6">
      <c r="A400" s="2794"/>
      <c r="B400" s="2804"/>
      <c r="C400" s="2802"/>
      <c r="D400" s="2803"/>
      <c r="E400" s="2797">
        <f t="shared" si="265"/>
        <v>0</v>
      </c>
      <c r="F400" s="2798"/>
      <c r="G400" s="2799">
        <f t="shared" si="266"/>
        <v>0</v>
      </c>
      <c r="H400" s="2800">
        <f t="shared" si="267"/>
        <v>0</v>
      </c>
      <c r="I400" s="2806"/>
      <c r="J400" s="2818"/>
      <c r="K400" s="2806"/>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6"/>
      <c r="AG400" s="2829"/>
      <c r="AH400" s="2829"/>
      <c r="AI400" s="2829"/>
      <c r="AJ400" s="2829"/>
      <c r="AK400" s="2829"/>
      <c r="AL400" s="2829"/>
      <c r="AM400" s="2829"/>
      <c r="AN400" s="2829"/>
      <c r="AO400" s="2829"/>
      <c r="AP400" s="2829"/>
      <c r="AQ400" s="2829"/>
      <c r="AR400" s="2829"/>
      <c r="AS400" s="2829"/>
      <c r="AT400" s="2849"/>
      <c r="AU400" s="2850"/>
      <c r="AV400" s="447">
        <f t="shared" si="269"/>
        <v>0</v>
      </c>
      <c r="AW400" s="447">
        <f t="shared" si="270"/>
        <v>0</v>
      </c>
      <c r="AX400" s="447">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ht="15.6">
      <c r="A401" s="2794"/>
      <c r="B401" s="2804"/>
      <c r="C401" s="2802"/>
      <c r="D401" s="2803"/>
      <c r="E401" s="2797">
        <f t="shared" si="265"/>
        <v>0</v>
      </c>
      <c r="F401" s="2798"/>
      <c r="G401" s="2799">
        <f t="shared" si="266"/>
        <v>0</v>
      </c>
      <c r="H401" s="2800">
        <f t="shared" si="267"/>
        <v>0</v>
      </c>
      <c r="I401" s="2806"/>
      <c r="J401" s="2818"/>
      <c r="K401" s="2806"/>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6"/>
      <c r="AG401" s="2829"/>
      <c r="AH401" s="2829"/>
      <c r="AI401" s="2829"/>
      <c r="AJ401" s="2829"/>
      <c r="AK401" s="2829"/>
      <c r="AL401" s="2829"/>
      <c r="AM401" s="2829"/>
      <c r="AN401" s="2829"/>
      <c r="AO401" s="2829"/>
      <c r="AP401" s="2829"/>
      <c r="AQ401" s="2829"/>
      <c r="AR401" s="2829"/>
      <c r="AS401" s="2829"/>
      <c r="AT401" s="2849"/>
      <c r="AU401" s="2850"/>
      <c r="AV401" s="447">
        <f t="shared" si="269"/>
        <v>0</v>
      </c>
      <c r="AW401" s="447">
        <f t="shared" si="270"/>
        <v>0</v>
      </c>
      <c r="AX401" s="447">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ht="15.6">
      <c r="A402" s="2794"/>
      <c r="B402" s="2804"/>
      <c r="C402" s="2802"/>
      <c r="D402" s="2803"/>
      <c r="E402" s="2797">
        <f t="shared" si="265"/>
        <v>0</v>
      </c>
      <c r="F402" s="2798"/>
      <c r="G402" s="2799">
        <f t="shared" si="266"/>
        <v>0</v>
      </c>
      <c r="H402" s="2800">
        <f t="shared" si="267"/>
        <v>0</v>
      </c>
      <c r="I402" s="2806"/>
      <c r="J402" s="2818"/>
      <c r="K402" s="2806"/>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6"/>
      <c r="AG402" s="2829"/>
      <c r="AH402" s="2829"/>
      <c r="AI402" s="2829"/>
      <c r="AJ402" s="2829"/>
      <c r="AK402" s="2829"/>
      <c r="AL402" s="2829"/>
      <c r="AM402" s="2829"/>
      <c r="AN402" s="2829"/>
      <c r="AO402" s="2829"/>
      <c r="AP402" s="2829"/>
      <c r="AQ402" s="2829"/>
      <c r="AR402" s="2829"/>
      <c r="AS402" s="2829"/>
      <c r="AT402" s="2849"/>
      <c r="AU402" s="2850"/>
      <c r="AV402" s="447">
        <f t="shared" si="269"/>
        <v>0</v>
      </c>
      <c r="AW402" s="447">
        <f t="shared" si="270"/>
        <v>0</v>
      </c>
      <c r="AX402" s="447">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ht="15.6">
      <c r="A403" s="2794"/>
      <c r="B403" s="2804"/>
      <c r="C403" s="2802"/>
      <c r="D403" s="2803"/>
      <c r="E403" s="2797">
        <f t="shared" si="265"/>
        <v>0</v>
      </c>
      <c r="F403" s="2798"/>
      <c r="G403" s="2799">
        <f t="shared" si="266"/>
        <v>0</v>
      </c>
      <c r="H403" s="2800">
        <f t="shared" si="267"/>
        <v>0</v>
      </c>
      <c r="I403" s="2806"/>
      <c r="J403" s="2818"/>
      <c r="K403" s="2806"/>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6"/>
      <c r="AG403" s="2829"/>
      <c r="AH403" s="2829"/>
      <c r="AI403" s="2829"/>
      <c r="AJ403" s="2829"/>
      <c r="AK403" s="2829"/>
      <c r="AL403" s="2829"/>
      <c r="AM403" s="2829"/>
      <c r="AN403" s="2829"/>
      <c r="AO403" s="2829"/>
      <c r="AP403" s="2829"/>
      <c r="AQ403" s="2829"/>
      <c r="AR403" s="2829"/>
      <c r="AS403" s="2829"/>
      <c r="AT403" s="2849"/>
      <c r="AU403" s="2850"/>
      <c r="AV403" s="447">
        <f t="shared" si="269"/>
        <v>0</v>
      </c>
      <c r="AW403" s="447">
        <f t="shared" si="270"/>
        <v>0</v>
      </c>
      <c r="AX403" s="447">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ht="15.6">
      <c r="A404" s="2794"/>
      <c r="B404" s="2804"/>
      <c r="C404" s="2802"/>
      <c r="D404" s="2803"/>
      <c r="E404" s="2797">
        <f t="shared" si="265"/>
        <v>0</v>
      </c>
      <c r="F404" s="2798"/>
      <c r="G404" s="2799">
        <f t="shared" si="266"/>
        <v>0</v>
      </c>
      <c r="H404" s="2800">
        <f t="shared" si="267"/>
        <v>0</v>
      </c>
      <c r="I404" s="2806"/>
      <c r="J404" s="2818"/>
      <c r="K404" s="2806"/>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6"/>
      <c r="AG404" s="2829"/>
      <c r="AH404" s="2829"/>
      <c r="AI404" s="2829"/>
      <c r="AJ404" s="2829"/>
      <c r="AK404" s="2829"/>
      <c r="AL404" s="2829"/>
      <c r="AM404" s="2829"/>
      <c r="AN404" s="2829"/>
      <c r="AO404" s="2829"/>
      <c r="AP404" s="2829"/>
      <c r="AQ404" s="2829"/>
      <c r="AR404" s="2829"/>
      <c r="AS404" s="2829"/>
      <c r="AT404" s="2849"/>
      <c r="AU404" s="2850"/>
      <c r="AV404" s="447">
        <f t="shared" si="269"/>
        <v>0</v>
      </c>
      <c r="AW404" s="447">
        <f t="shared" si="270"/>
        <v>0</v>
      </c>
      <c r="AX404" s="447">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ht="15.6">
      <c r="A405" s="2794"/>
      <c r="B405" s="2804"/>
      <c r="C405" s="2802"/>
      <c r="D405" s="2803"/>
      <c r="E405" s="2797">
        <f t="shared" si="265"/>
        <v>0</v>
      </c>
      <c r="F405" s="2798"/>
      <c r="G405" s="2799">
        <f t="shared" si="266"/>
        <v>0</v>
      </c>
      <c r="H405" s="2800">
        <f t="shared" si="267"/>
        <v>0</v>
      </c>
      <c r="I405" s="2806"/>
      <c r="J405" s="2818"/>
      <c r="K405" s="2806"/>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6"/>
      <c r="AG405" s="2829"/>
      <c r="AH405" s="2829"/>
      <c r="AI405" s="2829"/>
      <c r="AJ405" s="2829"/>
      <c r="AK405" s="2829"/>
      <c r="AL405" s="2829"/>
      <c r="AM405" s="2829"/>
      <c r="AN405" s="2829"/>
      <c r="AO405" s="2829"/>
      <c r="AP405" s="2829"/>
      <c r="AQ405" s="2829"/>
      <c r="AR405" s="2829"/>
      <c r="AS405" s="2829"/>
      <c r="AT405" s="2849"/>
      <c r="AU405" s="2850"/>
      <c r="AV405" s="447">
        <f t="shared" si="269"/>
        <v>0</v>
      </c>
      <c r="AW405" s="447">
        <f t="shared" si="270"/>
        <v>0</v>
      </c>
      <c r="AX405" s="447">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ht="15.6">
      <c r="A406" s="2794"/>
      <c r="B406" s="2804"/>
      <c r="C406" s="2802"/>
      <c r="D406" s="2803"/>
      <c r="E406" s="2797">
        <f t="shared" si="265"/>
        <v>0</v>
      </c>
      <c r="F406" s="2798"/>
      <c r="G406" s="2799">
        <f t="shared" si="266"/>
        <v>0</v>
      </c>
      <c r="H406" s="2800">
        <f t="shared" si="267"/>
        <v>0</v>
      </c>
      <c r="I406" s="2806"/>
      <c r="J406" s="2818"/>
      <c r="K406" s="2806"/>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6"/>
      <c r="AG406" s="2829"/>
      <c r="AH406" s="2829"/>
      <c r="AI406" s="2829"/>
      <c r="AJ406" s="2829"/>
      <c r="AK406" s="2829"/>
      <c r="AL406" s="2829"/>
      <c r="AM406" s="2829"/>
      <c r="AN406" s="2829"/>
      <c r="AO406" s="2829"/>
      <c r="AP406" s="2829"/>
      <c r="AQ406" s="2829"/>
      <c r="AR406" s="2829"/>
      <c r="AS406" s="2829"/>
      <c r="AT406" s="2849"/>
      <c r="AU406" s="2850"/>
      <c r="AV406" s="447">
        <f t="shared" si="269"/>
        <v>0</v>
      </c>
      <c r="AW406" s="447">
        <f t="shared" si="270"/>
        <v>0</v>
      </c>
      <c r="AX406" s="447">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ht="15.6">
      <c r="A407" s="2794"/>
      <c r="B407" s="2804"/>
      <c r="C407" s="2802"/>
      <c r="D407" s="2803"/>
      <c r="E407" s="2797">
        <f t="shared" si="265"/>
        <v>0</v>
      </c>
      <c r="F407" s="2798"/>
      <c r="G407" s="2799">
        <f t="shared" si="266"/>
        <v>0</v>
      </c>
      <c r="H407" s="2800">
        <f t="shared" si="267"/>
        <v>0</v>
      </c>
      <c r="I407" s="2806"/>
      <c r="J407" s="2818"/>
      <c r="K407" s="2806"/>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6"/>
      <c r="AG407" s="2829"/>
      <c r="AH407" s="2829"/>
      <c r="AI407" s="2829"/>
      <c r="AJ407" s="2829"/>
      <c r="AK407" s="2829"/>
      <c r="AL407" s="2829"/>
      <c r="AM407" s="2829"/>
      <c r="AN407" s="2829"/>
      <c r="AO407" s="2829"/>
      <c r="AP407" s="2829"/>
      <c r="AQ407" s="2829"/>
      <c r="AR407" s="2829"/>
      <c r="AS407" s="2829"/>
      <c r="AT407" s="2849"/>
      <c r="AU407" s="2850"/>
      <c r="AV407" s="447">
        <f t="shared" si="269"/>
        <v>0</v>
      </c>
      <c r="AW407" s="447">
        <f t="shared" si="270"/>
        <v>0</v>
      </c>
      <c r="AX407" s="447">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ht="15.6">
      <c r="A408" s="2794"/>
      <c r="B408" s="2804"/>
      <c r="C408" s="2802"/>
      <c r="D408" s="2803"/>
      <c r="E408" s="2797">
        <f t="shared" si="265"/>
        <v>0</v>
      </c>
      <c r="F408" s="2798"/>
      <c r="G408" s="2799">
        <f t="shared" si="266"/>
        <v>0</v>
      </c>
      <c r="H408" s="2800">
        <f t="shared" si="267"/>
        <v>0</v>
      </c>
      <c r="I408" s="2806"/>
      <c r="J408" s="2818"/>
      <c r="K408" s="2806"/>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6"/>
      <c r="AG408" s="2829"/>
      <c r="AH408" s="2829"/>
      <c r="AI408" s="2829"/>
      <c r="AJ408" s="2829"/>
      <c r="AK408" s="2829"/>
      <c r="AL408" s="2829"/>
      <c r="AM408" s="2829"/>
      <c r="AN408" s="2829"/>
      <c r="AO408" s="2829"/>
      <c r="AP408" s="2829"/>
      <c r="AQ408" s="2829"/>
      <c r="AR408" s="2829"/>
      <c r="AS408" s="2829"/>
      <c r="AT408" s="2849"/>
      <c r="AU408" s="2850"/>
      <c r="AV408" s="447">
        <f t="shared" si="269"/>
        <v>0</v>
      </c>
      <c r="AW408" s="447">
        <f t="shared" si="270"/>
        <v>0</v>
      </c>
      <c r="AX408" s="447">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ht="15.6">
      <c r="A409" s="2794"/>
      <c r="B409" s="2804"/>
      <c r="C409" s="2802"/>
      <c r="D409" s="2803"/>
      <c r="E409" s="2797">
        <f t="shared" si="265"/>
        <v>0</v>
      </c>
      <c r="F409" s="2798"/>
      <c r="G409" s="2799">
        <f t="shared" si="266"/>
        <v>0</v>
      </c>
      <c r="H409" s="2800">
        <f t="shared" si="267"/>
        <v>0</v>
      </c>
      <c r="I409" s="2806"/>
      <c r="J409" s="2818"/>
      <c r="K409" s="2806"/>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6"/>
      <c r="AG409" s="2829"/>
      <c r="AH409" s="2829"/>
      <c r="AI409" s="2829"/>
      <c r="AJ409" s="2829"/>
      <c r="AK409" s="2829"/>
      <c r="AL409" s="2829"/>
      <c r="AM409" s="2829"/>
      <c r="AN409" s="2829"/>
      <c r="AO409" s="2829"/>
      <c r="AP409" s="2829"/>
      <c r="AQ409" s="2829"/>
      <c r="AR409" s="2829"/>
      <c r="AS409" s="2829"/>
      <c r="AT409" s="2849"/>
      <c r="AU409" s="2850"/>
      <c r="AV409" s="447">
        <f t="shared" si="269"/>
        <v>0</v>
      </c>
      <c r="AW409" s="447">
        <f t="shared" si="270"/>
        <v>0</v>
      </c>
      <c r="AX409" s="447">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ht="15.6">
      <c r="A410" s="2794"/>
      <c r="B410" s="2804"/>
      <c r="C410" s="2802"/>
      <c r="D410" s="2803"/>
      <c r="E410" s="2797">
        <f t="shared" si="265"/>
        <v>0</v>
      </c>
      <c r="F410" s="2798"/>
      <c r="G410" s="2799">
        <f t="shared" si="266"/>
        <v>0</v>
      </c>
      <c r="H410" s="2800">
        <f t="shared" si="267"/>
        <v>0</v>
      </c>
      <c r="I410" s="2806"/>
      <c r="J410" s="2818"/>
      <c r="K410" s="2806"/>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6"/>
      <c r="AG410" s="2829"/>
      <c r="AH410" s="2829"/>
      <c r="AI410" s="2829"/>
      <c r="AJ410" s="2829"/>
      <c r="AK410" s="2829"/>
      <c r="AL410" s="2829"/>
      <c r="AM410" s="2829"/>
      <c r="AN410" s="2829"/>
      <c r="AO410" s="2829"/>
      <c r="AP410" s="2829"/>
      <c r="AQ410" s="2829"/>
      <c r="AR410" s="2829"/>
      <c r="AS410" s="2829"/>
      <c r="AT410" s="2849"/>
      <c r="AU410" s="2850"/>
      <c r="AV410" s="447">
        <f t="shared" si="269"/>
        <v>0</v>
      </c>
      <c r="AW410" s="447">
        <f t="shared" si="270"/>
        <v>0</v>
      </c>
      <c r="AX410" s="447">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ht="15.6">
      <c r="A411" s="2794"/>
      <c r="B411" s="2804"/>
      <c r="C411" s="2802"/>
      <c r="D411" s="2803"/>
      <c r="E411" s="2797">
        <f t="shared" si="265"/>
        <v>0</v>
      </c>
      <c r="F411" s="2798"/>
      <c r="G411" s="2799">
        <f t="shared" si="266"/>
        <v>0</v>
      </c>
      <c r="H411" s="2800">
        <f t="shared" si="267"/>
        <v>0</v>
      </c>
      <c r="I411" s="2806"/>
      <c r="J411" s="2818"/>
      <c r="K411" s="2806"/>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6"/>
      <c r="AG411" s="2829"/>
      <c r="AH411" s="2829"/>
      <c r="AI411" s="2829"/>
      <c r="AJ411" s="2829"/>
      <c r="AK411" s="2829"/>
      <c r="AL411" s="2829"/>
      <c r="AM411" s="2829"/>
      <c r="AN411" s="2829"/>
      <c r="AO411" s="2829"/>
      <c r="AP411" s="2829"/>
      <c r="AQ411" s="2829"/>
      <c r="AR411" s="2829"/>
      <c r="AS411" s="2829"/>
      <c r="AT411" s="2849"/>
      <c r="AU411" s="2850"/>
      <c r="AV411" s="447">
        <f t="shared" si="269"/>
        <v>0</v>
      </c>
      <c r="AW411" s="447">
        <f t="shared" si="270"/>
        <v>0</v>
      </c>
      <c r="AX411" s="447">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ht="15.6">
      <c r="A412" s="2794"/>
      <c r="B412" s="2804"/>
      <c r="C412" s="2802"/>
      <c r="D412" s="2803"/>
      <c r="E412" s="2797">
        <f t="shared" si="265"/>
        <v>0</v>
      </c>
      <c r="F412" s="2798"/>
      <c r="G412" s="2799">
        <f t="shared" si="266"/>
        <v>0</v>
      </c>
      <c r="H412" s="2800">
        <f t="shared" si="267"/>
        <v>0</v>
      </c>
      <c r="I412" s="2806"/>
      <c r="J412" s="2818"/>
      <c r="K412" s="2806"/>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6"/>
      <c r="AG412" s="2829"/>
      <c r="AH412" s="2829"/>
      <c r="AI412" s="2829"/>
      <c r="AJ412" s="2829"/>
      <c r="AK412" s="2829"/>
      <c r="AL412" s="2829"/>
      <c r="AM412" s="2829"/>
      <c r="AN412" s="2829"/>
      <c r="AO412" s="2829"/>
      <c r="AP412" s="2829"/>
      <c r="AQ412" s="2829"/>
      <c r="AR412" s="2829"/>
      <c r="AS412" s="2829"/>
      <c r="AT412" s="2849"/>
      <c r="AU412" s="2850"/>
      <c r="AV412" s="447">
        <f t="shared" si="269"/>
        <v>0</v>
      </c>
      <c r="AW412" s="447">
        <f t="shared" si="270"/>
        <v>0</v>
      </c>
      <c r="AX412" s="447">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ht="15.6">
      <c r="A413" s="2794"/>
      <c r="B413" s="2804"/>
      <c r="C413" s="2802"/>
      <c r="D413" s="2803"/>
      <c r="E413" s="2797">
        <f t="shared" si="265"/>
        <v>0</v>
      </c>
      <c r="F413" s="2798"/>
      <c r="G413" s="2799">
        <f t="shared" si="266"/>
        <v>0</v>
      </c>
      <c r="H413" s="2800">
        <f t="shared" si="267"/>
        <v>0</v>
      </c>
      <c r="I413" s="2806"/>
      <c r="J413" s="2818"/>
      <c r="K413" s="2806"/>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6"/>
      <c r="AG413" s="2829"/>
      <c r="AH413" s="2829"/>
      <c r="AI413" s="2829"/>
      <c r="AJ413" s="2829"/>
      <c r="AK413" s="2829"/>
      <c r="AL413" s="2829"/>
      <c r="AM413" s="2829"/>
      <c r="AN413" s="2829"/>
      <c r="AO413" s="2829"/>
      <c r="AP413" s="2829"/>
      <c r="AQ413" s="2829"/>
      <c r="AR413" s="2829"/>
      <c r="AS413" s="2829"/>
      <c r="AT413" s="2849"/>
      <c r="AU413" s="2850"/>
      <c r="AV413" s="447">
        <f t="shared" si="269"/>
        <v>0</v>
      </c>
      <c r="AW413" s="447">
        <f t="shared" si="270"/>
        <v>0</v>
      </c>
      <c r="AX413" s="447">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ht="15.6">
      <c r="A414" s="2794"/>
      <c r="B414" s="2804"/>
      <c r="C414" s="2802"/>
      <c r="D414" s="2803"/>
      <c r="E414" s="2797">
        <f t="shared" si="265"/>
        <v>0</v>
      </c>
      <c r="F414" s="2798"/>
      <c r="G414" s="2799">
        <f t="shared" si="266"/>
        <v>0</v>
      </c>
      <c r="H414" s="2800">
        <f t="shared" si="267"/>
        <v>0</v>
      </c>
      <c r="I414" s="2806"/>
      <c r="J414" s="2818"/>
      <c r="K414" s="2806"/>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6"/>
      <c r="AG414" s="2829"/>
      <c r="AH414" s="2829"/>
      <c r="AI414" s="2829"/>
      <c r="AJ414" s="2829"/>
      <c r="AK414" s="2829"/>
      <c r="AL414" s="2829"/>
      <c r="AM414" s="2829"/>
      <c r="AN414" s="2829"/>
      <c r="AO414" s="2829"/>
      <c r="AP414" s="2829"/>
      <c r="AQ414" s="2829"/>
      <c r="AR414" s="2829"/>
      <c r="AS414" s="2829"/>
      <c r="AT414" s="2849"/>
      <c r="AU414" s="2850"/>
      <c r="AV414" s="447">
        <f t="shared" si="269"/>
        <v>0</v>
      </c>
      <c r="AW414" s="447">
        <f t="shared" si="270"/>
        <v>0</v>
      </c>
      <c r="AX414" s="447">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ht="15.6">
      <c r="A415" s="2794"/>
      <c r="B415" s="2804"/>
      <c r="C415" s="2802"/>
      <c r="D415" s="2803"/>
      <c r="E415" s="2797">
        <f t="shared" si="265"/>
        <v>0</v>
      </c>
      <c r="F415" s="2798"/>
      <c r="G415" s="2799">
        <f t="shared" si="266"/>
        <v>0</v>
      </c>
      <c r="H415" s="2800">
        <f t="shared" si="267"/>
        <v>0</v>
      </c>
      <c r="I415" s="2806"/>
      <c r="J415" s="2818"/>
      <c r="K415" s="2806"/>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447">
        <f t="shared" si="269"/>
        <v>0</v>
      </c>
      <c r="AW415" s="447">
        <f t="shared" si="270"/>
        <v>0</v>
      </c>
      <c r="AX415" s="447">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ht="15.6">
      <c r="A416" s="2794"/>
      <c r="B416" s="2804"/>
      <c r="C416" s="2802"/>
      <c r="D416" s="2803"/>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447">
        <f t="shared" si="269"/>
        <v>0</v>
      </c>
      <c r="AW416" s="447">
        <f t="shared" si="270"/>
        <v>0</v>
      </c>
      <c r="AX416" s="447">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ht="15.6">
      <c r="A417" s="2794"/>
      <c r="B417" s="2804"/>
      <c r="C417" s="2802"/>
      <c r="D417" s="2803"/>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447">
        <f t="shared" si="269"/>
        <v>0</v>
      </c>
      <c r="AW417" s="447">
        <f t="shared" si="270"/>
        <v>0</v>
      </c>
      <c r="AX417" s="447">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ht="15.6">
      <c r="A418" s="2794"/>
      <c r="B418" s="2804"/>
      <c r="C418" s="2802"/>
      <c r="D418" s="2803"/>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447">
        <f t="shared" si="269"/>
        <v>0</v>
      </c>
      <c r="AW418" s="447">
        <f t="shared" si="270"/>
        <v>0</v>
      </c>
      <c r="AX418" s="447">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ht="15.6">
      <c r="A419" s="2794"/>
      <c r="B419" s="2804"/>
      <c r="C419" s="2802"/>
      <c r="D419" s="2803"/>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447">
        <f t="shared" si="269"/>
        <v>0</v>
      </c>
      <c r="AW419" s="447">
        <f t="shared" si="270"/>
        <v>0</v>
      </c>
      <c r="AX419" s="447">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ht="15.6">
      <c r="A420" s="2794"/>
      <c r="B420" s="2804"/>
      <c r="C420" s="2802"/>
      <c r="D420" s="2803"/>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447">
        <f t="shared" si="269"/>
        <v>0</v>
      </c>
      <c r="AW420" s="447">
        <f t="shared" si="270"/>
        <v>0</v>
      </c>
      <c r="AX420" s="447">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ht="15.6">
      <c r="A421" s="2794"/>
      <c r="B421" s="2804"/>
      <c r="C421" s="2802"/>
      <c r="D421" s="2803"/>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447">
        <f t="shared" si="269"/>
        <v>0</v>
      </c>
      <c r="AW421" s="447">
        <f t="shared" si="270"/>
        <v>0</v>
      </c>
      <c r="AX421" s="447">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ht="15.6">
      <c r="A422" s="2794"/>
      <c r="B422" s="2804"/>
      <c r="C422" s="2802"/>
      <c r="D422" s="2803"/>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447">
        <f t="shared" si="269"/>
        <v>0</v>
      </c>
      <c r="AW422" s="447">
        <f t="shared" si="270"/>
        <v>0</v>
      </c>
      <c r="AX422" s="447">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ht="15.6">
      <c r="A423" s="2794"/>
      <c r="B423" s="2805"/>
      <c r="C423" s="2806"/>
      <c r="D423" s="2803"/>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447">
        <f t="shared" si="269"/>
        <v>0</v>
      </c>
      <c r="AW423" s="447">
        <f t="shared" si="270"/>
        <v>0</v>
      </c>
      <c r="AX423" s="447">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447">
        <f t="shared" si="269"/>
        <v>0</v>
      </c>
      <c r="AW424" s="447">
        <f t="shared" si="270"/>
        <v>0</v>
      </c>
      <c r="AX424" s="447">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447">
        <f t="shared" si="269"/>
        <v>0</v>
      </c>
      <c r="AW425" s="447">
        <f t="shared" si="270"/>
        <v>0</v>
      </c>
      <c r="AX425" s="447">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447">
        <f t="shared" si="269"/>
        <v>0</v>
      </c>
      <c r="AW426" s="447">
        <f t="shared" si="270"/>
        <v>0</v>
      </c>
      <c r="AX426" s="447">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447">
        <f t="shared" si="269"/>
        <v>0</v>
      </c>
      <c r="AW427" s="447">
        <f t="shared" si="270"/>
        <v>0</v>
      </c>
      <c r="AX427" s="447">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447">
        <f t="shared" si="269"/>
        <v>0</v>
      </c>
      <c r="AW428" s="447">
        <f t="shared" si="270"/>
        <v>0</v>
      </c>
      <c r="AX428" s="447">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447">
        <f t="shared" si="269"/>
        <v>0</v>
      </c>
      <c r="AW429" s="447">
        <f t="shared" si="270"/>
        <v>0</v>
      </c>
      <c r="AX429" s="447">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447">
        <f t="shared" si="269"/>
        <v>0</v>
      </c>
      <c r="AW430" s="447">
        <f t="shared" si="270"/>
        <v>0</v>
      </c>
      <c r="AX430" s="447">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447">
        <f t="shared" si="269"/>
        <v>0</v>
      </c>
      <c r="AW431" s="447">
        <f t="shared" si="270"/>
        <v>0</v>
      </c>
      <c r="AX431" s="447">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447">
        <f t="shared" si="269"/>
        <v>0</v>
      </c>
      <c r="AW432" s="447">
        <f t="shared" si="270"/>
        <v>0</v>
      </c>
      <c r="AX432" s="447">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447">
        <f t="shared" si="269"/>
        <v>0</v>
      </c>
      <c r="AW433" s="447">
        <f t="shared" si="270"/>
        <v>0</v>
      </c>
      <c r="AX433" s="447">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447">
        <f t="shared" si="269"/>
        <v>0</v>
      </c>
      <c r="AW434" s="447">
        <f t="shared" si="270"/>
        <v>0</v>
      </c>
      <c r="AX434" s="447">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447">
        <f t="shared" si="269"/>
        <v>0</v>
      </c>
      <c r="AW435" s="447">
        <f t="shared" si="270"/>
        <v>0</v>
      </c>
      <c r="AX435" s="447">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447">
        <f t="shared" si="269"/>
        <v>0</v>
      </c>
      <c r="AW436" s="447">
        <f t="shared" si="270"/>
        <v>0</v>
      </c>
      <c r="AX436" s="447">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447">
        <f t="shared" si="269"/>
        <v>0</v>
      </c>
      <c r="AW437" s="447">
        <f t="shared" si="270"/>
        <v>0</v>
      </c>
      <c r="AX437" s="447">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447">
        <f t="shared" si="269"/>
        <v>0</v>
      </c>
      <c r="AW438" s="447">
        <f t="shared" si="270"/>
        <v>0</v>
      </c>
      <c r="AX438" s="447">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447">
        <f t="shared" si="269"/>
        <v>0</v>
      </c>
      <c r="AW439" s="447">
        <f t="shared" si="270"/>
        <v>0</v>
      </c>
      <c r="AX439" s="447">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447">
        <f t="shared" si="269"/>
        <v>0</v>
      </c>
      <c r="AW440" s="447">
        <f t="shared" si="270"/>
        <v>0</v>
      </c>
      <c r="AX440" s="447">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447">
        <f t="shared" si="269"/>
        <v>0</v>
      </c>
      <c r="AW441" s="447">
        <f t="shared" si="270"/>
        <v>0</v>
      </c>
      <c r="AX441" s="447">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447">
        <f t="shared" si="269"/>
        <v>0</v>
      </c>
      <c r="AW442" s="447">
        <f t="shared" si="270"/>
        <v>0</v>
      </c>
      <c r="AX442" s="447">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447">
        <f t="shared" si="269"/>
        <v>0</v>
      </c>
      <c r="AW443" s="447">
        <f t="shared" si="270"/>
        <v>0</v>
      </c>
      <c r="AX443" s="447">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447">
        <f t="shared" si="269"/>
        <v>0</v>
      </c>
      <c r="AW444" s="447">
        <f t="shared" si="270"/>
        <v>0</v>
      </c>
      <c r="AX444" s="447">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447">
        <f t="shared" si="269"/>
        <v>0</v>
      </c>
      <c r="AW445" s="447">
        <f t="shared" si="270"/>
        <v>0</v>
      </c>
      <c r="AX445" s="447">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447">
        <f t="shared" si="269"/>
        <v>0</v>
      </c>
      <c r="AW446" s="447">
        <f t="shared" si="270"/>
        <v>0</v>
      </c>
      <c r="AX446" s="447">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447">
        <f t="shared" si="269"/>
        <v>0</v>
      </c>
      <c r="AW447" s="447">
        <f t="shared" si="270"/>
        <v>0</v>
      </c>
      <c r="AX447" s="447">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447">
        <f t="shared" si="269"/>
        <v>0</v>
      </c>
      <c r="AW448" s="447">
        <f t="shared" si="270"/>
        <v>0</v>
      </c>
      <c r="AX448" s="447">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447">
        <f t="shared" si="269"/>
        <v>0</v>
      </c>
      <c r="AW449" s="447">
        <f t="shared" si="270"/>
        <v>0</v>
      </c>
      <c r="AX449" s="447">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447">
        <f t="shared" si="269"/>
        <v>0</v>
      </c>
      <c r="AW450" s="447">
        <f t="shared" si="270"/>
        <v>0</v>
      </c>
      <c r="AX450" s="447">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447">
        <f t="shared" si="269"/>
        <v>0</v>
      </c>
      <c r="AW451" s="447">
        <f t="shared" si="270"/>
        <v>0</v>
      </c>
      <c r="AX451" s="447">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447">
        <f t="shared" si="269"/>
        <v>0</v>
      </c>
      <c r="AW452" s="447">
        <f t="shared" si="270"/>
        <v>0</v>
      </c>
      <c r="AX452" s="447">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447">
        <f t="shared" si="269"/>
        <v>0</v>
      </c>
      <c r="AW453" s="447">
        <f t="shared" si="270"/>
        <v>0</v>
      </c>
      <c r="AX453" s="447">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447">
        <f t="shared" si="269"/>
        <v>0</v>
      </c>
      <c r="AW454" s="447">
        <f t="shared" si="270"/>
        <v>0</v>
      </c>
      <c r="AX454" s="447">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447">
        <f t="shared" si="269"/>
        <v>0</v>
      </c>
      <c r="AW455" s="447">
        <f t="shared" si="270"/>
        <v>0</v>
      </c>
      <c r="AX455" s="447">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447">
        <f t="shared" si="269"/>
        <v>0</v>
      </c>
      <c r="AW456" s="447">
        <f t="shared" si="270"/>
        <v>0</v>
      </c>
      <c r="AX456" s="447">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447">
        <f t="shared" si="269"/>
        <v>0</v>
      </c>
      <c r="AW457" s="447">
        <f t="shared" si="270"/>
        <v>0</v>
      </c>
      <c r="AX457" s="447">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447">
        <f t="shared" si="269"/>
        <v>0</v>
      </c>
      <c r="AW458" s="447">
        <f t="shared" si="270"/>
        <v>0</v>
      </c>
      <c r="AX458" s="447">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447">
        <f t="shared" si="269"/>
        <v>0</v>
      </c>
      <c r="AW459" s="447">
        <f t="shared" si="270"/>
        <v>0</v>
      </c>
      <c r="AX459" s="447">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447">
        <f t="shared" si="269"/>
        <v>0</v>
      </c>
      <c r="AW460" s="447">
        <f t="shared" si="270"/>
        <v>0</v>
      </c>
      <c r="AX460" s="447">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447">
        <f t="shared" si="269"/>
        <v>0</v>
      </c>
      <c r="AW461" s="447">
        <f t="shared" si="270"/>
        <v>0</v>
      </c>
      <c r="AX461" s="447">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447">
        <f t="shared" si="269"/>
        <v>0</v>
      </c>
      <c r="AW462" s="447">
        <f t="shared" si="270"/>
        <v>0</v>
      </c>
      <c r="AX462" s="447">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447">
        <f t="shared" si="269"/>
        <v>0</v>
      </c>
      <c r="AW463" s="447">
        <f t="shared" si="270"/>
        <v>0</v>
      </c>
      <c r="AX463" s="447">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447">
        <f t="shared" si="269"/>
        <v>0</v>
      </c>
      <c r="AW464" s="447">
        <f t="shared" si="270"/>
        <v>0</v>
      </c>
      <c r="AX464" s="447">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447">
        <f t="shared" si="269"/>
        <v>0</v>
      </c>
      <c r="AW465" s="447">
        <f t="shared" si="270"/>
        <v>0</v>
      </c>
      <c r="AX465" s="447">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447">
        <f t="shared" si="269"/>
        <v>0</v>
      </c>
      <c r="AW466" s="447">
        <f t="shared" si="270"/>
        <v>0</v>
      </c>
      <c r="AX466" s="447">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447">
        <f t="shared" si="269"/>
        <v>0</v>
      </c>
      <c r="AW467" s="447">
        <f t="shared" si="270"/>
        <v>0</v>
      </c>
      <c r="AX467" s="447">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447">
        <f t="shared" si="269"/>
        <v>0</v>
      </c>
      <c r="AW468" s="447">
        <f t="shared" si="270"/>
        <v>0</v>
      </c>
      <c r="AX468" s="447">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447">
        <f t="shared" si="269"/>
        <v>0</v>
      </c>
      <c r="AW469" s="447">
        <f t="shared" si="270"/>
        <v>0</v>
      </c>
      <c r="AX469" s="447">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447">
        <f t="shared" si="269"/>
        <v>0</v>
      </c>
      <c r="AW470" s="447">
        <f t="shared" si="270"/>
        <v>0</v>
      </c>
      <c r="AX470" s="447">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447">
        <f t="shared" si="269"/>
        <v>0</v>
      </c>
      <c r="AW471" s="447">
        <f t="shared" si="270"/>
        <v>0</v>
      </c>
      <c r="AX471" s="447">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447">
        <f t="shared" si="269"/>
        <v>0</v>
      </c>
      <c r="AW472" s="447">
        <f t="shared" si="270"/>
        <v>0</v>
      </c>
      <c r="AX472" s="447">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447">
        <f t="shared" si="269"/>
        <v>0</v>
      </c>
      <c r="AW473" s="447">
        <f t="shared" si="270"/>
        <v>0</v>
      </c>
      <c r="AX473" s="447">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447">
        <f t="shared" si="269"/>
        <v>0</v>
      </c>
      <c r="AW474" s="447">
        <f t="shared" si="270"/>
        <v>0</v>
      </c>
      <c r="AX474" s="447">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447">
        <f t="shared" si="269"/>
        <v>0</v>
      </c>
      <c r="AW475" s="447">
        <f t="shared" si="270"/>
        <v>0</v>
      </c>
      <c r="AX475" s="447">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447">
        <f t="shared" si="269"/>
        <v>0</v>
      </c>
      <c r="AW476" s="447">
        <f t="shared" si="270"/>
        <v>0</v>
      </c>
      <c r="AX476" s="447">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447">
        <f t="shared" si="269"/>
        <v>0</v>
      </c>
      <c r="AW477" s="447">
        <f t="shared" si="270"/>
        <v>0</v>
      </c>
      <c r="AX477" s="447">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447">
        <f t="shared" si="269"/>
        <v>0</v>
      </c>
      <c r="AW478" s="447">
        <f t="shared" si="270"/>
        <v>0</v>
      </c>
      <c r="AX478" s="447">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447">
        <f t="shared" si="269"/>
        <v>0</v>
      </c>
      <c r="AW479" s="447">
        <f t="shared" si="270"/>
        <v>0</v>
      </c>
      <c r="AX479" s="447">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447">
        <f t="shared" si="269"/>
        <v>0</v>
      </c>
      <c r="AW480" s="447">
        <f t="shared" si="270"/>
        <v>0</v>
      </c>
      <c r="AX480" s="447">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ht="15.6">
      <c r="A481" s="2794"/>
      <c r="B481" s="2804"/>
      <c r="C481" s="2802"/>
      <c r="D481" s="2803"/>
      <c r="E481" s="2797">
        <f t="shared" ref="E481:E504" si="319">IF($C$3="是",ROUND($A$3*G481/$B$3,2),ROUND($A$3*(G481-AT481)/$B$3,2))</f>
        <v>0</v>
      </c>
      <c r="F481" s="2798"/>
      <c r="G481" s="2799">
        <f t="shared" si="294"/>
        <v>0</v>
      </c>
      <c r="H481" s="2800">
        <f t="shared" si="295"/>
        <v>0</v>
      </c>
      <c r="I481" s="2806"/>
      <c r="J481" s="2818"/>
      <c r="K481" s="2806"/>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447">
        <f t="shared" ref="AV481:AV505" si="320">A481</f>
        <v>0</v>
      </c>
      <c r="AW481" s="447">
        <f t="shared" ref="AW481:AW505" si="321">B481</f>
        <v>0</v>
      </c>
      <c r="AX481" s="447">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ht="15.6">
      <c r="A482" s="2794"/>
      <c r="B482" s="2804"/>
      <c r="C482" s="2802"/>
      <c r="D482" s="2803"/>
      <c r="E482" s="2797">
        <f t="shared" si="319"/>
        <v>0</v>
      </c>
      <c r="F482" s="2798"/>
      <c r="G482" s="2799">
        <f t="shared" si="294"/>
        <v>0</v>
      </c>
      <c r="H482" s="2800">
        <f t="shared" si="295"/>
        <v>0</v>
      </c>
      <c r="I482" s="2806"/>
      <c r="J482" s="2818"/>
      <c r="K482" s="2806"/>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447">
        <f t="shared" si="320"/>
        <v>0</v>
      </c>
      <c r="AW482" s="447">
        <f t="shared" si="321"/>
        <v>0</v>
      </c>
      <c r="AX482" s="447">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ht="15.6">
      <c r="A483" s="2794"/>
      <c r="B483" s="2804"/>
      <c r="C483" s="2802"/>
      <c r="D483" s="2803"/>
      <c r="E483" s="2797">
        <f t="shared" si="319"/>
        <v>0</v>
      </c>
      <c r="F483" s="2798"/>
      <c r="G483" s="2799">
        <f t="shared" si="294"/>
        <v>0</v>
      </c>
      <c r="H483" s="2800">
        <f t="shared" si="295"/>
        <v>0</v>
      </c>
      <c r="I483" s="2806"/>
      <c r="J483" s="2818"/>
      <c r="K483" s="2806"/>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447">
        <f t="shared" si="320"/>
        <v>0</v>
      </c>
      <c r="AW483" s="447">
        <f t="shared" si="321"/>
        <v>0</v>
      </c>
      <c r="AX483" s="447">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ht="15.6">
      <c r="A484" s="2794"/>
      <c r="B484" s="2804"/>
      <c r="C484" s="2802"/>
      <c r="D484" s="2803"/>
      <c r="E484" s="2797">
        <f t="shared" si="319"/>
        <v>0</v>
      </c>
      <c r="F484" s="2798"/>
      <c r="G484" s="2799">
        <f t="shared" si="294"/>
        <v>0</v>
      </c>
      <c r="H484" s="2800">
        <f t="shared" si="295"/>
        <v>0</v>
      </c>
      <c r="I484" s="2806"/>
      <c r="J484" s="2818"/>
      <c r="K484" s="2806"/>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447">
        <f t="shared" si="320"/>
        <v>0</v>
      </c>
      <c r="AW484" s="447">
        <f t="shared" si="321"/>
        <v>0</v>
      </c>
      <c r="AX484" s="447">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ht="15.6">
      <c r="A485" s="2794"/>
      <c r="B485" s="2804"/>
      <c r="C485" s="2802"/>
      <c r="D485" s="2803"/>
      <c r="E485" s="2797">
        <f t="shared" si="319"/>
        <v>0</v>
      </c>
      <c r="F485" s="2798"/>
      <c r="G485" s="2799">
        <f t="shared" si="294"/>
        <v>0</v>
      </c>
      <c r="H485" s="2800">
        <f t="shared" si="295"/>
        <v>0</v>
      </c>
      <c r="I485" s="2806"/>
      <c r="J485" s="2818"/>
      <c r="K485" s="2806"/>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447">
        <f t="shared" si="320"/>
        <v>0</v>
      </c>
      <c r="AW485" s="447">
        <f t="shared" si="321"/>
        <v>0</v>
      </c>
      <c r="AX485" s="447">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ht="15.6">
      <c r="A486" s="2794"/>
      <c r="B486" s="2804"/>
      <c r="C486" s="2802"/>
      <c r="D486" s="2803"/>
      <c r="E486" s="2797">
        <f t="shared" si="319"/>
        <v>0</v>
      </c>
      <c r="F486" s="2798"/>
      <c r="G486" s="2799">
        <f t="shared" si="294"/>
        <v>0</v>
      </c>
      <c r="H486" s="2800">
        <f t="shared" si="295"/>
        <v>0</v>
      </c>
      <c r="I486" s="2806"/>
      <c r="J486" s="2818"/>
      <c r="K486" s="2806"/>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447">
        <f t="shared" si="320"/>
        <v>0</v>
      </c>
      <c r="AW486" s="447">
        <f t="shared" si="321"/>
        <v>0</v>
      </c>
      <c r="AX486" s="447">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ht="15.6">
      <c r="A487" s="2794"/>
      <c r="B487" s="2804"/>
      <c r="C487" s="2802"/>
      <c r="D487" s="2803"/>
      <c r="E487" s="2797">
        <f t="shared" si="319"/>
        <v>0</v>
      </c>
      <c r="F487" s="2798"/>
      <c r="G487" s="2799">
        <f t="shared" si="294"/>
        <v>0</v>
      </c>
      <c r="H487" s="2800">
        <f t="shared" si="295"/>
        <v>0</v>
      </c>
      <c r="I487" s="2806"/>
      <c r="J487" s="2818"/>
      <c r="K487" s="2806"/>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447">
        <f t="shared" si="320"/>
        <v>0</v>
      </c>
      <c r="AW487" s="447">
        <f t="shared" si="321"/>
        <v>0</v>
      </c>
      <c r="AX487" s="447">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ht="15.6">
      <c r="A488" s="2794"/>
      <c r="B488" s="2804"/>
      <c r="C488" s="2802"/>
      <c r="D488" s="2803"/>
      <c r="E488" s="2797">
        <f t="shared" si="319"/>
        <v>0</v>
      </c>
      <c r="F488" s="2798"/>
      <c r="G488" s="2799">
        <f t="shared" si="294"/>
        <v>0</v>
      </c>
      <c r="H488" s="2800">
        <f t="shared" si="295"/>
        <v>0</v>
      </c>
      <c r="I488" s="2806"/>
      <c r="J488" s="2818"/>
      <c r="K488" s="2806"/>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6"/>
      <c r="AG488" s="2829"/>
      <c r="AH488" s="2829"/>
      <c r="AI488" s="2829"/>
      <c r="AJ488" s="2829"/>
      <c r="AK488" s="2829"/>
      <c r="AL488" s="2829"/>
      <c r="AM488" s="2829"/>
      <c r="AN488" s="2829"/>
      <c r="AO488" s="2829"/>
      <c r="AP488" s="2829"/>
      <c r="AQ488" s="2829"/>
      <c r="AR488" s="2829"/>
      <c r="AS488" s="2829"/>
      <c r="AT488" s="2849"/>
      <c r="AU488" s="2850"/>
      <c r="AV488" s="447">
        <f t="shared" si="320"/>
        <v>0</v>
      </c>
      <c r="AW488" s="447">
        <f t="shared" si="321"/>
        <v>0</v>
      </c>
      <c r="AX488" s="447">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ht="15.6">
      <c r="A489" s="2794"/>
      <c r="B489" s="2805"/>
      <c r="C489" s="2806"/>
      <c r="D489" s="2803"/>
      <c r="E489" s="2797">
        <f t="shared" si="319"/>
        <v>0</v>
      </c>
      <c r="F489" s="2798"/>
      <c r="G489" s="2799">
        <f t="shared" si="294"/>
        <v>0</v>
      </c>
      <c r="H489" s="2800">
        <f t="shared" si="295"/>
        <v>0</v>
      </c>
      <c r="I489" s="2806"/>
      <c r="J489" s="2818"/>
      <c r="K489" s="2806"/>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6"/>
      <c r="AG489" s="2829"/>
      <c r="AH489" s="2829"/>
      <c r="AI489" s="2829"/>
      <c r="AJ489" s="2829"/>
      <c r="AK489" s="2829"/>
      <c r="AL489" s="2829"/>
      <c r="AM489" s="2829"/>
      <c r="AN489" s="2829"/>
      <c r="AO489" s="2829"/>
      <c r="AP489" s="2829"/>
      <c r="AQ489" s="2829"/>
      <c r="AR489" s="2829"/>
      <c r="AS489" s="2829"/>
      <c r="AT489" s="2849"/>
      <c r="AU489" s="2850"/>
      <c r="AV489" s="447">
        <f t="shared" si="320"/>
        <v>0</v>
      </c>
      <c r="AW489" s="447">
        <f t="shared" si="321"/>
        <v>0</v>
      </c>
      <c r="AX489" s="447">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ht="15.6">
      <c r="A490" s="2794"/>
      <c r="B490" s="2804"/>
      <c r="C490" s="2802"/>
      <c r="D490" s="2803"/>
      <c r="E490" s="2797">
        <f t="shared" si="319"/>
        <v>0</v>
      </c>
      <c r="F490" s="2798"/>
      <c r="G490" s="2799">
        <f t="shared" si="294"/>
        <v>0</v>
      </c>
      <c r="H490" s="2800">
        <f t="shared" si="295"/>
        <v>0</v>
      </c>
      <c r="I490" s="2806"/>
      <c r="J490" s="2818"/>
      <c r="K490" s="2806"/>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6"/>
      <c r="AG490" s="2829"/>
      <c r="AH490" s="2829"/>
      <c r="AI490" s="2829"/>
      <c r="AJ490" s="2829"/>
      <c r="AK490" s="2829"/>
      <c r="AL490" s="2829"/>
      <c r="AM490" s="2829"/>
      <c r="AN490" s="2829"/>
      <c r="AO490" s="2829"/>
      <c r="AP490" s="2829"/>
      <c r="AQ490" s="2829"/>
      <c r="AR490" s="2829"/>
      <c r="AS490" s="2829"/>
      <c r="AT490" s="2849"/>
      <c r="AU490" s="2850"/>
      <c r="AV490" s="447">
        <f t="shared" si="320"/>
        <v>0</v>
      </c>
      <c r="AW490" s="447">
        <f t="shared" si="321"/>
        <v>0</v>
      </c>
      <c r="AX490" s="447">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ht="15.6">
      <c r="A491" s="2794"/>
      <c r="B491" s="2804"/>
      <c r="C491" s="2802"/>
      <c r="D491" s="2803"/>
      <c r="E491" s="2797">
        <f t="shared" si="319"/>
        <v>0</v>
      </c>
      <c r="F491" s="2798"/>
      <c r="G491" s="2799">
        <f t="shared" si="294"/>
        <v>0</v>
      </c>
      <c r="H491" s="2800">
        <f t="shared" si="295"/>
        <v>0</v>
      </c>
      <c r="I491" s="2806"/>
      <c r="J491" s="2818"/>
      <c r="K491" s="2806"/>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6"/>
      <c r="AG491" s="2829"/>
      <c r="AH491" s="2829"/>
      <c r="AI491" s="2829"/>
      <c r="AJ491" s="2829"/>
      <c r="AK491" s="2829"/>
      <c r="AL491" s="2829"/>
      <c r="AM491" s="2829"/>
      <c r="AN491" s="2829"/>
      <c r="AO491" s="2829"/>
      <c r="AP491" s="2829"/>
      <c r="AQ491" s="2829"/>
      <c r="AR491" s="2829"/>
      <c r="AS491" s="2829"/>
      <c r="AT491" s="2849"/>
      <c r="AU491" s="2850"/>
      <c r="AV491" s="447">
        <f t="shared" si="320"/>
        <v>0</v>
      </c>
      <c r="AW491" s="447">
        <f t="shared" si="321"/>
        <v>0</v>
      </c>
      <c r="AX491" s="447">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ht="15.6">
      <c r="A492" s="2794"/>
      <c r="B492" s="2804"/>
      <c r="C492" s="2802"/>
      <c r="D492" s="2803"/>
      <c r="E492" s="2797">
        <f t="shared" si="319"/>
        <v>0</v>
      </c>
      <c r="F492" s="2798"/>
      <c r="G492" s="2799">
        <f t="shared" si="294"/>
        <v>0</v>
      </c>
      <c r="H492" s="2800">
        <f t="shared" si="295"/>
        <v>0</v>
      </c>
      <c r="I492" s="2806"/>
      <c r="J492" s="2818"/>
      <c r="K492" s="2806"/>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6"/>
      <c r="AG492" s="2829"/>
      <c r="AH492" s="2829"/>
      <c r="AI492" s="2829"/>
      <c r="AJ492" s="2829"/>
      <c r="AK492" s="2829"/>
      <c r="AL492" s="2829"/>
      <c r="AM492" s="2829"/>
      <c r="AN492" s="2829"/>
      <c r="AO492" s="2829"/>
      <c r="AP492" s="2829"/>
      <c r="AQ492" s="2829"/>
      <c r="AR492" s="2829"/>
      <c r="AS492" s="2829"/>
      <c r="AT492" s="2849"/>
      <c r="AU492" s="2850"/>
      <c r="AV492" s="447">
        <f t="shared" si="320"/>
        <v>0</v>
      </c>
      <c r="AW492" s="447">
        <f t="shared" si="321"/>
        <v>0</v>
      </c>
      <c r="AX492" s="447">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ht="15.6">
      <c r="A493" s="2794"/>
      <c r="B493" s="2804"/>
      <c r="C493" s="2802"/>
      <c r="D493" s="2803"/>
      <c r="E493" s="2797">
        <f t="shared" si="319"/>
        <v>0</v>
      </c>
      <c r="F493" s="2798"/>
      <c r="G493" s="2799">
        <f t="shared" si="294"/>
        <v>0</v>
      </c>
      <c r="H493" s="2800">
        <f t="shared" si="295"/>
        <v>0</v>
      </c>
      <c r="I493" s="2806"/>
      <c r="J493" s="2818"/>
      <c r="K493" s="2806"/>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6"/>
      <c r="AG493" s="2829"/>
      <c r="AH493" s="2829"/>
      <c r="AI493" s="2829"/>
      <c r="AJ493" s="2829"/>
      <c r="AK493" s="2829"/>
      <c r="AL493" s="2829"/>
      <c r="AM493" s="2829"/>
      <c r="AN493" s="2829"/>
      <c r="AO493" s="2829"/>
      <c r="AP493" s="2829"/>
      <c r="AQ493" s="2829"/>
      <c r="AR493" s="2829"/>
      <c r="AS493" s="2829"/>
      <c r="AT493" s="2849"/>
      <c r="AU493" s="2850"/>
      <c r="AV493" s="447">
        <f t="shared" si="320"/>
        <v>0</v>
      </c>
      <c r="AW493" s="447">
        <f t="shared" si="321"/>
        <v>0</v>
      </c>
      <c r="AX493" s="447">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ht="15.6">
      <c r="A494" s="2794"/>
      <c r="B494" s="2804"/>
      <c r="C494" s="2802"/>
      <c r="D494" s="2803"/>
      <c r="E494" s="2797">
        <f t="shared" si="319"/>
        <v>0</v>
      </c>
      <c r="F494" s="2798"/>
      <c r="G494" s="2799">
        <f t="shared" si="294"/>
        <v>0</v>
      </c>
      <c r="H494" s="2800">
        <f t="shared" si="295"/>
        <v>0</v>
      </c>
      <c r="I494" s="2806"/>
      <c r="J494" s="2818"/>
      <c r="K494" s="2806"/>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6"/>
      <c r="AG494" s="2829"/>
      <c r="AH494" s="2829"/>
      <c r="AI494" s="2829"/>
      <c r="AJ494" s="2829"/>
      <c r="AK494" s="2829"/>
      <c r="AL494" s="2829"/>
      <c r="AM494" s="2829"/>
      <c r="AN494" s="2829"/>
      <c r="AO494" s="2829"/>
      <c r="AP494" s="2829"/>
      <c r="AQ494" s="2829"/>
      <c r="AR494" s="2829"/>
      <c r="AS494" s="2829"/>
      <c r="AT494" s="2849"/>
      <c r="AU494" s="2850"/>
      <c r="AV494" s="447">
        <f t="shared" si="320"/>
        <v>0</v>
      </c>
      <c r="AW494" s="447">
        <f t="shared" si="321"/>
        <v>0</v>
      </c>
      <c r="AX494" s="447">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ht="15.6">
      <c r="A495" s="2794"/>
      <c r="B495" s="2804"/>
      <c r="C495" s="2802"/>
      <c r="D495" s="2803"/>
      <c r="E495" s="2797">
        <f t="shared" si="319"/>
        <v>0</v>
      </c>
      <c r="F495" s="2798"/>
      <c r="G495" s="2799">
        <f t="shared" si="294"/>
        <v>0</v>
      </c>
      <c r="H495" s="2800">
        <f t="shared" si="295"/>
        <v>0</v>
      </c>
      <c r="I495" s="2806"/>
      <c r="J495" s="2818"/>
      <c r="K495" s="2806"/>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6"/>
      <c r="AG495" s="2829"/>
      <c r="AH495" s="2829"/>
      <c r="AI495" s="2829"/>
      <c r="AJ495" s="2829"/>
      <c r="AK495" s="2829"/>
      <c r="AL495" s="2829"/>
      <c r="AM495" s="2829"/>
      <c r="AN495" s="2829"/>
      <c r="AO495" s="2829"/>
      <c r="AP495" s="2829"/>
      <c r="AQ495" s="2829"/>
      <c r="AR495" s="2829"/>
      <c r="AS495" s="2829"/>
      <c r="AT495" s="2849"/>
      <c r="AU495" s="2850"/>
      <c r="AV495" s="447">
        <f t="shared" si="320"/>
        <v>0</v>
      </c>
      <c r="AW495" s="447">
        <f t="shared" si="321"/>
        <v>0</v>
      </c>
      <c r="AX495" s="447">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ht="15.6">
      <c r="A496" s="2794"/>
      <c r="B496" s="2804"/>
      <c r="C496" s="2802"/>
      <c r="D496" s="2803"/>
      <c r="E496" s="2797">
        <f t="shared" si="319"/>
        <v>0</v>
      </c>
      <c r="F496" s="2798"/>
      <c r="G496" s="2799">
        <f t="shared" si="294"/>
        <v>0</v>
      </c>
      <c r="H496" s="2800">
        <f t="shared" si="295"/>
        <v>0</v>
      </c>
      <c r="I496" s="2806"/>
      <c r="J496" s="2818"/>
      <c r="K496" s="2806"/>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6"/>
      <c r="AG496" s="2829"/>
      <c r="AH496" s="2829"/>
      <c r="AI496" s="2829"/>
      <c r="AJ496" s="2829"/>
      <c r="AK496" s="2829"/>
      <c r="AL496" s="2829"/>
      <c r="AM496" s="2829"/>
      <c r="AN496" s="2829"/>
      <c r="AO496" s="2829"/>
      <c r="AP496" s="2829"/>
      <c r="AQ496" s="2829"/>
      <c r="AR496" s="2829"/>
      <c r="AS496" s="2829"/>
      <c r="AT496" s="2849"/>
      <c r="AU496" s="2850"/>
      <c r="AV496" s="447">
        <f t="shared" si="320"/>
        <v>0</v>
      </c>
      <c r="AW496" s="447">
        <f t="shared" si="321"/>
        <v>0</v>
      </c>
      <c r="AX496" s="447">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ht="15.6">
      <c r="A497" s="2794"/>
      <c r="B497" s="2804"/>
      <c r="C497" s="2802"/>
      <c r="D497" s="2803"/>
      <c r="E497" s="2797">
        <f t="shared" si="319"/>
        <v>0</v>
      </c>
      <c r="F497" s="2798"/>
      <c r="G497" s="2799">
        <f t="shared" si="294"/>
        <v>0</v>
      </c>
      <c r="H497" s="2800">
        <f t="shared" si="295"/>
        <v>0</v>
      </c>
      <c r="I497" s="2806"/>
      <c r="J497" s="2818"/>
      <c r="K497" s="2806"/>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6"/>
      <c r="AG497" s="2829"/>
      <c r="AH497" s="2829"/>
      <c r="AI497" s="2829"/>
      <c r="AJ497" s="2829"/>
      <c r="AK497" s="2829"/>
      <c r="AL497" s="2829"/>
      <c r="AM497" s="2829"/>
      <c r="AN497" s="2829"/>
      <c r="AO497" s="2829"/>
      <c r="AP497" s="2829"/>
      <c r="AQ497" s="2829"/>
      <c r="AR497" s="2829"/>
      <c r="AS497" s="2829"/>
      <c r="AT497" s="2849"/>
      <c r="AU497" s="2850"/>
      <c r="AV497" s="447">
        <f t="shared" si="320"/>
        <v>0</v>
      </c>
      <c r="AW497" s="447">
        <f t="shared" si="321"/>
        <v>0</v>
      </c>
      <c r="AX497" s="447">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ht="15.6">
      <c r="A498" s="2794"/>
      <c r="B498" s="2804"/>
      <c r="C498" s="2802"/>
      <c r="D498" s="2803"/>
      <c r="E498" s="2797">
        <f t="shared" si="319"/>
        <v>0</v>
      </c>
      <c r="F498" s="2798"/>
      <c r="G498" s="2799">
        <f t="shared" si="294"/>
        <v>0</v>
      </c>
      <c r="H498" s="2800">
        <f t="shared" si="295"/>
        <v>0</v>
      </c>
      <c r="I498" s="2806"/>
      <c r="J498" s="2818"/>
      <c r="K498" s="2806"/>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6"/>
      <c r="AG498" s="2829"/>
      <c r="AH498" s="2829"/>
      <c r="AI498" s="2829"/>
      <c r="AJ498" s="2829"/>
      <c r="AK498" s="2829"/>
      <c r="AL498" s="2829"/>
      <c r="AM498" s="2829"/>
      <c r="AN498" s="2829"/>
      <c r="AO498" s="2829"/>
      <c r="AP498" s="2829"/>
      <c r="AQ498" s="2829"/>
      <c r="AR498" s="2829"/>
      <c r="AS498" s="2829"/>
      <c r="AT498" s="2849"/>
      <c r="AU498" s="2850"/>
      <c r="AV498" s="447">
        <f t="shared" si="320"/>
        <v>0</v>
      </c>
      <c r="AW498" s="447">
        <f t="shared" si="321"/>
        <v>0</v>
      </c>
      <c r="AX498" s="447">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ht="15.6">
      <c r="A499" s="2794"/>
      <c r="B499" s="2804"/>
      <c r="C499" s="2802"/>
      <c r="D499" s="2803"/>
      <c r="E499" s="2797">
        <f t="shared" si="319"/>
        <v>0</v>
      </c>
      <c r="F499" s="2798"/>
      <c r="G499" s="2799">
        <f t="shared" si="294"/>
        <v>0</v>
      </c>
      <c r="H499" s="2800">
        <f t="shared" si="295"/>
        <v>0</v>
      </c>
      <c r="I499" s="2806"/>
      <c r="J499" s="2818"/>
      <c r="K499" s="2806"/>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6"/>
      <c r="AG499" s="2829"/>
      <c r="AH499" s="2829"/>
      <c r="AI499" s="2829"/>
      <c r="AJ499" s="2829"/>
      <c r="AK499" s="2829"/>
      <c r="AL499" s="2829"/>
      <c r="AM499" s="2829"/>
      <c r="AN499" s="2829"/>
      <c r="AO499" s="2829"/>
      <c r="AP499" s="2829"/>
      <c r="AQ499" s="2829"/>
      <c r="AR499" s="2829"/>
      <c r="AS499" s="2829"/>
      <c r="AT499" s="2849"/>
      <c r="AU499" s="2850"/>
      <c r="AV499" s="447">
        <f t="shared" si="320"/>
        <v>0</v>
      </c>
      <c r="AW499" s="447">
        <f t="shared" si="321"/>
        <v>0</v>
      </c>
      <c r="AX499" s="447">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ht="15.6">
      <c r="A500" s="2794"/>
      <c r="B500" s="2804"/>
      <c r="C500" s="2802"/>
      <c r="D500" s="2803"/>
      <c r="E500" s="2797">
        <f t="shared" si="319"/>
        <v>0</v>
      </c>
      <c r="F500" s="2798"/>
      <c r="G500" s="2799">
        <f t="shared" si="294"/>
        <v>0</v>
      </c>
      <c r="H500" s="2800">
        <f t="shared" si="295"/>
        <v>0</v>
      </c>
      <c r="I500" s="2806"/>
      <c r="J500" s="2818"/>
      <c r="K500" s="2806"/>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6"/>
      <c r="AG500" s="2829"/>
      <c r="AH500" s="2829"/>
      <c r="AI500" s="2829"/>
      <c r="AJ500" s="2829"/>
      <c r="AK500" s="2829"/>
      <c r="AL500" s="2829"/>
      <c r="AM500" s="2829"/>
      <c r="AN500" s="2829"/>
      <c r="AO500" s="2829"/>
      <c r="AP500" s="2829"/>
      <c r="AQ500" s="2829"/>
      <c r="AR500" s="2829"/>
      <c r="AS500" s="2829"/>
      <c r="AT500" s="2849"/>
      <c r="AU500" s="2850"/>
      <c r="AV500" s="447">
        <f t="shared" si="320"/>
        <v>0</v>
      </c>
      <c r="AW500" s="447">
        <f t="shared" si="321"/>
        <v>0</v>
      </c>
      <c r="AX500" s="447">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ht="15.6">
      <c r="A501" s="2794"/>
      <c r="B501" s="2804"/>
      <c r="C501" s="2802"/>
      <c r="D501" s="2803"/>
      <c r="E501" s="2797">
        <f t="shared" si="319"/>
        <v>0</v>
      </c>
      <c r="F501" s="2798"/>
      <c r="G501" s="2799">
        <f t="shared" si="294"/>
        <v>0</v>
      </c>
      <c r="H501" s="2800">
        <f t="shared" si="295"/>
        <v>0</v>
      </c>
      <c r="I501" s="2806"/>
      <c r="J501" s="2818"/>
      <c r="K501" s="2806"/>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6"/>
      <c r="AG501" s="2829"/>
      <c r="AH501" s="2829"/>
      <c r="AI501" s="2829"/>
      <c r="AJ501" s="2829"/>
      <c r="AK501" s="2829"/>
      <c r="AL501" s="2829"/>
      <c r="AM501" s="2829"/>
      <c r="AN501" s="2829"/>
      <c r="AO501" s="2829"/>
      <c r="AP501" s="2829"/>
      <c r="AQ501" s="2829"/>
      <c r="AR501" s="2829"/>
      <c r="AS501" s="2829"/>
      <c r="AT501" s="2849"/>
      <c r="AU501" s="2850"/>
      <c r="AV501" s="447">
        <f t="shared" si="320"/>
        <v>0</v>
      </c>
      <c r="AW501" s="447">
        <f t="shared" si="321"/>
        <v>0</v>
      </c>
      <c r="AX501" s="447">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ht="15.6">
      <c r="A502" s="2794"/>
      <c r="B502" s="2804"/>
      <c r="C502" s="2802"/>
      <c r="D502" s="2803"/>
      <c r="E502" s="2797">
        <f t="shared" si="319"/>
        <v>0</v>
      </c>
      <c r="F502" s="2798"/>
      <c r="G502" s="2799">
        <f t="shared" si="294"/>
        <v>0</v>
      </c>
      <c r="H502" s="2800">
        <f t="shared" si="295"/>
        <v>0</v>
      </c>
      <c r="I502" s="2806"/>
      <c r="J502" s="2818"/>
      <c r="K502" s="2806"/>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6"/>
      <c r="AG502" s="2829"/>
      <c r="AH502" s="2829"/>
      <c r="AI502" s="2829"/>
      <c r="AJ502" s="2829"/>
      <c r="AK502" s="2829"/>
      <c r="AL502" s="2829"/>
      <c r="AM502" s="2829"/>
      <c r="AN502" s="2829"/>
      <c r="AO502" s="2829"/>
      <c r="AP502" s="2829"/>
      <c r="AQ502" s="2829"/>
      <c r="AR502" s="2829"/>
      <c r="AS502" s="2829"/>
      <c r="AT502" s="2849"/>
      <c r="AU502" s="2850"/>
      <c r="AV502" s="447">
        <f t="shared" si="320"/>
        <v>0</v>
      </c>
      <c r="AW502" s="447">
        <f t="shared" si="321"/>
        <v>0</v>
      </c>
      <c r="AX502" s="447">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ht="15.6">
      <c r="A503" s="2794"/>
      <c r="B503" s="2804"/>
      <c r="C503" s="2802"/>
      <c r="D503" s="2803"/>
      <c r="E503" s="2797">
        <f t="shared" si="319"/>
        <v>0</v>
      </c>
      <c r="F503" s="2798"/>
      <c r="G503" s="2799">
        <f t="shared" si="294"/>
        <v>0</v>
      </c>
      <c r="H503" s="2800">
        <f t="shared" si="295"/>
        <v>0</v>
      </c>
      <c r="I503" s="2806"/>
      <c r="J503" s="2818"/>
      <c r="K503" s="2806"/>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6"/>
      <c r="AG503" s="2829"/>
      <c r="AH503" s="2829"/>
      <c r="AI503" s="2829"/>
      <c r="AJ503" s="2829"/>
      <c r="AK503" s="2829"/>
      <c r="AL503" s="2829"/>
      <c r="AM503" s="2829"/>
      <c r="AN503" s="2829"/>
      <c r="AO503" s="2829"/>
      <c r="AP503" s="2829"/>
      <c r="AQ503" s="2829"/>
      <c r="AR503" s="2829"/>
      <c r="AS503" s="2829"/>
      <c r="AT503" s="2849"/>
      <c r="AU503" s="2850"/>
      <c r="AV503" s="447">
        <f t="shared" si="320"/>
        <v>0</v>
      </c>
      <c r="AW503" s="447">
        <f t="shared" si="321"/>
        <v>0</v>
      </c>
      <c r="AX503" s="447">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ht="15.6">
      <c r="A504" s="2794"/>
      <c r="B504" s="2804"/>
      <c r="C504" s="2802"/>
      <c r="D504" s="2803"/>
      <c r="E504" s="2797">
        <f t="shared" si="319"/>
        <v>0</v>
      </c>
      <c r="F504" s="2798"/>
      <c r="G504" s="2799">
        <f t="shared" si="294"/>
        <v>0</v>
      </c>
      <c r="H504" s="2800">
        <f t="shared" si="295"/>
        <v>0</v>
      </c>
      <c r="I504" s="2806"/>
      <c r="J504" s="2818"/>
      <c r="K504" s="2806"/>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6"/>
      <c r="AG504" s="2829"/>
      <c r="AH504" s="2829"/>
      <c r="AI504" s="2829"/>
      <c r="AJ504" s="2829"/>
      <c r="AK504" s="2829"/>
      <c r="AL504" s="2829"/>
      <c r="AM504" s="2829"/>
      <c r="AN504" s="2829"/>
      <c r="AO504" s="2829"/>
      <c r="AP504" s="2829"/>
      <c r="AQ504" s="2829"/>
      <c r="AR504" s="2829"/>
      <c r="AS504" s="2829"/>
      <c r="AT504" s="2849"/>
      <c r="AU504" s="2850"/>
      <c r="AV504" s="447">
        <f t="shared" si="320"/>
        <v>0</v>
      </c>
      <c r="AW504" s="447">
        <f t="shared" si="321"/>
        <v>0</v>
      </c>
      <c r="AX504" s="447">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ht="15.6">
      <c r="A505" s="2794"/>
      <c r="B505" s="2804"/>
      <c r="C505" s="2802"/>
      <c r="D505" s="2803"/>
      <c r="E505" s="2797">
        <f t="shared" ref="E505:E536" si="323">IF($C$3="是",ROUND($A$3*G505/$B$3,2),ROUND($A$3*(G505-AT505)/$B$3,2))</f>
        <v>0</v>
      </c>
      <c r="F505" s="2798"/>
      <c r="G505" s="2799">
        <f t="shared" si="294"/>
        <v>0</v>
      </c>
      <c r="H505" s="2800">
        <f t="shared" si="295"/>
        <v>0</v>
      </c>
      <c r="I505" s="2806"/>
      <c r="J505" s="2818"/>
      <c r="K505" s="2806"/>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6"/>
      <c r="AG505" s="2829"/>
      <c r="AH505" s="2829"/>
      <c r="AI505" s="2829"/>
      <c r="AJ505" s="2829"/>
      <c r="AK505" s="2829"/>
      <c r="AL505" s="2829"/>
      <c r="AM505" s="2829"/>
      <c r="AN505" s="2829"/>
      <c r="AO505" s="2829"/>
      <c r="AP505" s="2829"/>
      <c r="AQ505" s="2829"/>
      <c r="AR505" s="2829"/>
      <c r="AS505" s="2829"/>
      <c r="AT505" s="2849"/>
      <c r="AU505" s="2850"/>
      <c r="AV505" s="447">
        <f t="shared" si="320"/>
        <v>0</v>
      </c>
      <c r="AW505" s="447">
        <f t="shared" si="321"/>
        <v>0</v>
      </c>
      <c r="AX505" s="447">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ht="15.6">
      <c r="A506" s="2794"/>
      <c r="B506" s="2804"/>
      <c r="C506" s="2802"/>
      <c r="D506" s="2803"/>
      <c r="E506" s="2797">
        <f t="shared" si="323"/>
        <v>0</v>
      </c>
      <c r="F506" s="2798"/>
      <c r="G506" s="2799">
        <f t="shared" si="294"/>
        <v>0</v>
      </c>
      <c r="H506" s="2800">
        <f t="shared" si="295"/>
        <v>0</v>
      </c>
      <c r="I506" s="2806"/>
      <c r="J506" s="2818"/>
      <c r="K506" s="2806"/>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6"/>
      <c r="AG506" s="2829"/>
      <c r="AH506" s="2829"/>
      <c r="AI506" s="2829"/>
      <c r="AJ506" s="2829"/>
      <c r="AK506" s="2829"/>
      <c r="AL506" s="2829"/>
      <c r="AM506" s="2829"/>
      <c r="AN506" s="2829"/>
      <c r="AO506" s="2829"/>
      <c r="AP506" s="2829"/>
      <c r="AQ506" s="2829"/>
      <c r="AR506" s="2829"/>
      <c r="AS506" s="2829"/>
      <c r="AT506" s="2849"/>
      <c r="AU506" s="2850"/>
      <c r="AV506" s="447">
        <f t="shared" ref="AV506:AV537" si="324">A506</f>
        <v>0</v>
      </c>
      <c r="AW506" s="447">
        <f t="shared" ref="AW506:AW537" si="325">B506</f>
        <v>0</v>
      </c>
      <c r="AX506" s="447">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ht="15.6">
      <c r="A507" s="2794"/>
      <c r="B507" s="2804"/>
      <c r="C507" s="2802"/>
      <c r="D507" s="2803"/>
      <c r="E507" s="2797">
        <f t="shared" si="323"/>
        <v>0</v>
      </c>
      <c r="F507" s="2798"/>
      <c r="G507" s="2799">
        <f t="shared" si="294"/>
        <v>0</v>
      </c>
      <c r="H507" s="2800">
        <f t="shared" si="295"/>
        <v>0</v>
      </c>
      <c r="I507" s="2806"/>
      <c r="J507" s="2818"/>
      <c r="K507" s="2806"/>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447">
        <f t="shared" si="324"/>
        <v>0</v>
      </c>
      <c r="AW507" s="447">
        <f t="shared" si="325"/>
        <v>0</v>
      </c>
      <c r="AX507" s="447">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ht="15.6">
      <c r="A508" s="2794"/>
      <c r="B508" s="2804"/>
      <c r="C508" s="2802"/>
      <c r="D508" s="2803"/>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447">
        <f t="shared" si="324"/>
        <v>0</v>
      </c>
      <c r="AW508" s="447">
        <f t="shared" si="325"/>
        <v>0</v>
      </c>
      <c r="AX508" s="447">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ht="15.6">
      <c r="A509" s="2794"/>
      <c r="B509" s="2804"/>
      <c r="C509" s="2802"/>
      <c r="D509" s="2803"/>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447">
        <f t="shared" si="324"/>
        <v>0</v>
      </c>
      <c r="AW509" s="447">
        <f t="shared" si="325"/>
        <v>0</v>
      </c>
      <c r="AX509" s="447">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ht="15.6">
      <c r="A510" s="2794"/>
      <c r="B510" s="2804"/>
      <c r="C510" s="2802"/>
      <c r="D510" s="2803"/>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447">
        <f t="shared" si="324"/>
        <v>0</v>
      </c>
      <c r="AW510" s="447">
        <f t="shared" si="325"/>
        <v>0</v>
      </c>
      <c r="AX510" s="447">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ht="15.6">
      <c r="A511" s="2794"/>
      <c r="B511" s="2804"/>
      <c r="C511" s="2802"/>
      <c r="D511" s="2803"/>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447">
        <f t="shared" si="324"/>
        <v>0</v>
      </c>
      <c r="AW511" s="447">
        <f t="shared" si="325"/>
        <v>0</v>
      </c>
      <c r="AX511" s="447">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ht="15.6">
      <c r="A512" s="2794"/>
      <c r="B512" s="2804"/>
      <c r="C512" s="2802"/>
      <c r="D512" s="2803"/>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447">
        <f t="shared" si="324"/>
        <v>0</v>
      </c>
      <c r="AW512" s="447">
        <f t="shared" si="325"/>
        <v>0</v>
      </c>
      <c r="AX512" s="447">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ht="15.6">
      <c r="A513" s="2794"/>
      <c r="B513" s="2804"/>
      <c r="C513" s="2802"/>
      <c r="D513" s="2803"/>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447">
        <f t="shared" si="324"/>
        <v>0</v>
      </c>
      <c r="AW513" s="447">
        <f t="shared" si="325"/>
        <v>0</v>
      </c>
      <c r="AX513" s="447">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ht="15.6">
      <c r="A514" s="2794"/>
      <c r="B514" s="2804"/>
      <c r="C514" s="2802"/>
      <c r="D514" s="2803"/>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447">
        <f t="shared" si="324"/>
        <v>0</v>
      </c>
      <c r="AW514" s="447">
        <f t="shared" si="325"/>
        <v>0</v>
      </c>
      <c r="AX514" s="447">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ht="15.6">
      <c r="A515" s="2794"/>
      <c r="B515" s="2805"/>
      <c r="C515" s="2806"/>
      <c r="D515" s="2803"/>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447">
        <f t="shared" si="324"/>
        <v>0</v>
      </c>
      <c r="AW515" s="447">
        <f t="shared" si="325"/>
        <v>0</v>
      </c>
      <c r="AX515" s="447">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447">
        <f t="shared" si="324"/>
        <v>0</v>
      </c>
      <c r="AW516" s="447">
        <f t="shared" si="325"/>
        <v>0</v>
      </c>
      <c r="AX516" s="447">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447">
        <f t="shared" si="324"/>
        <v>0</v>
      </c>
      <c r="AW517" s="447">
        <f t="shared" si="325"/>
        <v>0</v>
      </c>
      <c r="AX517" s="447">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447">
        <f t="shared" si="324"/>
        <v>0</v>
      </c>
      <c r="AW518" s="447">
        <f t="shared" si="325"/>
        <v>0</v>
      </c>
      <c r="AX518" s="447">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447">
        <f t="shared" si="324"/>
        <v>0</v>
      </c>
      <c r="AW519" s="447">
        <f t="shared" si="325"/>
        <v>0</v>
      </c>
      <c r="AX519" s="447">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447">
        <f t="shared" si="324"/>
        <v>0</v>
      </c>
      <c r="AW520" s="447">
        <f t="shared" si="325"/>
        <v>0</v>
      </c>
      <c r="AX520" s="447">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447">
        <f t="shared" si="324"/>
        <v>0</v>
      </c>
      <c r="AW521" s="447">
        <f t="shared" si="325"/>
        <v>0</v>
      </c>
      <c r="AX521" s="447">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447">
        <f t="shared" si="324"/>
        <v>0</v>
      </c>
      <c r="AW522" s="447">
        <f t="shared" si="325"/>
        <v>0</v>
      </c>
      <c r="AX522" s="447">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447">
        <f t="shared" si="324"/>
        <v>0</v>
      </c>
      <c r="AW523" s="447">
        <f t="shared" si="325"/>
        <v>0</v>
      </c>
      <c r="AX523" s="447">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447">
        <f t="shared" si="324"/>
        <v>0</v>
      </c>
      <c r="AW524" s="447">
        <f t="shared" si="325"/>
        <v>0</v>
      </c>
      <c r="AX524" s="447">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447">
        <f t="shared" si="324"/>
        <v>0</v>
      </c>
      <c r="AW525" s="447">
        <f t="shared" si="325"/>
        <v>0</v>
      </c>
      <c r="AX525" s="447">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447">
        <f t="shared" si="324"/>
        <v>0</v>
      </c>
      <c r="AW526" s="447">
        <f t="shared" si="325"/>
        <v>0</v>
      </c>
      <c r="AX526" s="447">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447">
        <f t="shared" si="324"/>
        <v>0</v>
      </c>
      <c r="AW527" s="447">
        <f t="shared" si="325"/>
        <v>0</v>
      </c>
      <c r="AX527" s="447">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447">
        <f t="shared" si="324"/>
        <v>0</v>
      </c>
      <c r="AW528" s="447">
        <f t="shared" si="325"/>
        <v>0</v>
      </c>
      <c r="AX528" s="447">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447">
        <f t="shared" si="324"/>
        <v>0</v>
      </c>
      <c r="AW529" s="447">
        <f t="shared" si="325"/>
        <v>0</v>
      </c>
      <c r="AX529" s="447">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447">
        <f t="shared" si="324"/>
        <v>0</v>
      </c>
      <c r="AW530" s="447">
        <f t="shared" si="325"/>
        <v>0</v>
      </c>
      <c r="AX530" s="447">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447">
        <f t="shared" si="324"/>
        <v>0</v>
      </c>
      <c r="AW531" s="447">
        <f t="shared" si="325"/>
        <v>0</v>
      </c>
      <c r="AX531" s="447">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447">
        <f t="shared" si="324"/>
        <v>0</v>
      </c>
      <c r="AW532" s="447">
        <f t="shared" si="325"/>
        <v>0</v>
      </c>
      <c r="AX532" s="447">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447">
        <f t="shared" si="324"/>
        <v>0</v>
      </c>
      <c r="AW533" s="447">
        <f t="shared" si="325"/>
        <v>0</v>
      </c>
      <c r="AX533" s="447">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447">
        <f t="shared" si="324"/>
        <v>0</v>
      </c>
      <c r="AW534" s="447">
        <f t="shared" si="325"/>
        <v>0</v>
      </c>
      <c r="AX534" s="447">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447">
        <f t="shared" si="324"/>
        <v>0</v>
      </c>
      <c r="AW535" s="447">
        <f t="shared" si="325"/>
        <v>0</v>
      </c>
      <c r="AX535" s="447">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447">
        <f t="shared" si="324"/>
        <v>0</v>
      </c>
      <c r="AW536" s="447">
        <f t="shared" si="325"/>
        <v>0</v>
      </c>
      <c r="AX536" s="447">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447">
        <f t="shared" si="324"/>
        <v>0</v>
      </c>
      <c r="AW537" s="447">
        <f t="shared" si="325"/>
        <v>0</v>
      </c>
      <c r="AX537" s="447">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447">
        <f t="shared" ref="AV538:AV572" si="356">A538</f>
        <v>0</v>
      </c>
      <c r="AW538" s="447">
        <f t="shared" ref="AW538:AW572" si="357">B538</f>
        <v>0</v>
      </c>
      <c r="AX538" s="447">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447">
        <f t="shared" si="356"/>
        <v>0</v>
      </c>
      <c r="AW539" s="447">
        <f t="shared" si="357"/>
        <v>0</v>
      </c>
      <c r="AX539" s="447">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447">
        <f t="shared" si="356"/>
        <v>0</v>
      </c>
      <c r="AW540" s="447">
        <f t="shared" si="357"/>
        <v>0</v>
      </c>
      <c r="AX540" s="447">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447">
        <f t="shared" si="356"/>
        <v>0</v>
      </c>
      <c r="AW541" s="447">
        <f t="shared" si="357"/>
        <v>0</v>
      </c>
      <c r="AX541" s="447">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447">
        <f t="shared" si="356"/>
        <v>0</v>
      </c>
      <c r="AW542" s="447">
        <f t="shared" si="357"/>
        <v>0</v>
      </c>
      <c r="AX542" s="447">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447">
        <f t="shared" si="356"/>
        <v>0</v>
      </c>
      <c r="AW543" s="447">
        <f t="shared" si="357"/>
        <v>0</v>
      </c>
      <c r="AX543" s="447">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447">
        <f t="shared" si="356"/>
        <v>0</v>
      </c>
      <c r="AW544" s="447">
        <f t="shared" si="357"/>
        <v>0</v>
      </c>
      <c r="AX544" s="447">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447">
        <f t="shared" si="356"/>
        <v>0</v>
      </c>
      <c r="AW545" s="447">
        <f t="shared" si="357"/>
        <v>0</v>
      </c>
      <c r="AX545" s="447">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447">
        <f t="shared" si="356"/>
        <v>0</v>
      </c>
      <c r="AW546" s="447">
        <f t="shared" si="357"/>
        <v>0</v>
      </c>
      <c r="AX546" s="447">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447">
        <f t="shared" si="356"/>
        <v>0</v>
      </c>
      <c r="AW547" s="447">
        <f t="shared" si="357"/>
        <v>0</v>
      </c>
      <c r="AX547" s="447">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447">
        <f t="shared" si="356"/>
        <v>0</v>
      </c>
      <c r="AW548" s="447">
        <f t="shared" si="357"/>
        <v>0</v>
      </c>
      <c r="AX548" s="447">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447">
        <f t="shared" si="356"/>
        <v>0</v>
      </c>
      <c r="AW549" s="447">
        <f t="shared" si="357"/>
        <v>0</v>
      </c>
      <c r="AX549" s="447">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447">
        <f t="shared" si="356"/>
        <v>0</v>
      </c>
      <c r="AW550" s="447">
        <f t="shared" si="357"/>
        <v>0</v>
      </c>
      <c r="AX550" s="447">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447">
        <f t="shared" si="356"/>
        <v>0</v>
      </c>
      <c r="AW551" s="447">
        <f t="shared" si="357"/>
        <v>0</v>
      </c>
      <c r="AX551" s="447">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447">
        <f t="shared" si="356"/>
        <v>0</v>
      </c>
      <c r="AW552" s="447">
        <f t="shared" si="357"/>
        <v>0</v>
      </c>
      <c r="AX552" s="447">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447">
        <f t="shared" si="356"/>
        <v>0</v>
      </c>
      <c r="AW553" s="447">
        <f t="shared" si="357"/>
        <v>0</v>
      </c>
      <c r="AX553" s="447">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447">
        <f t="shared" si="356"/>
        <v>0</v>
      </c>
      <c r="AW554" s="447">
        <f t="shared" si="357"/>
        <v>0</v>
      </c>
      <c r="AX554" s="447">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447">
        <f t="shared" si="356"/>
        <v>0</v>
      </c>
      <c r="AW555" s="447">
        <f t="shared" si="357"/>
        <v>0</v>
      </c>
      <c r="AX555" s="447">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447">
        <f t="shared" si="356"/>
        <v>0</v>
      </c>
      <c r="AW556" s="447">
        <f t="shared" si="357"/>
        <v>0</v>
      </c>
      <c r="AX556" s="447">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447">
        <f t="shared" si="356"/>
        <v>0</v>
      </c>
      <c r="AW557" s="447">
        <f t="shared" si="357"/>
        <v>0</v>
      </c>
      <c r="AX557" s="447">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447">
        <f t="shared" si="356"/>
        <v>0</v>
      </c>
      <c r="AW558" s="447">
        <f t="shared" si="357"/>
        <v>0</v>
      </c>
      <c r="AX558" s="447">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447">
        <f t="shared" si="356"/>
        <v>0</v>
      </c>
      <c r="AW559" s="447">
        <f t="shared" si="357"/>
        <v>0</v>
      </c>
      <c r="AX559" s="447">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447">
        <f t="shared" si="356"/>
        <v>0</v>
      </c>
      <c r="AW560" s="447">
        <f t="shared" si="357"/>
        <v>0</v>
      </c>
      <c r="AX560" s="447">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447">
        <f t="shared" si="356"/>
        <v>0</v>
      </c>
      <c r="AW561" s="447">
        <f t="shared" si="357"/>
        <v>0</v>
      </c>
      <c r="AX561" s="447">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447">
        <f t="shared" si="356"/>
        <v>0</v>
      </c>
      <c r="AW562" s="447">
        <f t="shared" si="357"/>
        <v>0</v>
      </c>
      <c r="AX562" s="447">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447">
        <f t="shared" si="356"/>
        <v>0</v>
      </c>
      <c r="AW563" s="447">
        <f t="shared" si="357"/>
        <v>0</v>
      </c>
      <c r="AX563" s="447">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447">
        <f t="shared" si="356"/>
        <v>0</v>
      </c>
      <c r="AW564" s="447">
        <f t="shared" si="357"/>
        <v>0</v>
      </c>
      <c r="AX564" s="447">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447">
        <f t="shared" si="356"/>
        <v>0</v>
      </c>
      <c r="AW565" s="447">
        <f t="shared" si="357"/>
        <v>0</v>
      </c>
      <c r="AX565" s="447">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447">
        <f t="shared" si="356"/>
        <v>0</v>
      </c>
      <c r="AW566" s="447">
        <f t="shared" si="357"/>
        <v>0</v>
      </c>
      <c r="AX566" s="447">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447">
        <f t="shared" si="356"/>
        <v>0</v>
      </c>
      <c r="AW567" s="447">
        <f t="shared" si="357"/>
        <v>0</v>
      </c>
      <c r="AX567" s="447">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447">
        <f t="shared" si="356"/>
        <v>0</v>
      </c>
      <c r="AW568" s="447">
        <f t="shared" si="357"/>
        <v>0</v>
      </c>
      <c r="AX568" s="447">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447">
        <f t="shared" si="356"/>
        <v>0</v>
      </c>
      <c r="AW569" s="447">
        <f t="shared" si="357"/>
        <v>0</v>
      </c>
      <c r="AX569" s="447">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447">
        <f t="shared" si="356"/>
        <v>0</v>
      </c>
      <c r="AW570" s="447">
        <f t="shared" si="357"/>
        <v>0</v>
      </c>
      <c r="AX570" s="447">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447">
        <f t="shared" si="356"/>
        <v>0</v>
      </c>
      <c r="AW571" s="447">
        <f t="shared" si="357"/>
        <v>0</v>
      </c>
      <c r="AX571" s="447">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447">
        <f t="shared" si="356"/>
        <v>0</v>
      </c>
      <c r="AW572" s="447">
        <f t="shared" si="357"/>
        <v>0</v>
      </c>
      <c r="AX572" s="447">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31"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58" customWidth="1"/>
    <col min="2" max="2" width="10.6640625" style="2758" customWidth="1"/>
    <col min="3" max="3" width="15.77734375" style="2758" customWidth="1"/>
    <col min="4" max="7" width="9.44140625" style="2758" customWidth="1"/>
    <col min="8" max="13" width="9.109375" style="2758" customWidth="1"/>
    <col min="14" max="16384" width="9" style="2758"/>
  </cols>
  <sheetData>
    <row r="1" spans="1:13" ht="15.6">
      <c r="A1" s="3247" t="s">
        <v>494</v>
      </c>
      <c r="B1" s="3247" t="s">
        <v>495</v>
      </c>
      <c r="C1" s="3247" t="s">
        <v>432</v>
      </c>
      <c r="D1" s="3246" t="s">
        <v>496</v>
      </c>
      <c r="E1" s="3246" t="s">
        <v>391</v>
      </c>
      <c r="F1" s="3246"/>
      <c r="G1" s="3246"/>
      <c r="H1" s="3246"/>
      <c r="I1" s="3246"/>
      <c r="J1" s="3246"/>
      <c r="K1" s="3246"/>
      <c r="L1" s="3246"/>
      <c r="M1" s="3246"/>
    </row>
    <row r="2" spans="1:13" ht="27" customHeight="1">
      <c r="A2" s="3247"/>
      <c r="B2" s="3247"/>
      <c r="C2" s="3247"/>
      <c r="D2" s="3246"/>
      <c r="E2" s="3246" t="s">
        <v>497</v>
      </c>
      <c r="F2" s="3246" t="s">
        <v>498</v>
      </c>
      <c r="G2" s="3246"/>
      <c r="H2" s="3246"/>
      <c r="I2" s="3246"/>
      <c r="J2" s="3246" t="s">
        <v>499</v>
      </c>
      <c r="K2" s="3246"/>
      <c r="L2" s="3246"/>
      <c r="M2" s="3246"/>
    </row>
    <row r="3" spans="1:13" ht="46.8">
      <c r="A3" s="3247"/>
      <c r="B3" s="3247"/>
      <c r="C3" s="3247"/>
      <c r="D3" s="3246"/>
      <c r="E3" s="3246"/>
      <c r="F3" s="2760" t="s">
        <v>500</v>
      </c>
      <c r="G3" s="2760" t="s">
        <v>501</v>
      </c>
      <c r="H3" s="2760" t="s">
        <v>502</v>
      </c>
      <c r="I3" s="2760" t="s">
        <v>503</v>
      </c>
      <c r="J3" s="2760" t="s">
        <v>500</v>
      </c>
      <c r="K3" s="2760" t="s">
        <v>504</v>
      </c>
      <c r="L3" s="2760" t="s">
        <v>505</v>
      </c>
      <c r="M3" s="2760" t="s">
        <v>506</v>
      </c>
    </row>
    <row r="4" spans="1:13" ht="46.8">
      <c r="A4" s="2760" t="s">
        <v>507</v>
      </c>
      <c r="B4" s="2760" t="s">
        <v>508</v>
      </c>
      <c r="C4" s="2760" t="s">
        <v>509</v>
      </c>
      <c r="D4" s="2759">
        <v>3807.94</v>
      </c>
      <c r="E4" s="2759">
        <v>20666.91</v>
      </c>
      <c r="F4" s="2759">
        <v>19673</v>
      </c>
      <c r="G4" s="2759">
        <v>0</v>
      </c>
      <c r="H4" s="2759">
        <v>19673</v>
      </c>
      <c r="I4" s="2759">
        <v>0</v>
      </c>
      <c r="J4" s="2759">
        <v>993.91</v>
      </c>
      <c r="K4" s="2759">
        <v>0</v>
      </c>
      <c r="L4" s="2759">
        <v>0</v>
      </c>
      <c r="M4" s="2759">
        <v>993.91</v>
      </c>
    </row>
    <row r="5" spans="1:13" ht="46.8">
      <c r="A5" s="2760" t="s">
        <v>507</v>
      </c>
      <c r="B5" s="2760" t="s">
        <v>510</v>
      </c>
      <c r="C5" s="2760" t="s">
        <v>511</v>
      </c>
      <c r="D5" s="2759">
        <v>3667.86</v>
      </c>
      <c r="E5" s="2759">
        <v>19906.61</v>
      </c>
      <c r="F5" s="2759">
        <v>18792.87</v>
      </c>
      <c r="G5" s="2759">
        <v>18792.87</v>
      </c>
      <c r="H5" s="2759">
        <v>0</v>
      </c>
      <c r="I5" s="2759">
        <v>0</v>
      </c>
      <c r="J5" s="2759">
        <v>1113.74</v>
      </c>
      <c r="K5" s="2759">
        <v>55.59</v>
      </c>
      <c r="L5" s="2759">
        <v>0</v>
      </c>
      <c r="M5" s="2759">
        <v>1058.1500000000001</v>
      </c>
    </row>
    <row r="6" spans="1:13" ht="46.8">
      <c r="A6" s="2760" t="s">
        <v>507</v>
      </c>
      <c r="B6" s="2760" t="s">
        <v>510</v>
      </c>
      <c r="C6" s="2760" t="s">
        <v>512</v>
      </c>
      <c r="D6" s="2759">
        <v>2067.52</v>
      </c>
      <c r="E6" s="2759">
        <v>11221.06</v>
      </c>
      <c r="F6" s="2759">
        <v>9934.1299999999992</v>
      </c>
      <c r="G6" s="2759">
        <v>9934.1299999999992</v>
      </c>
      <c r="H6" s="2759">
        <v>0</v>
      </c>
      <c r="I6" s="2759">
        <v>0</v>
      </c>
      <c r="J6" s="2759">
        <v>1286.93</v>
      </c>
      <c r="K6" s="2759">
        <v>0</v>
      </c>
      <c r="L6" s="2759">
        <v>0</v>
      </c>
      <c r="M6" s="2759">
        <v>1286.93</v>
      </c>
    </row>
    <row r="7" spans="1:13" ht="46.8">
      <c r="A7" s="2760" t="s">
        <v>507</v>
      </c>
      <c r="B7" s="2760" t="s">
        <v>510</v>
      </c>
      <c r="C7" s="2760" t="s">
        <v>513</v>
      </c>
      <c r="D7" s="2759">
        <v>8.18</v>
      </c>
      <c r="E7" s="2759">
        <v>44.41</v>
      </c>
      <c r="F7" s="2759">
        <v>0</v>
      </c>
      <c r="G7" s="2759">
        <v>0</v>
      </c>
      <c r="H7" s="2759">
        <v>0</v>
      </c>
      <c r="I7" s="2759">
        <v>0</v>
      </c>
      <c r="J7" s="2759">
        <v>44.41</v>
      </c>
      <c r="K7" s="2759">
        <v>44.41</v>
      </c>
      <c r="L7" s="2759">
        <v>0</v>
      </c>
      <c r="M7" s="2759">
        <v>0</v>
      </c>
    </row>
    <row r="8" spans="1:13" ht="46.8">
      <c r="A8" s="2760" t="s">
        <v>507</v>
      </c>
      <c r="B8" s="2760" t="s">
        <v>510</v>
      </c>
      <c r="C8" s="2760" t="s">
        <v>503</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46" t="s">
        <v>514</v>
      </c>
      <c r="B9" s="3246"/>
      <c r="C9" s="3246"/>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N76"/>
  <sheetViews>
    <sheetView workbookViewId="0">
      <selection activeCell="G11" sqref="G11"/>
    </sheetView>
  </sheetViews>
  <sheetFormatPr defaultColWidth="9" defaultRowHeight="15.6"/>
  <cols>
    <col min="1" max="3" width="9" style="1239"/>
    <col min="4" max="4" width="13.77734375" style="1239" customWidth="1"/>
    <col min="5" max="5" width="12" style="1239" customWidth="1"/>
    <col min="6" max="6" width="9" style="1239"/>
    <col min="7" max="7" width="13.109375" style="1239" customWidth="1"/>
    <col min="8" max="8" width="12.77734375" style="1239" customWidth="1"/>
    <col min="9" max="16384" width="9" style="1239"/>
  </cols>
  <sheetData>
    <row r="8" spans="4:12">
      <c r="E8" s="1239" t="s">
        <v>1604</v>
      </c>
      <c r="F8" s="1239" t="s">
        <v>1605</v>
      </c>
      <c r="G8" s="1239" t="s">
        <v>1606</v>
      </c>
    </row>
    <row r="9" spans="4:12">
      <c r="D9" s="1239" t="s">
        <v>394</v>
      </c>
      <c r="E9" s="1239">
        <v>10309.6</v>
      </c>
      <c r="G9" s="1239">
        <v>10309.6</v>
      </c>
      <c r="J9" s="1239">
        <v>1</v>
      </c>
      <c r="K9" s="1239">
        <v>6</v>
      </c>
      <c r="L9" s="1239">
        <v>1</v>
      </c>
    </row>
    <row r="10" spans="4:12">
      <c r="D10" s="1239" t="s">
        <v>105</v>
      </c>
      <c r="E10" s="1239">
        <v>9.92</v>
      </c>
      <c r="G10" s="1239">
        <v>9.92</v>
      </c>
      <c r="J10" s="1239">
        <v>2</v>
      </c>
      <c r="K10" s="1239">
        <f>K9*L10</f>
        <v>4.1999999999999993</v>
      </c>
      <c r="L10" s="1239">
        <v>0.7</v>
      </c>
    </row>
    <row r="11" spans="4:12">
      <c r="D11" s="1240" t="s">
        <v>1607</v>
      </c>
      <c r="E11" s="1239">
        <v>128961.7</v>
      </c>
      <c r="F11" s="3169">
        <f>ROUND(E11/E18,2)</f>
        <v>0.82</v>
      </c>
      <c r="G11" s="1239">
        <f>ROUND(G9*E10,2)</f>
        <v>102271.23</v>
      </c>
      <c r="J11" s="1239">
        <v>3</v>
      </c>
      <c r="K11" s="1239">
        <f>K9*L11</f>
        <v>3.5999999999999996</v>
      </c>
      <c r="L11" s="1239">
        <v>0.6</v>
      </c>
    </row>
    <row r="12" spans="4:12">
      <c r="D12" s="1241" t="s">
        <v>380</v>
      </c>
      <c r="E12" s="1239">
        <v>12582</v>
      </c>
      <c r="F12" s="1239">
        <f>ROUND(E12/E11,2)</f>
        <v>0.1</v>
      </c>
      <c r="G12" s="1239">
        <f>ROUND(F12*G11,2)</f>
        <v>10227.120000000001</v>
      </c>
    </row>
    <row r="13" spans="4:12">
      <c r="D13" s="1241" t="s">
        <v>381</v>
      </c>
      <c r="E13" s="1239">
        <v>12396.8</v>
      </c>
      <c r="F13" s="1239">
        <f>ROUND(E13/E11,2)</f>
        <v>0.1</v>
      </c>
      <c r="G13" s="1239">
        <f>ROUND(G11*F13,2)</f>
        <v>10227.120000000001</v>
      </c>
      <c r="K13" s="1239">
        <f>K9+K10+K11</f>
        <v>13.799999999999999</v>
      </c>
    </row>
    <row r="14" spans="4:12">
      <c r="D14" s="1241" t="s">
        <v>379</v>
      </c>
      <c r="E14" s="1239">
        <v>91980</v>
      </c>
      <c r="F14" s="1239">
        <f>ROUND(E14/E11,2)</f>
        <v>0.71</v>
      </c>
      <c r="G14" s="1239">
        <f>ROUND(G11*F14,2)</f>
        <v>72612.570000000007</v>
      </c>
      <c r="K14" s="1239">
        <f>K13/3</f>
        <v>4.5999999999999996</v>
      </c>
    </row>
    <row r="15" spans="4:12">
      <c r="D15" s="1241" t="s">
        <v>1608</v>
      </c>
      <c r="E15" s="1239">
        <v>12002.9</v>
      </c>
      <c r="F15" s="1239">
        <f>ROUND(E15/E11,2)</f>
        <v>0.09</v>
      </c>
      <c r="G15" s="3170">
        <f>ROUND(G11*F15,2)</f>
        <v>9204.41</v>
      </c>
    </row>
    <row r="16" spans="4:12">
      <c r="D16" s="1239" t="s">
        <v>1609</v>
      </c>
      <c r="E16" s="1239">
        <v>8334.4599999999991</v>
      </c>
      <c r="F16" s="3169">
        <f>ROUND(E16/E18,2)</f>
        <v>0.05</v>
      </c>
      <c r="G16" s="1239">
        <f>ROUND(G18*F16,2)</f>
        <v>6236.05</v>
      </c>
      <c r="H16" s="1239">
        <f>G16+G17</f>
        <v>22449.78</v>
      </c>
    </row>
    <row r="17" spans="4:14">
      <c r="D17" s="1239" t="s">
        <v>1610</v>
      </c>
      <c r="E17" s="1239">
        <v>20888.7</v>
      </c>
      <c r="F17" s="3169">
        <f>ROUND(E17/E18,2)</f>
        <v>0.13</v>
      </c>
      <c r="G17" s="1239">
        <f>ROUND(G18*F17,2)</f>
        <v>16213.73</v>
      </c>
      <c r="H17" s="1239">
        <f>G12+G13+G14+G16+G17</f>
        <v>115516.59000000001</v>
      </c>
    </row>
    <row r="18" spans="4:14">
      <c r="E18" s="1239">
        <f>E11+E16+E17</f>
        <v>158184.86000000002</v>
      </c>
      <c r="G18" s="1239">
        <f>ROUND(G11/F11,2)</f>
        <v>124721.01</v>
      </c>
      <c r="H18" s="1239">
        <f>G18-H17</f>
        <v>9204.4199999999837</v>
      </c>
    </row>
    <row r="20" spans="4:14">
      <c r="D20" s="1239" t="s">
        <v>1611</v>
      </c>
      <c r="E20" s="1239">
        <f>ROUND(E11/E9,2)</f>
        <v>12.51</v>
      </c>
    </row>
    <row r="26" spans="4:14">
      <c r="N26" s="1239">
        <f>0.98+0.56+0.44</f>
        <v>1.98</v>
      </c>
    </row>
    <row r="27" spans="4:14">
      <c r="N27" s="1239">
        <f>N26/3</f>
        <v>0.66</v>
      </c>
    </row>
    <row r="50" spans="14:14">
      <c r="N50" s="1239">
        <v>2.17</v>
      </c>
    </row>
    <row r="59" spans="14:14">
      <c r="N59" s="1239">
        <v>2.6</v>
      </c>
    </row>
    <row r="70" spans="14:14">
      <c r="N70" s="1239">
        <v>2.6</v>
      </c>
    </row>
    <row r="76" spans="14:14">
      <c r="N76" s="1239">
        <f>ROUND((N50+N59+N70)/3,2)</f>
        <v>2.46</v>
      </c>
    </row>
  </sheetData>
  <phoneticPr fontId="231"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M32" sqref="M32"/>
    </sheetView>
  </sheetViews>
  <sheetFormatPr defaultColWidth="9.21875" defaultRowHeight="13.8"/>
  <cols>
    <col min="1" max="1" width="8.21875" style="2670" customWidth="1"/>
    <col min="2" max="2" width="10.21875" style="2670" customWidth="1"/>
    <col min="3" max="3" width="18.44140625" style="2670" customWidth="1"/>
    <col min="4" max="4" width="11.109375" style="2670" customWidth="1"/>
    <col min="5" max="5" width="13.33203125" style="2670" customWidth="1"/>
    <col min="6" max="8" width="11.44140625" style="2670" customWidth="1"/>
    <col min="9" max="9" width="10.33203125" style="2670" customWidth="1"/>
    <col min="10" max="10" width="3.109375" style="2670" customWidth="1"/>
    <col min="11" max="16" width="11.6640625" style="2670" customWidth="1"/>
    <col min="17" max="17" width="3.33203125" style="2670" customWidth="1"/>
    <col min="18" max="16384" width="9.21875" style="2670"/>
  </cols>
  <sheetData>
    <row r="1" spans="1:16" ht="17.399999999999999">
      <c r="A1" s="2149" t="s">
        <v>515</v>
      </c>
      <c r="B1" s="2671"/>
      <c r="C1" s="2671"/>
      <c r="D1" s="2671"/>
      <c r="E1" s="2671"/>
      <c r="F1" s="2671"/>
      <c r="G1" s="2671"/>
      <c r="H1" s="2671"/>
      <c r="I1" s="2671"/>
      <c r="J1" s="2671"/>
      <c r="K1" s="2671"/>
      <c r="L1" s="2671"/>
    </row>
    <row r="2" spans="1:16" ht="14.4">
      <c r="A2" s="3257" t="s">
        <v>516</v>
      </c>
      <c r="B2" s="3257"/>
      <c r="C2" s="3257"/>
      <c r="D2" s="1966" t="s">
        <v>517</v>
      </c>
      <c r="E2" s="2672" t="s">
        <v>518</v>
      </c>
      <c r="F2" s="2671"/>
      <c r="G2" s="2673"/>
      <c r="H2" s="2674"/>
      <c r="I2" s="2732" t="s">
        <v>519</v>
      </c>
      <c r="J2" s="2671"/>
      <c r="K2" s="2671"/>
      <c r="L2" s="2671"/>
    </row>
    <row r="3" spans="1:16" ht="14.4">
      <c r="A3" s="3258" t="s">
        <v>520</v>
      </c>
      <c r="B3" s="3258"/>
      <c r="C3" s="3258"/>
      <c r="D3" s="2675">
        <f>'数据-基础表'!AY6</f>
        <v>10309.6</v>
      </c>
      <c r="E3" s="2675">
        <f>'数据-基础表'!AZ5</f>
        <v>124721</v>
      </c>
      <c r="F3" s="2671"/>
      <c r="G3" s="2097" t="s">
        <v>521</v>
      </c>
      <c r="H3" s="2093" t="s">
        <v>522</v>
      </c>
      <c r="I3" s="464">
        <f>ROUND('数据-基础表'!B3/'数据-基础表'!A3,2)</f>
        <v>12.1</v>
      </c>
      <c r="J3" s="2671"/>
      <c r="K3" s="2671"/>
      <c r="L3" s="2671"/>
    </row>
    <row r="4" spans="1:16" ht="14.4">
      <c r="A4" s="3259"/>
      <c r="B4" s="3260"/>
      <c r="C4" s="3261"/>
      <c r="D4" s="2676" t="s">
        <v>517</v>
      </c>
      <c r="E4" s="2677" t="s">
        <v>518</v>
      </c>
      <c r="F4" s="2671"/>
      <c r="G4" s="2678"/>
      <c r="H4" s="2093" t="s">
        <v>523</v>
      </c>
      <c r="I4" s="464">
        <f>ROUND(SUMIF('数据-基础表'!I9:AS9,"地上",'数据-基础表'!I5:AS5)/'数据-基础表'!A3,2)</f>
        <v>10.52</v>
      </c>
      <c r="J4" s="2671"/>
      <c r="K4" s="2671"/>
      <c r="L4" s="2671"/>
    </row>
    <row r="5" spans="1:16" ht="14.4">
      <c r="A5" s="2679" t="s">
        <v>524</v>
      </c>
      <c r="B5" s="3262" t="s">
        <v>245</v>
      </c>
      <c r="C5" s="3262"/>
      <c r="D5" s="2680">
        <f>ROUND($D$3*E5/$E$3,2)</f>
        <v>6002.25</v>
      </c>
      <c r="E5" s="2681">
        <f>SUMIF('数据-基础表'!$11:$11,"住宅",'数据-基础表'!$5:$5)</f>
        <v>72612.570000000007</v>
      </c>
      <c r="F5" s="2671"/>
      <c r="G5" s="2097" t="s">
        <v>525</v>
      </c>
      <c r="H5" s="2093" t="s">
        <v>522</v>
      </c>
      <c r="I5" s="464">
        <f>ROUND(E31/D31,2)</f>
        <v>12.1</v>
      </c>
      <c r="J5" s="2671"/>
      <c r="K5" s="2671"/>
      <c r="L5" s="2671"/>
    </row>
    <row r="6" spans="1:16" ht="14.4">
      <c r="A6" s="2682"/>
      <c r="B6" s="3262" t="s">
        <v>526</v>
      </c>
      <c r="C6" s="3262"/>
      <c r="D6" s="2680">
        <f>ROUND($D$3*E6/$E$3,2)</f>
        <v>4307.3500000000004</v>
      </c>
      <c r="E6" s="2681">
        <f>E3-E5</f>
        <v>52108.429999999993</v>
      </c>
      <c r="F6" s="2671"/>
      <c r="G6" s="2678"/>
      <c r="H6" s="2093" t="s">
        <v>523</v>
      </c>
      <c r="I6" s="464">
        <f>ROUND(F31/D31,2)</f>
        <v>10.52</v>
      </c>
      <c r="J6" s="2671"/>
      <c r="K6" s="2671"/>
      <c r="L6" s="2671"/>
    </row>
    <row r="7" spans="1:16" ht="14.4">
      <c r="A7" s="3248"/>
      <c r="B7" s="3249"/>
      <c r="C7" s="3250"/>
      <c r="D7" s="2676" t="s">
        <v>517</v>
      </c>
      <c r="E7" s="2683" t="s">
        <v>527</v>
      </c>
      <c r="F7" s="2671"/>
      <c r="G7" s="2684" t="s">
        <v>528</v>
      </c>
      <c r="H7" s="2685"/>
      <c r="I7" s="2733">
        <f>ROUND(Sheet1!G11/Sheet1!G9,2)</f>
        <v>9.92</v>
      </c>
      <c r="J7" s="2671"/>
      <c r="K7" s="2671"/>
      <c r="L7" s="2671"/>
    </row>
    <row r="8" spans="1:16" ht="14.4">
      <c r="A8" s="2679" t="s">
        <v>529</v>
      </c>
      <c r="B8" s="2686" t="s">
        <v>530</v>
      </c>
      <c r="C8" s="2680" t="s">
        <v>531</v>
      </c>
      <c r="D8" s="2680">
        <f t="shared" ref="D8:D15" si="0">ROUND($D$3*E8/$E$3,2)</f>
        <v>8208.5</v>
      </c>
      <c r="E8" s="2687">
        <f>SUMIF('数据-基础表'!BB10:BK10,"地上",'数据-基础表'!BB5:BK5)</f>
        <v>99302.86</v>
      </c>
      <c r="F8" s="2671"/>
      <c r="G8" s="2688"/>
      <c r="H8" s="2688"/>
      <c r="I8" s="2671"/>
      <c r="J8" s="2671"/>
      <c r="K8" s="2671"/>
      <c r="L8" s="2671"/>
    </row>
    <row r="9" spans="1:16" ht="14.4">
      <c r="A9" s="2689"/>
      <c r="B9" s="2690"/>
      <c r="C9" s="2680" t="s">
        <v>532</v>
      </c>
      <c r="D9" s="2680">
        <f t="shared" si="0"/>
        <v>0</v>
      </c>
      <c r="E9" s="2691">
        <v>0</v>
      </c>
      <c r="F9" s="2671"/>
      <c r="G9" s="2688"/>
      <c r="H9" s="2688"/>
      <c r="I9" s="2671"/>
      <c r="J9" s="2671"/>
      <c r="K9" s="2671"/>
      <c r="L9" s="2671"/>
    </row>
    <row r="10" spans="1:16" ht="14.4">
      <c r="A10" s="2689"/>
      <c r="B10" s="2690"/>
      <c r="C10" s="2680" t="s">
        <v>533</v>
      </c>
      <c r="D10" s="2680">
        <f t="shared" si="0"/>
        <v>0</v>
      </c>
      <c r="E10" s="2687">
        <f>SUMPRODUCT(('数据-基础表'!BB10:BK10="地下")*('数据-基础表'!BB11:BK11="商业")*('数据-基础表'!BB5:BK5))</f>
        <v>0</v>
      </c>
      <c r="F10" s="2671"/>
      <c r="G10" s="2688"/>
      <c r="H10" s="2688"/>
      <c r="I10" s="2671"/>
      <c r="J10" s="2671"/>
      <c r="K10" s="2671"/>
      <c r="L10" s="2671"/>
    </row>
    <row r="11" spans="1:16" ht="14.4">
      <c r="A11" s="2689"/>
      <c r="B11" s="2690"/>
      <c r="C11" s="2692" t="s">
        <v>534</v>
      </c>
      <c r="D11" s="2680">
        <f t="shared" si="0"/>
        <v>0</v>
      </c>
      <c r="E11" s="2687">
        <f>SUMPRODUCT(('数据-基础表'!BB10:BK10="地下")*('数据-基础表'!BB11:BK11="办公")*('数据-基础表'!BB5:BK5))+'数据-基础表'!AJ5</f>
        <v>0</v>
      </c>
      <c r="F11" s="2671"/>
      <c r="G11" s="2688"/>
      <c r="H11" s="2688"/>
      <c r="I11" s="2671"/>
      <c r="J11" s="2671"/>
      <c r="K11" s="2671"/>
      <c r="L11" s="2671"/>
    </row>
    <row r="12" spans="1:16" ht="14.4">
      <c r="A12" s="2689"/>
      <c r="B12" s="2690"/>
      <c r="C12" s="2680" t="s">
        <v>535</v>
      </c>
      <c r="D12" s="2680">
        <f t="shared" si="0"/>
        <v>0</v>
      </c>
      <c r="E12" s="2687">
        <f>SUMPRODUCT(('数据-基础表'!BB10:BK10="地下")*('数据-基础表'!BB11:BK11="仓储")*('数据-基础表'!BB5:BK5))</f>
        <v>0</v>
      </c>
      <c r="F12" s="2671"/>
      <c r="G12" s="2688"/>
      <c r="H12" s="2688"/>
      <c r="I12" s="2671"/>
      <c r="J12" s="2671"/>
      <c r="K12" s="2671"/>
      <c r="L12" s="2671"/>
    </row>
    <row r="13" spans="1:16" ht="14.4">
      <c r="A13" s="2689"/>
      <c r="B13" s="2690"/>
      <c r="C13" s="2692" t="s">
        <v>536</v>
      </c>
      <c r="D13" s="2680">
        <f t="shared" si="0"/>
        <v>1340.25</v>
      </c>
      <c r="E13" s="2687">
        <f>SUMPRODUCT(('数据-基础表'!BB10:BK10="地下")*('数据-基础表'!BB11:BK11="车库")*('数据-基础表'!BB5:BK5))</f>
        <v>16213.73</v>
      </c>
      <c r="F13" s="2671"/>
      <c r="G13" s="2688"/>
      <c r="H13" s="2688"/>
      <c r="I13" s="2671"/>
      <c r="J13" s="2671"/>
      <c r="K13" s="2671"/>
      <c r="L13" s="2671"/>
    </row>
    <row r="14" spans="1:16" ht="14.4">
      <c r="A14" s="2689"/>
      <c r="B14" s="2690"/>
      <c r="C14" s="2680" t="s">
        <v>537</v>
      </c>
      <c r="D14" s="2680">
        <f t="shared" si="0"/>
        <v>0</v>
      </c>
      <c r="E14" s="2687">
        <f>SUMPRODUCT(('数据-基础表'!BB10:BK10="地下")*('数据-基础表'!BB11:BK11="车库—商业")*('数据-基础表'!BB5:BK5))</f>
        <v>0</v>
      </c>
      <c r="F14" s="2671"/>
      <c r="G14" s="2688"/>
      <c r="H14" s="2688"/>
      <c r="I14" s="2671"/>
      <c r="J14" s="2671"/>
      <c r="K14" s="2671"/>
      <c r="L14" s="2671"/>
    </row>
    <row r="15" spans="1:16" ht="14.4">
      <c r="A15" s="2689"/>
      <c r="B15" s="2690"/>
      <c r="C15" s="2680" t="s">
        <v>538</v>
      </c>
      <c r="D15" s="2680">
        <f t="shared" si="0"/>
        <v>0</v>
      </c>
      <c r="E15" s="2687">
        <f>SUMPRODUCT(('数据-基础表'!BB10:BK10="地下")*('数据-基础表'!BB11:BK11="车库—办公")*('数据-基础表'!BB5:BK5))</f>
        <v>0</v>
      </c>
      <c r="F15" s="2671"/>
      <c r="G15" s="2688"/>
      <c r="H15" s="2688"/>
      <c r="I15" s="2671"/>
      <c r="J15" s="2671"/>
      <c r="K15" s="2671"/>
      <c r="L15" s="2671"/>
    </row>
    <row r="16" spans="1:16" ht="14.4">
      <c r="A16" s="2682"/>
      <c r="B16" s="2690"/>
      <c r="C16" s="2686" t="s">
        <v>539</v>
      </c>
      <c r="D16" s="2686">
        <f>SUM(D8:D15)</f>
        <v>9548.75</v>
      </c>
      <c r="E16" s="2693">
        <f>SUM(E8:E15)</f>
        <v>115516.59</v>
      </c>
      <c r="F16" s="2671"/>
      <c r="G16" s="2688"/>
      <c r="H16" s="2694" t="s">
        <v>540</v>
      </c>
      <c r="I16" s="2734"/>
      <c r="J16" s="2671"/>
      <c r="K16" s="3251" t="s">
        <v>541</v>
      </c>
      <c r="L16" s="3252"/>
      <c r="M16" s="3252"/>
      <c r="N16" s="3252"/>
      <c r="O16" s="3252"/>
      <c r="P16" s="3253"/>
    </row>
    <row r="17" spans="1:19" ht="14.4">
      <c r="A17" s="2637" t="s">
        <v>542</v>
      </c>
      <c r="B17" s="2695" t="s">
        <v>226</v>
      </c>
      <c r="C17" s="2696" t="s">
        <v>412</v>
      </c>
      <c r="D17" s="2676" t="s">
        <v>517</v>
      </c>
      <c r="E17" s="2697" t="s">
        <v>518</v>
      </c>
      <c r="F17" s="2698"/>
      <c r="G17" s="2699"/>
      <c r="H17" s="2700" t="s">
        <v>543</v>
      </c>
      <c r="I17" s="2735" t="s">
        <v>544</v>
      </c>
      <c r="J17" s="2671"/>
      <c r="K17" s="3254" t="s">
        <v>545</v>
      </c>
      <c r="L17" s="3255"/>
      <c r="M17" s="3256"/>
      <c r="N17" s="3254" t="s">
        <v>546</v>
      </c>
      <c r="O17" s="3255"/>
      <c r="P17" s="3256"/>
      <c r="R17" s="2754" t="s">
        <v>547</v>
      </c>
      <c r="S17" s="2081"/>
    </row>
    <row r="18" spans="1:19" ht="14.4">
      <c r="A18" s="2689"/>
      <c r="B18" s="2701"/>
      <c r="C18" s="2702"/>
      <c r="D18" s="1966"/>
      <c r="E18" s="2703" t="s">
        <v>548</v>
      </c>
      <c r="F18" s="2704" t="s">
        <v>244</v>
      </c>
      <c r="G18" s="2705" t="s">
        <v>268</v>
      </c>
      <c r="H18" s="2644" t="s">
        <v>549</v>
      </c>
      <c r="I18" s="2736" t="s">
        <v>550</v>
      </c>
      <c r="J18" s="2671"/>
      <c r="K18" s="2737" t="s">
        <v>551</v>
      </c>
      <c r="L18" s="2738" t="s">
        <v>552</v>
      </c>
      <c r="M18" s="2739" t="s">
        <v>553</v>
      </c>
      <c r="N18" s="2737" t="s">
        <v>551</v>
      </c>
      <c r="O18" s="2738" t="s">
        <v>552</v>
      </c>
      <c r="P18" s="2739" t="s">
        <v>553</v>
      </c>
      <c r="R18" s="2755" t="s">
        <v>394</v>
      </c>
      <c r="S18" s="2755" t="s">
        <v>391</v>
      </c>
    </row>
    <row r="19" spans="1:19" ht="14.4">
      <c r="A19" s="2706"/>
      <c r="B19" s="2686" t="s">
        <v>247</v>
      </c>
      <c r="C19" s="2707" t="s">
        <v>379</v>
      </c>
      <c r="D19" s="2680">
        <f t="shared" ref="D19:D26" si="1">ROUND($D$3*E19/$E$3,2)</f>
        <v>6002.25</v>
      </c>
      <c r="E19" s="2708">
        <f t="shared" ref="E19:E26" si="2">SUM(F19:G19)</f>
        <v>72612.570000000007</v>
      </c>
      <c r="F19" s="2709">
        <f>'数据-基础表'!I13</f>
        <v>72612.570000000007</v>
      </c>
      <c r="G19" s="2710"/>
      <c r="H19" s="2627">
        <f>ROUND($D$3*I19/$E$3,2)</f>
        <v>478.26</v>
      </c>
      <c r="I19" s="2687">
        <f>IF($I$17="自定义",P19,M19)</f>
        <v>5785.8</v>
      </c>
      <c r="J19" s="2671"/>
      <c r="K19" s="2740">
        <f t="shared" ref="K19:K26" si="3">ROUND(E$28*E19/E$27,2)</f>
        <v>5785.8</v>
      </c>
      <c r="L19" s="2093">
        <f t="shared" ref="L19:L26" si="4">ROUND(IF(COUNTIF(C19,"*住宅*")&gt;0,E$29*E19/E$32,0),2)</f>
        <v>0</v>
      </c>
      <c r="M19" s="2741">
        <f>K19+L19</f>
        <v>5785.8</v>
      </c>
      <c r="N19" s="2742"/>
      <c r="O19" s="2743"/>
      <c r="P19" s="2744">
        <f>N19+O19</f>
        <v>0</v>
      </c>
      <c r="R19" s="2093">
        <f t="shared" ref="R19:S26" si="5">D19+H19</f>
        <v>6480.51</v>
      </c>
      <c r="S19" s="2756">
        <f t="shared" si="5"/>
        <v>78398.37000000001</v>
      </c>
    </row>
    <row r="20" spans="1:19" ht="14.4">
      <c r="A20" s="2711"/>
      <c r="B20" s="2686" t="s">
        <v>247</v>
      </c>
      <c r="C20" s="2707" t="s">
        <v>380</v>
      </c>
      <c r="D20" s="2680">
        <f t="shared" si="1"/>
        <v>845.39</v>
      </c>
      <c r="E20" s="2708">
        <f t="shared" si="2"/>
        <v>10227.120000000001</v>
      </c>
      <c r="F20" s="2709">
        <f>'数据-基础表'!K14</f>
        <v>10227.120000000001</v>
      </c>
      <c r="G20" s="2710"/>
      <c r="H20" s="2627">
        <f t="shared" ref="H20:H26" si="6">ROUND($D$3*I20/$E$3,2)</f>
        <v>67.36</v>
      </c>
      <c r="I20" s="2687">
        <f t="shared" ref="I20:I26" si="7">IF($I$17="自定义",P20,M20)</f>
        <v>814.9</v>
      </c>
      <c r="J20" s="2671"/>
      <c r="K20" s="2740">
        <f t="shared" si="3"/>
        <v>814.9</v>
      </c>
      <c r="L20" s="2093">
        <f t="shared" si="4"/>
        <v>0</v>
      </c>
      <c r="M20" s="2741">
        <f t="shared" ref="M20:M26" si="8">K20+L20</f>
        <v>814.9</v>
      </c>
      <c r="N20" s="2742"/>
      <c r="O20" s="2743"/>
      <c r="P20" s="2744">
        <f t="shared" ref="P20:P26" si="9">N20+O20</f>
        <v>0</v>
      </c>
      <c r="R20" s="2093">
        <f t="shared" si="5"/>
        <v>912.75</v>
      </c>
      <c r="S20" s="2756">
        <f t="shared" si="5"/>
        <v>11042.02</v>
      </c>
    </row>
    <row r="21" spans="1:19" ht="14.4">
      <c r="A21" s="2711"/>
      <c r="B21" s="2686" t="s">
        <v>247</v>
      </c>
      <c r="C21" s="2707" t="s">
        <v>381</v>
      </c>
      <c r="D21" s="2680">
        <f t="shared" si="1"/>
        <v>845.39</v>
      </c>
      <c r="E21" s="2708">
        <f t="shared" si="2"/>
        <v>10227.120000000001</v>
      </c>
      <c r="F21" s="2709">
        <f>'数据-基础表'!M15</f>
        <v>10227.120000000001</v>
      </c>
      <c r="G21" s="2710"/>
      <c r="H21" s="2627">
        <f t="shared" si="6"/>
        <v>67.36</v>
      </c>
      <c r="I21" s="2687">
        <f t="shared" si="7"/>
        <v>814.9</v>
      </c>
      <c r="J21" s="2671"/>
      <c r="K21" s="2740">
        <f t="shared" si="3"/>
        <v>814.9</v>
      </c>
      <c r="L21" s="2093">
        <f t="shared" si="4"/>
        <v>0</v>
      </c>
      <c r="M21" s="2741">
        <f t="shared" si="8"/>
        <v>814.9</v>
      </c>
      <c r="N21" s="2742"/>
      <c r="O21" s="2743"/>
      <c r="P21" s="2744">
        <f t="shared" si="9"/>
        <v>0</v>
      </c>
      <c r="R21" s="2093">
        <f t="shared" si="5"/>
        <v>912.75</v>
      </c>
      <c r="S21" s="2756">
        <f t="shared" si="5"/>
        <v>11042.02</v>
      </c>
    </row>
    <row r="22" spans="1:19" ht="14.4">
      <c r="A22" s="2711"/>
      <c r="B22" s="2686" t="s">
        <v>247</v>
      </c>
      <c r="C22" s="2712" t="s">
        <v>382</v>
      </c>
      <c r="D22" s="2680">
        <f t="shared" si="1"/>
        <v>1855.73</v>
      </c>
      <c r="E22" s="2708">
        <f t="shared" si="2"/>
        <v>22449.78</v>
      </c>
      <c r="F22" s="2713">
        <f>'数据-基础表'!Q16</f>
        <v>6236.05</v>
      </c>
      <c r="G22" s="2714">
        <f>'数据-基础表'!O16</f>
        <v>16213.73</v>
      </c>
      <c r="H22" s="2627">
        <f t="shared" si="6"/>
        <v>147.87</v>
      </c>
      <c r="I22" s="2687">
        <f t="shared" si="7"/>
        <v>1788.81</v>
      </c>
      <c r="J22" s="2671"/>
      <c r="K22" s="2740">
        <f t="shared" si="3"/>
        <v>1788.81</v>
      </c>
      <c r="L22" s="2093">
        <f t="shared" si="4"/>
        <v>0</v>
      </c>
      <c r="M22" s="2741">
        <f t="shared" si="8"/>
        <v>1788.81</v>
      </c>
      <c r="N22" s="2742"/>
      <c r="O22" s="2743"/>
      <c r="P22" s="2744">
        <f t="shared" si="9"/>
        <v>0</v>
      </c>
      <c r="R22" s="2093">
        <f t="shared" si="5"/>
        <v>2003.6</v>
      </c>
      <c r="S22" s="2756">
        <f t="shared" si="5"/>
        <v>24238.59</v>
      </c>
    </row>
    <row r="23" spans="1:19" ht="14.4">
      <c r="A23" s="2711"/>
      <c r="B23" s="2686" t="s">
        <v>247</v>
      </c>
      <c r="C23" s="2715"/>
      <c r="D23" s="2680">
        <f t="shared" si="1"/>
        <v>0</v>
      </c>
      <c r="E23" s="2708">
        <f t="shared" si="2"/>
        <v>0</v>
      </c>
      <c r="F23" s="2713"/>
      <c r="G23" s="2714"/>
      <c r="H23" s="2627">
        <f t="shared" si="6"/>
        <v>0</v>
      </c>
      <c r="I23" s="2687">
        <f t="shared" si="7"/>
        <v>0</v>
      </c>
      <c r="J23" s="2671"/>
      <c r="K23" s="2740">
        <f t="shared" si="3"/>
        <v>0</v>
      </c>
      <c r="L23" s="2093">
        <f t="shared" si="4"/>
        <v>0</v>
      </c>
      <c r="M23" s="2741">
        <f t="shared" si="8"/>
        <v>0</v>
      </c>
      <c r="N23" s="2742"/>
      <c r="O23" s="2743"/>
      <c r="P23" s="2744">
        <f t="shared" si="9"/>
        <v>0</v>
      </c>
      <c r="R23" s="2093">
        <f t="shared" si="5"/>
        <v>0</v>
      </c>
      <c r="S23" s="2756">
        <f t="shared" si="5"/>
        <v>0</v>
      </c>
    </row>
    <row r="24" spans="1:19" ht="14.4">
      <c r="A24" s="2711"/>
      <c r="B24" s="2686" t="s">
        <v>247</v>
      </c>
      <c r="C24" s="2715"/>
      <c r="D24" s="2680">
        <f t="shared" si="1"/>
        <v>0</v>
      </c>
      <c r="E24" s="2708">
        <f t="shared" si="2"/>
        <v>0</v>
      </c>
      <c r="F24" s="2713"/>
      <c r="G24" s="2714"/>
      <c r="H24" s="2627">
        <f t="shared" si="6"/>
        <v>0</v>
      </c>
      <c r="I24" s="2687">
        <f t="shared" si="7"/>
        <v>0</v>
      </c>
      <c r="J24" s="2671"/>
      <c r="K24" s="2740">
        <f t="shared" si="3"/>
        <v>0</v>
      </c>
      <c r="L24" s="2093">
        <f t="shared" si="4"/>
        <v>0</v>
      </c>
      <c r="M24" s="2741">
        <f t="shared" si="8"/>
        <v>0</v>
      </c>
      <c r="N24" s="2742"/>
      <c r="O24" s="2743"/>
      <c r="P24" s="2744">
        <f t="shared" si="9"/>
        <v>0</v>
      </c>
      <c r="R24" s="2093">
        <f t="shared" si="5"/>
        <v>0</v>
      </c>
      <c r="S24" s="2756">
        <f t="shared" si="5"/>
        <v>0</v>
      </c>
    </row>
    <row r="25" spans="1:19" ht="14.4">
      <c r="A25" s="2711"/>
      <c r="B25" s="2686" t="s">
        <v>247</v>
      </c>
      <c r="C25" s="2715"/>
      <c r="D25" s="2680">
        <f t="shared" si="1"/>
        <v>0</v>
      </c>
      <c r="E25" s="2708">
        <f t="shared" si="2"/>
        <v>0</v>
      </c>
      <c r="F25" s="2713"/>
      <c r="G25" s="2714"/>
      <c r="H25" s="2679">
        <f t="shared" si="6"/>
        <v>0</v>
      </c>
      <c r="I25" s="2687">
        <f t="shared" si="7"/>
        <v>0</v>
      </c>
      <c r="J25" s="2671"/>
      <c r="K25" s="2740">
        <f t="shared" si="3"/>
        <v>0</v>
      </c>
      <c r="L25" s="2093">
        <f t="shared" si="4"/>
        <v>0</v>
      </c>
      <c r="M25" s="2741">
        <f t="shared" si="8"/>
        <v>0</v>
      </c>
      <c r="N25" s="2742"/>
      <c r="O25" s="2743"/>
      <c r="P25" s="2744">
        <f t="shared" si="9"/>
        <v>0</v>
      </c>
      <c r="R25" s="2093">
        <f t="shared" si="5"/>
        <v>0</v>
      </c>
      <c r="S25" s="2756">
        <f t="shared" si="5"/>
        <v>0</v>
      </c>
    </row>
    <row r="26" spans="1:19" ht="14.4">
      <c r="A26" s="2711"/>
      <c r="B26" s="2686" t="s">
        <v>247</v>
      </c>
      <c r="C26" s="2716"/>
      <c r="D26" s="2680">
        <f t="shared" si="1"/>
        <v>0</v>
      </c>
      <c r="E26" s="2708">
        <f t="shared" si="2"/>
        <v>0</v>
      </c>
      <c r="F26" s="2713"/>
      <c r="G26" s="2714"/>
      <c r="H26" s="2679">
        <f t="shared" si="6"/>
        <v>0</v>
      </c>
      <c r="I26" s="2687">
        <f t="shared" si="7"/>
        <v>0</v>
      </c>
      <c r="J26" s="2671"/>
      <c r="K26" s="2745">
        <f t="shared" si="3"/>
        <v>0</v>
      </c>
      <c r="L26" s="2097">
        <f t="shared" si="4"/>
        <v>0</v>
      </c>
      <c r="M26" s="2721">
        <f t="shared" si="8"/>
        <v>0</v>
      </c>
      <c r="N26" s="2746"/>
      <c r="O26" s="2747"/>
      <c r="P26" s="2748">
        <f t="shared" si="9"/>
        <v>0</v>
      </c>
      <c r="R26" s="2093">
        <f t="shared" si="5"/>
        <v>0</v>
      </c>
      <c r="S26" s="2756">
        <f t="shared" si="5"/>
        <v>0</v>
      </c>
    </row>
    <row r="27" spans="1:19" ht="27.6">
      <c r="A27" s="2711"/>
      <c r="B27" s="2680"/>
      <c r="C27" s="2133" t="s">
        <v>539</v>
      </c>
      <c r="D27" s="2708">
        <f>SUM(D19:D26)</f>
        <v>9548.76</v>
      </c>
      <c r="E27" s="2717">
        <f>IF(SUM(E19:E26)='数据-基础表'!BA5,SUM(E19:E26),IF(F27="地上面积有误","面积有误","地下面积有误"))</f>
        <v>115516.59</v>
      </c>
      <c r="F27" s="2708">
        <f>IF(SUM(F19:F26)=E8,SUM(F19:F26),"地上面积有误")</f>
        <v>99302.86</v>
      </c>
      <c r="G27" s="2681">
        <f>SUM(G19:G26)</f>
        <v>16213.73</v>
      </c>
      <c r="H27" s="2718">
        <f>SUM(H19:H26)</f>
        <v>760.85</v>
      </c>
      <c r="I27" s="2749">
        <f>SUM(I19:I26)</f>
        <v>9204.41</v>
      </c>
      <c r="J27" s="2671"/>
      <c r="K27" s="2750">
        <f>SUM(K19:K26)</f>
        <v>9204.41</v>
      </c>
      <c r="L27" s="2751">
        <f>SUM(L19:L26)</f>
        <v>0</v>
      </c>
      <c r="M27" s="2752">
        <f>SUM(M19:M26)</f>
        <v>9204.41</v>
      </c>
      <c r="N27" s="2750">
        <f t="shared" ref="N27:P27" si="10">SUM(N19:N26)</f>
        <v>0</v>
      </c>
      <c r="O27" s="2751">
        <f t="shared" si="10"/>
        <v>0</v>
      </c>
      <c r="P27" s="2753">
        <f t="shared" si="10"/>
        <v>0</v>
      </c>
      <c r="R27" s="2757" t="str">
        <f>IF(SUM(R19:R26)=$D$3,SUM(R19:R26),SUM(R19:R26)&amp;"误差"&amp;ROUND(SUM(R19:R26)-$D$3,2))</f>
        <v>10309.61误差0.01</v>
      </c>
      <c r="S27" s="2093">
        <f>IF(SUM(S19:S26)=$E$3,SUM(S19:S26),SUM(S19:S26)&amp;"误差"&amp;ROUND(SUM(S19:S26)-E3,2))</f>
        <v>124721.00000000001</v>
      </c>
    </row>
    <row r="28" spans="1:19" ht="14.4">
      <c r="A28" s="2711"/>
      <c r="B28" s="2686" t="s">
        <v>259</v>
      </c>
      <c r="C28" s="2647" t="s">
        <v>554</v>
      </c>
      <c r="D28" s="2680">
        <f>ROUND($D$3*E28/$E$3,2)</f>
        <v>760.85</v>
      </c>
      <c r="E28" s="2708">
        <f>SUM(F28:G28)</f>
        <v>9204.41</v>
      </c>
      <c r="F28" s="2081">
        <f>'数据-基础表'!BQ5+'数据-基础表'!BS5</f>
        <v>9204.41</v>
      </c>
      <c r="G28" s="2719">
        <f>'数据-基础表'!BR5+'数据-基础表'!BT5</f>
        <v>0</v>
      </c>
      <c r="H28" s="2671"/>
      <c r="I28" s="2671"/>
      <c r="J28" s="2671"/>
      <c r="K28" s="2671"/>
      <c r="L28" s="2671"/>
    </row>
    <row r="29" spans="1:19" ht="14.4">
      <c r="A29" s="2711"/>
      <c r="B29" s="2686" t="s">
        <v>259</v>
      </c>
      <c r="C29" s="2720" t="s">
        <v>555</v>
      </c>
      <c r="D29" s="2680">
        <f>ROUND($D$3*E29/$E$3,2)</f>
        <v>0</v>
      </c>
      <c r="E29" s="2708">
        <f>SUM(F29:G29)</f>
        <v>0</v>
      </c>
      <c r="F29" s="2081">
        <f>'数据-基础表'!BM5+'数据-基础表'!BO5</f>
        <v>0</v>
      </c>
      <c r="G29" s="2721">
        <f>'数据-基础表'!BN5+'数据-基础表'!BP5</f>
        <v>0</v>
      </c>
      <c r="H29" s="2671"/>
      <c r="I29" s="2671"/>
      <c r="J29" s="2671"/>
      <c r="K29" s="2671"/>
      <c r="L29" s="2671"/>
    </row>
    <row r="30" spans="1:19" ht="14.4">
      <c r="A30" s="2711"/>
      <c r="B30" s="2680"/>
      <c r="C30" s="2722" t="s">
        <v>539</v>
      </c>
      <c r="D30" s="2708">
        <f>SUM(D28:D29)</f>
        <v>760.85</v>
      </c>
      <c r="E30" s="2708">
        <f>SUM(E28:E29)</f>
        <v>9204.41</v>
      </c>
      <c r="F30" s="2708">
        <f>SUM(F28:F29)</f>
        <v>9204.41</v>
      </c>
      <c r="G30" s="2681">
        <f>SUM(G28:G29)</f>
        <v>0</v>
      </c>
      <c r="H30" s="2671"/>
      <c r="I30" s="2671"/>
      <c r="J30" s="2671"/>
      <c r="K30" s="2671"/>
      <c r="L30" s="2671"/>
    </row>
    <row r="31" spans="1:19" ht="32.25" customHeight="1">
      <c r="A31" s="2723"/>
      <c r="B31" s="2724" t="s">
        <v>556</v>
      </c>
      <c r="C31" s="2725" t="s">
        <v>557</v>
      </c>
      <c r="D31" s="2726">
        <f>D27+D30</f>
        <v>10309.61</v>
      </c>
      <c r="E31" s="2726">
        <f>E27+E30</f>
        <v>124721</v>
      </c>
      <c r="F31" s="2727">
        <f>F27+F30</f>
        <v>108507.27</v>
      </c>
      <c r="G31" s="2728">
        <f>G27+G30</f>
        <v>16213.73</v>
      </c>
      <c r="H31" s="2671"/>
      <c r="I31" s="2671"/>
      <c r="J31" s="2671"/>
      <c r="K31" s="2671"/>
      <c r="L31" s="2671"/>
    </row>
    <row r="32" spans="1:19" ht="14.4">
      <c r="A32" s="2671"/>
      <c r="B32" s="2729" t="s">
        <v>558</v>
      </c>
      <c r="C32" s="2730"/>
      <c r="D32" s="2678"/>
      <c r="E32" s="2678">
        <f>SUMIF(C19:C26,"*住宅*",E19:E26)</f>
        <v>72612.570000000007</v>
      </c>
      <c r="F32" s="2678"/>
      <c r="G32" s="2678"/>
    </row>
    <row r="33" spans="4:4">
      <c r="D33" s="273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H6" activePane="bottomRight" state="frozen"/>
      <selection pane="topRight"/>
      <selection pane="bottomLeft"/>
      <selection pane="bottomRight" activeCell="U9" sqref="U9"/>
    </sheetView>
  </sheetViews>
  <sheetFormatPr defaultColWidth="13.77734375" defaultRowHeight="13.2"/>
  <cols>
    <col min="1" max="1" width="20.88671875" style="2485" customWidth="1"/>
    <col min="2" max="3" width="12" style="2486" customWidth="1"/>
    <col min="4" max="4" width="9.109375" style="2487" customWidth="1"/>
    <col min="5" max="5" width="15" style="2486" customWidth="1"/>
    <col min="6" max="10" width="8.88671875" style="2486" customWidth="1"/>
    <col min="11" max="12" width="12.33203125" style="76" customWidth="1"/>
    <col min="13" max="13" width="8.6640625" style="2486" customWidth="1"/>
    <col min="14" max="14" width="9.77734375" style="2486" customWidth="1"/>
    <col min="15" max="16" width="9.6640625" style="2486" customWidth="1"/>
    <col min="17" max="17" width="10.88671875" style="2486" customWidth="1"/>
    <col min="18" max="19" width="12.44140625" style="2486" customWidth="1"/>
    <col min="20" max="20" width="12.109375" style="2486" customWidth="1"/>
    <col min="21" max="21" width="7.44140625" style="2486" customWidth="1"/>
    <col min="22" max="22" width="6.33203125" style="2486" customWidth="1"/>
    <col min="23" max="24" width="6.77734375" style="2486" customWidth="1"/>
    <col min="25" max="25" width="8.109375" style="2486" customWidth="1"/>
    <col min="26" max="30" width="6.77734375" style="2486" customWidth="1"/>
    <col min="31" max="31" width="6.44140625" style="2486" customWidth="1"/>
    <col min="32" max="34" width="7.21875" style="2486" customWidth="1"/>
    <col min="35" max="39" width="8" style="2486" customWidth="1"/>
    <col min="40" max="41" width="13.77734375" style="2484"/>
    <col min="42" max="42" width="13.77734375" style="2484" hidden="1" customWidth="1"/>
    <col min="43" max="83" width="13.77734375" style="2484"/>
    <col min="84" max="16384" width="13.77734375" style="2486"/>
  </cols>
  <sheetData>
    <row r="1" spans="1:83" ht="17.399999999999999">
      <c r="A1" s="2488" t="s">
        <v>559</v>
      </c>
      <c r="B1" s="2489"/>
      <c r="C1" s="1045"/>
      <c r="D1" s="2490"/>
      <c r="E1" s="1045"/>
      <c r="F1" s="1045"/>
      <c r="G1" s="1045"/>
      <c r="H1" s="1045"/>
      <c r="I1" s="1045"/>
      <c r="J1" s="1045"/>
      <c r="K1" s="117"/>
      <c r="L1" s="117"/>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c r="AM1" s="1045"/>
    </row>
    <row r="2" spans="1:83" s="2481" customFormat="1" ht="14.4">
      <c r="A2" s="2491" t="s">
        <v>560</v>
      </c>
      <c r="B2" s="2492">
        <f>项目基本情况!D3</f>
        <v>43654</v>
      </c>
      <c r="C2" s="2493"/>
      <c r="D2" s="2494"/>
      <c r="E2" s="2493"/>
      <c r="F2" s="2493"/>
      <c r="G2" s="2493"/>
      <c r="H2" s="2493"/>
      <c r="I2" s="2493"/>
      <c r="J2" s="2493"/>
      <c r="K2" s="456"/>
      <c r="L2" s="456"/>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2651"/>
      <c r="AO2" s="2651"/>
      <c r="AP2" s="2651"/>
      <c r="AQ2" s="2651"/>
      <c r="AR2" s="2651"/>
      <c r="AS2" s="2651"/>
      <c r="AT2" s="2651"/>
      <c r="AU2" s="2651"/>
      <c r="AV2" s="2651"/>
      <c r="AW2" s="2651"/>
      <c r="AX2" s="2651"/>
      <c r="AY2" s="2651"/>
      <c r="AZ2" s="2651"/>
      <c r="BA2" s="2651"/>
      <c r="BB2" s="2651"/>
      <c r="BC2" s="2651"/>
      <c r="BD2" s="2651"/>
      <c r="BE2" s="2651"/>
      <c r="BF2" s="2651"/>
      <c r="BG2" s="2651"/>
      <c r="BH2" s="2651"/>
      <c r="BI2" s="2651"/>
      <c r="BJ2" s="2651"/>
      <c r="BK2" s="2651"/>
      <c r="BL2" s="2651"/>
      <c r="BM2" s="2651"/>
      <c r="BN2" s="2651"/>
      <c r="BO2" s="2651"/>
      <c r="BP2" s="2651"/>
      <c r="BQ2" s="2651"/>
      <c r="BR2" s="2651"/>
      <c r="BS2" s="2651"/>
      <c r="BT2" s="2651"/>
      <c r="BU2" s="2651"/>
      <c r="BV2" s="2651"/>
      <c r="BW2" s="2651"/>
      <c r="BX2" s="2651"/>
      <c r="BY2" s="2651"/>
      <c r="BZ2" s="2651"/>
      <c r="CA2" s="2651"/>
      <c r="CB2" s="2651"/>
      <c r="CC2" s="2651"/>
      <c r="CD2" s="2651"/>
      <c r="CE2" s="2651"/>
    </row>
    <row r="3" spans="1:83" s="2481" customFormat="1" ht="13.8">
      <c r="A3" s="2495"/>
      <c r="B3" s="2496"/>
      <c r="C3" s="2493"/>
      <c r="D3" s="2494"/>
      <c r="E3" s="2493"/>
      <c r="F3" s="2493"/>
      <c r="G3" s="2493"/>
      <c r="H3" s="2493"/>
      <c r="I3" s="2493"/>
      <c r="J3" s="2493"/>
      <c r="K3" s="456"/>
      <c r="L3" s="456"/>
      <c r="M3" s="2493"/>
      <c r="N3" s="2493"/>
      <c r="O3" s="2493"/>
      <c r="P3" s="2493"/>
      <c r="Q3" s="2493"/>
      <c r="R3" s="2493"/>
      <c r="S3" s="2493"/>
      <c r="T3" s="2493"/>
      <c r="U3" s="2493"/>
      <c r="V3" s="2493"/>
      <c r="W3" s="2493"/>
      <c r="X3" s="2493"/>
      <c r="Y3" s="2493"/>
      <c r="Z3" s="2493"/>
      <c r="AA3" s="2493"/>
      <c r="AB3" s="2493"/>
      <c r="AC3" s="2493"/>
      <c r="AD3" s="2493"/>
      <c r="AE3" s="2493"/>
      <c r="AF3" s="2493"/>
      <c r="AG3" s="2493"/>
      <c r="AH3" s="2493"/>
      <c r="AI3" s="2493"/>
      <c r="AJ3" s="2493"/>
      <c r="AK3" s="2493"/>
      <c r="AL3" s="2493"/>
      <c r="AM3" s="2493"/>
      <c r="AN3" s="2651"/>
      <c r="AO3" s="2651"/>
      <c r="AP3" s="2651"/>
      <c r="AQ3" s="2651"/>
      <c r="AR3" s="2651"/>
      <c r="AS3" s="2651"/>
      <c r="AT3" s="2651"/>
      <c r="AU3" s="2651"/>
      <c r="AV3" s="2651"/>
      <c r="AW3" s="2651"/>
      <c r="AX3" s="2651"/>
      <c r="AY3" s="2651"/>
      <c r="AZ3" s="2651"/>
      <c r="BA3" s="2651"/>
      <c r="BB3" s="2651"/>
      <c r="BC3" s="2651"/>
      <c r="BD3" s="2651"/>
      <c r="BE3" s="2651"/>
      <c r="BF3" s="2651"/>
      <c r="BG3" s="2651"/>
      <c r="BH3" s="2651"/>
      <c r="BI3" s="2651"/>
      <c r="BJ3" s="2651"/>
      <c r="BK3" s="2651"/>
      <c r="BL3" s="2651"/>
      <c r="BM3" s="2651"/>
      <c r="BN3" s="2651"/>
      <c r="BO3" s="2651"/>
      <c r="BP3" s="2651"/>
      <c r="BQ3" s="2651"/>
      <c r="BR3" s="2651"/>
      <c r="BS3" s="2651"/>
      <c r="BT3" s="2651"/>
      <c r="BU3" s="2651"/>
      <c r="BV3" s="2651"/>
      <c r="BW3" s="2651"/>
      <c r="BX3" s="2651"/>
      <c r="BY3" s="2651"/>
      <c r="BZ3" s="2651"/>
      <c r="CA3" s="2651"/>
      <c r="CB3" s="2651"/>
      <c r="CC3" s="2651"/>
      <c r="CD3" s="2651"/>
      <c r="CE3" s="2651"/>
    </row>
    <row r="4" spans="1:83" s="2481" customFormat="1" ht="14.4">
      <c r="A4" s="2497" t="s">
        <v>561</v>
      </c>
      <c r="B4" s="2498"/>
      <c r="C4" s="2499"/>
      <c r="D4" s="2500"/>
      <c r="E4" s="2501" t="s">
        <v>562</v>
      </c>
      <c r="F4" s="2499"/>
      <c r="G4" s="2499"/>
      <c r="H4" s="2499"/>
      <c r="I4" s="2499"/>
      <c r="J4" s="2587"/>
      <c r="K4" s="2588"/>
      <c r="L4" s="2589"/>
      <c r="M4" s="2499"/>
      <c r="N4" s="2501" t="s">
        <v>563</v>
      </c>
      <c r="O4" s="2499"/>
      <c r="P4" s="2499"/>
      <c r="Q4" s="2499"/>
      <c r="R4" s="2499"/>
      <c r="S4" s="2587"/>
      <c r="T4" s="2610" t="str">
        <f>'数据-汇总表'!I17</f>
        <v>按面积比例</v>
      </c>
      <c r="U4" s="2498" t="s">
        <v>564</v>
      </c>
      <c r="V4" s="2499"/>
      <c r="W4" s="2499"/>
      <c r="X4" s="2499"/>
      <c r="Y4" s="2587"/>
      <c r="Z4" s="2636" t="s">
        <v>565</v>
      </c>
      <c r="AA4" s="2636"/>
      <c r="AB4" s="2636"/>
      <c r="AC4" s="2636"/>
      <c r="AD4" s="2636"/>
      <c r="AE4" s="2637" t="s">
        <v>566</v>
      </c>
      <c r="AF4" s="2636"/>
      <c r="AG4" s="2652"/>
      <c r="AH4" s="2498"/>
      <c r="AI4" s="2499"/>
      <c r="AJ4" s="2499"/>
      <c r="AK4" s="2499"/>
      <c r="AL4" s="2499"/>
      <c r="AM4" s="2587"/>
      <c r="AN4" s="2651"/>
      <c r="AO4" s="2651"/>
      <c r="AP4" s="2651"/>
      <c r="AQ4" s="2651"/>
      <c r="AR4" s="2651"/>
      <c r="AS4" s="2651"/>
      <c r="AT4" s="2651"/>
      <c r="AU4" s="2651"/>
      <c r="AV4" s="2651"/>
      <c r="AW4" s="2651"/>
      <c r="AX4" s="2651"/>
      <c r="AY4" s="2651"/>
      <c r="AZ4" s="2651"/>
      <c r="BA4" s="2651"/>
      <c r="BB4" s="2651"/>
      <c r="BC4" s="2651"/>
      <c r="BD4" s="2651"/>
      <c r="BE4" s="2651"/>
      <c r="BF4" s="2651"/>
      <c r="BG4" s="2651"/>
      <c r="BH4" s="2651"/>
      <c r="BI4" s="2651"/>
      <c r="BJ4" s="2651"/>
      <c r="BK4" s="2651"/>
      <c r="BL4" s="2651"/>
      <c r="BM4" s="2651"/>
      <c r="BN4" s="2651"/>
      <c r="BO4" s="2651"/>
      <c r="BP4" s="2651"/>
      <c r="BQ4" s="2651"/>
      <c r="BR4" s="2651"/>
      <c r="BS4" s="2651"/>
      <c r="BT4" s="2651"/>
      <c r="BU4" s="2651"/>
      <c r="BV4" s="2651"/>
      <c r="BW4" s="2651"/>
      <c r="BX4" s="2651"/>
      <c r="BY4" s="2651"/>
      <c r="BZ4" s="2651"/>
      <c r="CA4" s="2651"/>
      <c r="CB4" s="2651"/>
      <c r="CC4" s="2651"/>
      <c r="CD4" s="2651"/>
      <c r="CE4" s="2651"/>
    </row>
    <row r="5" spans="1:83" s="2482" customFormat="1" ht="57.6">
      <c r="A5" s="2502" t="s">
        <v>412</v>
      </c>
      <c r="B5" s="2503" t="s">
        <v>567</v>
      </c>
      <c r="C5" s="2504" t="s">
        <v>568</v>
      </c>
      <c r="D5" s="2505" t="s">
        <v>569</v>
      </c>
      <c r="E5" s="2506" t="s">
        <v>570</v>
      </c>
      <c r="F5" s="2507" t="s">
        <v>571</v>
      </c>
      <c r="G5" s="2506" t="s">
        <v>572</v>
      </c>
      <c r="H5" s="2506" t="s">
        <v>573</v>
      </c>
      <c r="I5" s="2506" t="s">
        <v>574</v>
      </c>
      <c r="J5" s="2590" t="s">
        <v>575</v>
      </c>
      <c r="K5" s="2591" t="s">
        <v>576</v>
      </c>
      <c r="L5" s="2592" t="s">
        <v>577</v>
      </c>
      <c r="M5" s="2593" t="s">
        <v>578</v>
      </c>
      <c r="N5" s="2594" t="s">
        <v>579</v>
      </c>
      <c r="O5" s="2592" t="s">
        <v>580</v>
      </c>
      <c r="P5" s="2595" t="s">
        <v>581</v>
      </c>
      <c r="Q5" s="249" t="s">
        <v>582</v>
      </c>
      <c r="R5" s="2611" t="s">
        <v>583</v>
      </c>
      <c r="S5" s="2612" t="s">
        <v>584</v>
      </c>
      <c r="T5" s="2613" t="s">
        <v>585</v>
      </c>
      <c r="U5" s="2614" t="s">
        <v>586</v>
      </c>
      <c r="V5" s="2506" t="s">
        <v>587</v>
      </c>
      <c r="W5" s="2506" t="s">
        <v>588</v>
      </c>
      <c r="X5" s="2615"/>
      <c r="Y5" s="507" t="s">
        <v>589</v>
      </c>
      <c r="Z5" s="2638" t="s">
        <v>586</v>
      </c>
      <c r="AA5" s="2506" t="s">
        <v>587</v>
      </c>
      <c r="AB5" s="2506" t="s">
        <v>588</v>
      </c>
      <c r="AC5" s="2639"/>
      <c r="AD5" s="284" t="s">
        <v>589</v>
      </c>
      <c r="AE5" s="2640" t="s">
        <v>590</v>
      </c>
      <c r="AF5" s="2506" t="s">
        <v>591</v>
      </c>
      <c r="AG5" s="507" t="s">
        <v>592</v>
      </c>
      <c r="AH5" s="2639" t="s">
        <v>593</v>
      </c>
      <c r="AI5" s="2638" t="s">
        <v>594</v>
      </c>
      <c r="AJ5" s="2638" t="s">
        <v>595</v>
      </c>
      <c r="AK5" s="2506" t="s">
        <v>596</v>
      </c>
      <c r="AL5" s="2506" t="s">
        <v>597</v>
      </c>
      <c r="AM5" s="284" t="s">
        <v>598</v>
      </c>
      <c r="AN5" s="2653" t="s">
        <v>599</v>
      </c>
      <c r="AO5" s="2669"/>
      <c r="AP5" s="2669"/>
      <c r="AQ5" s="2669"/>
      <c r="AR5" s="2669"/>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c r="BP5" s="2669"/>
      <c r="BQ5" s="2669"/>
      <c r="BR5" s="2669"/>
      <c r="BS5" s="2669"/>
      <c r="BT5" s="2669"/>
      <c r="BU5" s="2669"/>
      <c r="BV5" s="2669"/>
      <c r="BW5" s="2669"/>
      <c r="BX5" s="2669"/>
      <c r="BY5" s="2669"/>
      <c r="BZ5" s="2669"/>
      <c r="CA5" s="2669"/>
      <c r="CB5" s="2669"/>
      <c r="CC5" s="2669"/>
      <c r="CD5" s="2669"/>
      <c r="CE5" s="2669"/>
    </row>
    <row r="6" spans="1:83" s="2481" customFormat="1" ht="14.4">
      <c r="A6" s="2508" t="str">
        <f>'数据-汇总表'!C19</f>
        <v>住宅</v>
      </c>
      <c r="B6" s="2509" t="str">
        <f>IF(A6=0,"","经营性")</f>
        <v>经营性</v>
      </c>
      <c r="C6" s="2510" t="s">
        <v>379</v>
      </c>
      <c r="D6" s="2511">
        <f>SUMIF(项目基本情况!D$15:I$15,C6,项目基本情况!D$18:I$18)</f>
        <v>70</v>
      </c>
      <c r="E6" s="2512">
        <f>IF(B6="","",SUMIF(项目基本情况!D$15:I$15,C6,项目基本情况!D$17:I$17))</f>
        <v>67290</v>
      </c>
      <c r="F6" s="2513">
        <f>SUMIF(项目基本情况!D$15:I$15,C6,项目基本情况!D$19:I$19)</f>
        <v>64.75</v>
      </c>
      <c r="G6" s="2514">
        <f>IF(ISERROR(ROUND(POWER(1+H6,D6-F6)*(POWER(1+H6,F6)-1)/(POWER(1+H6,D6)-1),3)),0,ROUND(POWER(1+H6,D6-F6)*(POWER(1+H6,F6)-1)/(POWER(1+H6,D6)-1),3))</f>
        <v>0.98699999999999999</v>
      </c>
      <c r="H6" s="2515">
        <v>4.4999999999999998E-2</v>
      </c>
      <c r="I6" s="2515">
        <v>0.05</v>
      </c>
      <c r="J6" s="2516">
        <v>0.08</v>
      </c>
      <c r="K6" s="2596">
        <f>SUMIF('数据-汇总表'!C$19:C$33,'数据-取费表'!A6,'数据-汇总表'!E$19:E$33)</f>
        <v>72612.570000000007</v>
      </c>
      <c r="L6" s="2597">
        <v>6000</v>
      </c>
      <c r="M6" s="2598">
        <f t="shared" ref="M6:M14" si="0">ROUND(K6*L6/10000,0)</f>
        <v>43568</v>
      </c>
      <c r="N6" s="2599">
        <v>0</v>
      </c>
      <c r="O6" s="2598">
        <f>IF($N$5="成新度","——",ROUND(M6*N6,0))</f>
        <v>0</v>
      </c>
      <c r="P6" s="2600">
        <f>IF($N$5="成新度","——",M6-O6)</f>
        <v>43568</v>
      </c>
      <c r="Q6" s="2616">
        <v>0.15</v>
      </c>
      <c r="R6" s="2596">
        <f>SUMIF('数据-汇总表'!C$19:C$33,A6,'数据-汇总表'!R$19:R$33)</f>
        <v>6480.51</v>
      </c>
      <c r="S6" s="2617">
        <f>IF('数据-汇总表'!$I$17="按面积比例",SUMIF('数据-汇总表'!C$19:C$33,A6,'数据-汇总表'!K$19:K$33),SUMIF('数据-汇总表'!C$19:C$33,A6,'数据-汇总表'!N$19:N$33))</f>
        <v>5785.8</v>
      </c>
      <c r="T6" s="2618">
        <f>IF($T$4="按面积比例",IF(ISERROR(ROUND($M$14*S6/S$16,0)),"0",ROUND($M$14*S6/S$16,0)),"需自行计算录入")</f>
        <v>2025</v>
      </c>
      <c r="U6" s="2619"/>
      <c r="V6" s="2620"/>
      <c r="W6" s="2620"/>
      <c r="X6" s="2621"/>
      <c r="Y6" s="2641">
        <v>1</v>
      </c>
      <c r="Z6" s="2642"/>
      <c r="AA6" s="2516"/>
      <c r="AB6" s="2516"/>
      <c r="AC6" s="2624"/>
      <c r="AD6" s="2643"/>
      <c r="AE6" s="2644">
        <f ca="1">IF(AN6="",0,SUMIF(INDIRECT("'"&amp;AN6&amp;"'"&amp;"!E:E"),$AE$5,INDIRECT("'"&amp;AN6&amp;"'"&amp;"!F:F")))</f>
        <v>0</v>
      </c>
      <c r="AF6" s="2078"/>
      <c r="AG6" s="2654">
        <f>IF(AF6="",0,AE6-AF6)</f>
        <v>0</v>
      </c>
      <c r="AH6" s="2078"/>
      <c r="AI6" s="2655"/>
      <c r="AJ6" s="2656"/>
      <c r="AK6" s="2657"/>
      <c r="AL6" s="2658"/>
      <c r="AM6" s="2659"/>
      <c r="AN6" s="2660"/>
      <c r="AO6" s="2651"/>
      <c r="AP6" s="2496">
        <f>ROUND(1-1/(1+H6)^F6,3)</f>
        <v>0.94199999999999995</v>
      </c>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BV6" s="2651"/>
      <c r="BW6" s="2651"/>
      <c r="BX6" s="2651"/>
      <c r="BY6" s="2651"/>
      <c r="BZ6" s="2651"/>
      <c r="CA6" s="2651"/>
      <c r="CB6" s="2651"/>
      <c r="CC6" s="2651"/>
      <c r="CD6" s="2651"/>
      <c r="CE6" s="2651"/>
    </row>
    <row r="7" spans="1:83" s="2481" customFormat="1" ht="14.4">
      <c r="A7" s="2508" t="str">
        <f>'数据-汇总表'!C20</f>
        <v>商业</v>
      </c>
      <c r="B7" s="2509" t="str">
        <f t="shared" ref="B7:B13" si="1">IF(A7=0,"","经营性")</f>
        <v>经营性</v>
      </c>
      <c r="C7" s="2510" t="s">
        <v>380</v>
      </c>
      <c r="D7" s="2511">
        <f>SUMIF(项目基本情况!D$15:I$15,C7,项目基本情况!D$18:I$18)</f>
        <v>40</v>
      </c>
      <c r="E7" s="2512">
        <f>IF(B7="","",SUMIF(项目基本情况!D$15:I$15,C7,项目基本情况!D$17:I$17))</f>
        <v>56332</v>
      </c>
      <c r="F7" s="2513">
        <f>SUMIF(项目基本情况!D$15:I$15,C7,项目基本情况!D$19:I$19)</f>
        <v>34.729999999999997</v>
      </c>
      <c r="G7" s="2514">
        <f t="shared" ref="G7:G13" si="2">IF(ISERROR(ROUND(POWER(1+H7,D7-F7)*(POWER(1+H7,F7)-1)/(POWER(1+H7,D7)-1),3)),0,ROUND(POWER(1+H7,D7-F7)*(POWER(1+H7,F7)-1)/(POWER(1+H7,D7)-1),3))</f>
        <v>0.95099999999999996</v>
      </c>
      <c r="H7" s="2515">
        <v>0.05</v>
      </c>
      <c r="I7" s="2515">
        <v>5.5E-2</v>
      </c>
      <c r="J7" s="2516">
        <v>0.08</v>
      </c>
      <c r="K7" s="2596">
        <f>SUMIF('数据-汇总表'!C$19:C$33,'数据-取费表'!A7,'数据-汇总表'!E$19:E$33)</f>
        <v>10227.120000000001</v>
      </c>
      <c r="L7" s="2597">
        <v>5000</v>
      </c>
      <c r="M7" s="2598">
        <f t="shared" si="0"/>
        <v>5114</v>
      </c>
      <c r="N7" s="2599">
        <v>0</v>
      </c>
      <c r="O7" s="2598">
        <f t="shared" ref="O7:O14" si="3">IF($N$5="成新度","——",ROUND(M7*N7,0))</f>
        <v>0</v>
      </c>
      <c r="P7" s="2600">
        <f t="shared" ref="P7:P14" si="4">IF($N$5="成新度","——",M7-O7)</f>
        <v>5114</v>
      </c>
      <c r="Q7" s="2616">
        <v>0.1</v>
      </c>
      <c r="R7" s="2596">
        <f>SUMIF('数据-汇总表'!C$19:C$33,A7,'数据-汇总表'!R$19:R$33)</f>
        <v>912.75</v>
      </c>
      <c r="S7" s="2617">
        <f>IF('数据-汇总表'!$I$17="按面积比例",SUMIF('数据-汇总表'!C$19:C$33,A7,'数据-汇总表'!K$19:K$33),SUMIF('数据-汇总表'!C$19:C$33,A7,'数据-汇总表'!N$19:N$33))</f>
        <v>814.9</v>
      </c>
      <c r="T7" s="2618">
        <f t="shared" ref="T7:T13" si="5">IF($T$4="按面积比例",IF(ISERROR(ROUND($M$14*S7/S$16,0)),"0",ROUND($M$14*S7/S$16,0)),"需自行计算录入")</f>
        <v>285</v>
      </c>
      <c r="U7" s="2619">
        <f>ROUND(Sheet1!K14,2)</f>
        <v>4.5999999999999996</v>
      </c>
      <c r="V7" s="2620">
        <v>0.03</v>
      </c>
      <c r="W7" s="2620">
        <v>0.1</v>
      </c>
      <c r="X7" s="2621"/>
      <c r="Y7" s="2641">
        <v>1</v>
      </c>
      <c r="Z7" s="2642"/>
      <c r="AA7" s="2516"/>
      <c r="AB7" s="2516"/>
      <c r="AC7" s="2624"/>
      <c r="AD7" s="2643"/>
      <c r="AE7" s="2644">
        <f t="shared" ref="AE7:AE13" ca="1" si="6">IF(AN7="",0,SUMIF(INDIRECT("'"&amp;AN7&amp;"'"&amp;"!E:E"),$AE$5,INDIRECT("'"&amp;AN7&amp;"'"&amp;"!F:F")))</f>
        <v>31.729999999999997</v>
      </c>
      <c r="AF7" s="2078"/>
      <c r="AG7" s="2654">
        <f t="shared" ref="AG7:AG13" si="7">IF(AF7="",0,AE7-AF7)</f>
        <v>0</v>
      </c>
      <c r="AH7" s="2078"/>
      <c r="AI7" s="2655">
        <v>365</v>
      </c>
      <c r="AJ7" s="2656"/>
      <c r="AK7" s="2657">
        <v>1.4999999999999999E-2</v>
      </c>
      <c r="AL7" s="2658">
        <v>1.5E-3</v>
      </c>
      <c r="AM7" s="2661">
        <v>1.4999999999999999E-2</v>
      </c>
      <c r="AN7" s="2660" t="s">
        <v>298</v>
      </c>
      <c r="AO7" s="2651"/>
      <c r="AP7" s="2496">
        <f t="shared" ref="AP7:AP13" si="8">ROUND(1-1/(1+H7)^F7,3)</f>
        <v>0.81599999999999995</v>
      </c>
      <c r="AQ7" s="2651"/>
      <c r="AR7" s="2651"/>
      <c r="AS7" s="2651"/>
      <c r="AT7" s="2651"/>
      <c r="AU7" s="2651"/>
      <c r="AV7" s="2651"/>
      <c r="AW7" s="2651"/>
      <c r="AX7" s="2651"/>
      <c r="AY7" s="2651"/>
      <c r="AZ7" s="2651"/>
      <c r="BA7" s="2651"/>
      <c r="BB7" s="2651"/>
      <c r="BC7" s="2651"/>
      <c r="BD7" s="2651"/>
      <c r="BE7" s="2651"/>
      <c r="BF7" s="2651"/>
      <c r="BG7" s="2651"/>
      <c r="BH7" s="2651"/>
      <c r="BI7" s="2651"/>
      <c r="BJ7" s="2651"/>
      <c r="BK7" s="2651"/>
      <c r="BL7" s="2651"/>
      <c r="BM7" s="2651"/>
      <c r="BN7" s="2651"/>
      <c r="BO7" s="2651"/>
      <c r="BP7" s="2651"/>
      <c r="BQ7" s="2651"/>
      <c r="BR7" s="2651"/>
      <c r="BS7" s="2651"/>
      <c r="BT7" s="2651"/>
      <c r="BU7" s="2651"/>
      <c r="BV7" s="2651"/>
      <c r="BW7" s="2651"/>
      <c r="BX7" s="2651"/>
      <c r="BY7" s="2651"/>
      <c r="BZ7" s="2651"/>
      <c r="CA7" s="2651"/>
      <c r="CB7" s="2651"/>
      <c r="CC7" s="2651"/>
      <c r="CD7" s="2651"/>
      <c r="CE7" s="2651"/>
    </row>
    <row r="8" spans="1:83" s="2481" customFormat="1" ht="14.4">
      <c r="A8" s="2508" t="str">
        <f>'数据-汇总表'!C21</f>
        <v>办公</v>
      </c>
      <c r="B8" s="2509" t="str">
        <f t="shared" si="1"/>
        <v>经营性</v>
      </c>
      <c r="C8" s="2510" t="s">
        <v>381</v>
      </c>
      <c r="D8" s="2511">
        <f>SUMIF(项目基本情况!D$15:I$15,C8,项目基本情况!D$18:I$18)</f>
        <v>40</v>
      </c>
      <c r="E8" s="2512">
        <f>IF(B8="","",SUMIF(项目基本情况!D$15:I$15,C8,项目基本情况!D$17:I$17))</f>
        <v>56332</v>
      </c>
      <c r="F8" s="2513">
        <f>SUMIF(项目基本情况!D$15:I$15,C8,项目基本情况!D$19:I$19)</f>
        <v>34.729999999999997</v>
      </c>
      <c r="G8" s="2514">
        <f t="shared" si="2"/>
        <v>0.95099999999999996</v>
      </c>
      <c r="H8" s="2515">
        <v>0.05</v>
      </c>
      <c r="I8" s="2515">
        <v>5.5E-2</v>
      </c>
      <c r="J8" s="2516">
        <v>0.08</v>
      </c>
      <c r="K8" s="2596">
        <f>SUMIF('数据-汇总表'!C$19:C$33,'数据-取费表'!A8,'数据-汇总表'!E$19:E$33)</f>
        <v>10227.120000000001</v>
      </c>
      <c r="L8" s="2597">
        <f>L7</f>
        <v>5000</v>
      </c>
      <c r="M8" s="2598">
        <f t="shared" si="0"/>
        <v>5114</v>
      </c>
      <c r="N8" s="2599">
        <v>0</v>
      </c>
      <c r="O8" s="2598">
        <f t="shared" si="3"/>
        <v>0</v>
      </c>
      <c r="P8" s="2600">
        <f t="shared" si="4"/>
        <v>5114</v>
      </c>
      <c r="Q8" s="2616">
        <v>0.05</v>
      </c>
      <c r="R8" s="2596">
        <f>SUMIF('数据-汇总表'!C$19:C$33,A8,'数据-汇总表'!R$19:R$33)</f>
        <v>912.75</v>
      </c>
      <c r="S8" s="2617">
        <f>IF('数据-汇总表'!$I$17="按面积比例",SUMIF('数据-汇总表'!C$19:C$33,A8,'数据-汇总表'!K$19:K$33),SUMIF('数据-汇总表'!C$19:C$33,A8,'数据-汇总表'!N$19:N$33))</f>
        <v>814.9</v>
      </c>
      <c r="T8" s="2618">
        <f t="shared" si="5"/>
        <v>285</v>
      </c>
      <c r="U8" s="3176">
        <v>2.5</v>
      </c>
      <c r="V8" s="2620">
        <v>0.03</v>
      </c>
      <c r="W8" s="2620">
        <v>0.1</v>
      </c>
      <c r="X8" s="2621"/>
      <c r="Y8" s="2641">
        <v>1</v>
      </c>
      <c r="Z8" s="2642"/>
      <c r="AA8" s="2516"/>
      <c r="AB8" s="2516"/>
      <c r="AC8" s="2624"/>
      <c r="AD8" s="2643"/>
      <c r="AE8" s="2644">
        <f t="shared" ca="1" si="6"/>
        <v>31.729999999999997</v>
      </c>
      <c r="AF8" s="2078"/>
      <c r="AG8" s="2654">
        <f t="shared" si="7"/>
        <v>0</v>
      </c>
      <c r="AH8" s="2078"/>
      <c r="AI8" s="2655">
        <v>365</v>
      </c>
      <c r="AJ8" s="2656"/>
      <c r="AK8" s="2657">
        <f>AK7</f>
        <v>1.4999999999999999E-2</v>
      </c>
      <c r="AL8" s="2658">
        <f>AL7</f>
        <v>1.5E-3</v>
      </c>
      <c r="AM8" s="2661">
        <v>0.01</v>
      </c>
      <c r="AN8" s="2660" t="s">
        <v>329</v>
      </c>
      <c r="AO8" s="2651"/>
      <c r="AP8" s="2496">
        <f t="shared" si="8"/>
        <v>0.81599999999999995</v>
      </c>
      <c r="AQ8" s="2651"/>
      <c r="AR8" s="2651"/>
      <c r="AS8" s="2651"/>
      <c r="AT8" s="2651"/>
      <c r="AU8" s="2651"/>
      <c r="AV8" s="2651"/>
      <c r="AW8" s="2651"/>
      <c r="AX8" s="2651"/>
      <c r="AY8" s="2651"/>
      <c r="AZ8" s="2651"/>
      <c r="BA8" s="2651"/>
      <c r="BB8" s="2651"/>
      <c r="BC8" s="2651"/>
      <c r="BD8" s="2651"/>
      <c r="BE8" s="2651"/>
      <c r="BF8" s="2651"/>
      <c r="BG8" s="2651"/>
      <c r="BH8" s="2651"/>
      <c r="BI8" s="2651"/>
      <c r="BJ8" s="2651"/>
      <c r="BK8" s="2651"/>
      <c r="BL8" s="2651"/>
      <c r="BM8" s="2651"/>
      <c r="BN8" s="2651"/>
      <c r="BO8" s="2651"/>
      <c r="BP8" s="2651"/>
      <c r="BQ8" s="2651"/>
      <c r="BR8" s="2651"/>
      <c r="BS8" s="2651"/>
      <c r="BT8" s="2651"/>
      <c r="BU8" s="2651"/>
      <c r="BV8" s="2651"/>
      <c r="BW8" s="2651"/>
      <c r="BX8" s="2651"/>
      <c r="BY8" s="2651"/>
      <c r="BZ8" s="2651"/>
      <c r="CA8" s="2651"/>
      <c r="CB8" s="2651"/>
      <c r="CC8" s="2651"/>
      <c r="CD8" s="2651"/>
      <c r="CE8" s="2651"/>
    </row>
    <row r="9" spans="1:83" s="2481" customFormat="1" ht="14.4">
      <c r="A9" s="2508" t="str">
        <f>'数据-汇总表'!C22</f>
        <v>车库</v>
      </c>
      <c r="B9" s="2509" t="str">
        <f t="shared" si="1"/>
        <v>经营性</v>
      </c>
      <c r="C9" s="2510" t="s">
        <v>382</v>
      </c>
      <c r="D9" s="2511">
        <f>SUMIF(项目基本情况!D$15:I$15,C9,项目基本情况!D$18:I$18)</f>
        <v>40</v>
      </c>
      <c r="E9" s="2512">
        <f>IF(B9="","",SUMIF(项目基本情况!D$15:I$15,C9,项目基本情况!D$17:I$17))</f>
        <v>56332</v>
      </c>
      <c r="F9" s="2513">
        <f>SUMIF(项目基本情况!D$15:I$15,C9,项目基本情况!D$19:I$19)</f>
        <v>34.729999999999997</v>
      </c>
      <c r="G9" s="2514">
        <f t="shared" si="2"/>
        <v>0.94</v>
      </c>
      <c r="H9" s="3171">
        <v>0.04</v>
      </c>
      <c r="I9" s="3171">
        <v>4.4999999999999998E-2</v>
      </c>
      <c r="J9" s="2516">
        <v>0.08</v>
      </c>
      <c r="K9" s="2596">
        <f>SUMIF('数据-汇总表'!C$19:C$33,'数据-取费表'!A9,'数据-汇总表'!E$19:E$33)</f>
        <v>22449.78</v>
      </c>
      <c r="L9" s="2601">
        <v>3500</v>
      </c>
      <c r="M9" s="2598">
        <f t="shared" si="0"/>
        <v>7857</v>
      </c>
      <c r="N9" s="2602">
        <v>0</v>
      </c>
      <c r="O9" s="2598">
        <f t="shared" si="3"/>
        <v>0</v>
      </c>
      <c r="P9" s="2600">
        <f t="shared" si="4"/>
        <v>7857</v>
      </c>
      <c r="Q9" s="2622">
        <v>0.03</v>
      </c>
      <c r="R9" s="2596">
        <f>SUMIF('数据-汇总表'!C$19:C$33,A9,'数据-汇总表'!R$19:R$33)</f>
        <v>2003.6</v>
      </c>
      <c r="S9" s="2617">
        <f>IF('数据-汇总表'!$I$17="按面积比例",SUMIF('数据-汇总表'!C$19:C$33,A9,'数据-汇总表'!K$19:K$33),SUMIF('数据-汇总表'!C$19:C$33,A9,'数据-汇总表'!N$19:N$33))</f>
        <v>1788.81</v>
      </c>
      <c r="T9" s="2618">
        <f t="shared" si="5"/>
        <v>626</v>
      </c>
      <c r="U9" s="3176">
        <v>0.7</v>
      </c>
      <c r="V9" s="2620">
        <v>0.02</v>
      </c>
      <c r="W9" s="2620">
        <v>0.1</v>
      </c>
      <c r="X9" s="2621"/>
      <c r="Y9" s="2641">
        <v>1</v>
      </c>
      <c r="Z9" s="2642"/>
      <c r="AA9" s="2516"/>
      <c r="AB9" s="2516"/>
      <c r="AC9" s="2624"/>
      <c r="AD9" s="2643"/>
      <c r="AE9" s="2644">
        <f t="shared" ca="1" si="6"/>
        <v>31.729999999999997</v>
      </c>
      <c r="AF9" s="2078"/>
      <c r="AG9" s="2654">
        <f t="shared" si="7"/>
        <v>0</v>
      </c>
      <c r="AH9" s="2078"/>
      <c r="AI9" s="2655">
        <v>365</v>
      </c>
      <c r="AJ9" s="2656"/>
      <c r="AK9" s="2657">
        <f>AK7</f>
        <v>1.4999999999999999E-2</v>
      </c>
      <c r="AL9" s="2658">
        <f>AL7</f>
        <v>1.5E-3</v>
      </c>
      <c r="AM9" s="2661">
        <v>0.01</v>
      </c>
      <c r="AN9" s="2660" t="s">
        <v>331</v>
      </c>
      <c r="AO9" s="2651"/>
      <c r="AP9" s="2496">
        <f t="shared" si="8"/>
        <v>0.74399999999999999</v>
      </c>
      <c r="AQ9" s="2651"/>
      <c r="AR9" s="2651"/>
      <c r="AS9" s="2651"/>
      <c r="AT9" s="2651"/>
      <c r="AU9" s="2651"/>
      <c r="AV9" s="2651"/>
      <c r="AW9" s="2651"/>
      <c r="AX9" s="2651"/>
      <c r="AY9" s="2651"/>
      <c r="AZ9" s="2651"/>
      <c r="BA9" s="2651"/>
      <c r="BB9" s="2651"/>
      <c r="BC9" s="2651"/>
      <c r="BD9" s="2651"/>
      <c r="BE9" s="2651"/>
      <c r="BF9" s="2651"/>
      <c r="BG9" s="2651"/>
      <c r="BH9" s="2651"/>
      <c r="BI9" s="2651"/>
      <c r="BJ9" s="2651"/>
      <c r="BK9" s="2651"/>
      <c r="BL9" s="2651"/>
      <c r="BM9" s="2651"/>
      <c r="BN9" s="2651"/>
      <c r="BO9" s="2651"/>
      <c r="BP9" s="2651"/>
      <c r="BQ9" s="2651"/>
      <c r="BR9" s="2651"/>
      <c r="BS9" s="2651"/>
      <c r="BT9" s="2651"/>
      <c r="BU9" s="2651"/>
      <c r="BV9" s="2651"/>
      <c r="BW9" s="2651"/>
      <c r="BX9" s="2651"/>
      <c r="BY9" s="2651"/>
      <c r="BZ9" s="2651"/>
      <c r="CA9" s="2651"/>
      <c r="CB9" s="2651"/>
      <c r="CC9" s="2651"/>
      <c r="CD9" s="2651"/>
      <c r="CE9" s="2651"/>
    </row>
    <row r="10" spans="1:83" s="2481" customFormat="1" ht="14.4">
      <c r="A10" s="2508">
        <f>'数据-汇总表'!C23</f>
        <v>0</v>
      </c>
      <c r="B10" s="2509" t="str">
        <f t="shared" si="1"/>
        <v/>
      </c>
      <c r="C10" s="2510"/>
      <c r="D10" s="2511">
        <f>SUMIF(项目基本情况!D$15:I$15,C10,项目基本情况!D$18:I$18)</f>
        <v>0</v>
      </c>
      <c r="E10" s="2512" t="str">
        <f>IF(B10="","",SUMIF(项目基本情况!D$15:I$15,C10,项目基本情况!D$17:I$17))</f>
        <v/>
      </c>
      <c r="F10" s="2513">
        <f>SUMIF(项目基本情况!D$15:I$15,C10,项目基本情况!D$19:I$19)</f>
        <v>0</v>
      </c>
      <c r="G10" s="2514">
        <f t="shared" si="2"/>
        <v>0</v>
      </c>
      <c r="H10" s="2516"/>
      <c r="I10" s="2516"/>
      <c r="J10" s="2516"/>
      <c r="K10" s="2596">
        <f>SUMIF('数据-汇总表'!C$19:C$33,'数据-取费表'!A10,'数据-汇总表'!E$19:E$33)</f>
        <v>0</v>
      </c>
      <c r="L10" s="2601"/>
      <c r="M10" s="2598">
        <f t="shared" si="0"/>
        <v>0</v>
      </c>
      <c r="N10" s="2602"/>
      <c r="O10" s="2598">
        <f t="shared" si="3"/>
        <v>0</v>
      </c>
      <c r="P10" s="2600">
        <f t="shared" si="4"/>
        <v>0</v>
      </c>
      <c r="Q10" s="2622"/>
      <c r="R10" s="2596">
        <f>SUMIF('数据-汇总表'!C$19:C$33,A10,'数据-汇总表'!R$19:R$33)</f>
        <v>0</v>
      </c>
      <c r="S10" s="2617">
        <f>IF('数据-汇总表'!$I$17="按面积比例",SUMIF('数据-汇总表'!C$19:C$33,A10,'数据-汇总表'!K$19:K$33),SUMIF('数据-汇总表'!C$19:C$33,A10,'数据-汇总表'!N$19:N$33))</f>
        <v>0</v>
      </c>
      <c r="T10" s="2618">
        <f t="shared" si="5"/>
        <v>0</v>
      </c>
      <c r="U10" s="2619"/>
      <c r="V10" s="2620"/>
      <c r="W10" s="2620"/>
      <c r="X10" s="2621"/>
      <c r="Y10" s="2641"/>
      <c r="Z10" s="2642"/>
      <c r="AA10" s="2516"/>
      <c r="AB10" s="2516"/>
      <c r="AC10" s="2624"/>
      <c r="AD10" s="2643"/>
      <c r="AE10" s="2644">
        <f t="shared" ca="1" si="6"/>
        <v>0</v>
      </c>
      <c r="AF10" s="2078"/>
      <c r="AG10" s="2654">
        <f t="shared" si="7"/>
        <v>0</v>
      </c>
      <c r="AH10" s="2078"/>
      <c r="AI10" s="2655"/>
      <c r="AJ10" s="2656"/>
      <c r="AK10" s="2657"/>
      <c r="AL10" s="2658"/>
      <c r="AM10" s="2661"/>
      <c r="AN10" s="2660"/>
      <c r="AO10" s="2651"/>
      <c r="AP10" s="2496">
        <f t="shared" si="8"/>
        <v>0</v>
      </c>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row>
    <row r="11" spans="1:83" s="2481" customFormat="1" ht="14.4">
      <c r="A11" s="2508">
        <f>'数据-汇总表'!C24</f>
        <v>0</v>
      </c>
      <c r="B11" s="2509" t="str">
        <f t="shared" si="1"/>
        <v/>
      </c>
      <c r="C11" s="2510"/>
      <c r="D11" s="2511">
        <f>SUMIF(项目基本情况!D$15:I$15,C11,项目基本情况!D$18:I$18)</f>
        <v>0</v>
      </c>
      <c r="E11" s="2512" t="str">
        <f>IF(B11="","",SUMIF(项目基本情况!D$15:I$15,C11,项目基本情况!D$17:I$17))</f>
        <v/>
      </c>
      <c r="F11" s="2513">
        <f>SUMIF(项目基本情况!D$15:I$15,C11,项目基本情况!D$19:I$19)</f>
        <v>0</v>
      </c>
      <c r="G11" s="2514">
        <f t="shared" si="2"/>
        <v>0</v>
      </c>
      <c r="H11" s="2516"/>
      <c r="I11" s="2516"/>
      <c r="J11" s="2516"/>
      <c r="K11" s="2596">
        <f>SUMIF('数据-汇总表'!C$19:C$33,'数据-取费表'!A11,'数据-汇总表'!E$19:E$33)</f>
        <v>0</v>
      </c>
      <c r="L11" s="2601"/>
      <c r="M11" s="2598">
        <f t="shared" si="0"/>
        <v>0</v>
      </c>
      <c r="N11" s="2602"/>
      <c r="O11" s="2598">
        <f t="shared" si="3"/>
        <v>0</v>
      </c>
      <c r="P11" s="2600">
        <f t="shared" si="4"/>
        <v>0</v>
      </c>
      <c r="Q11" s="2622"/>
      <c r="R11" s="2596">
        <f>SUMIF('数据-汇总表'!C$19:C$33,A11,'数据-汇总表'!R$19:R$33)</f>
        <v>0</v>
      </c>
      <c r="S11" s="2617">
        <f>IF('数据-汇总表'!$I$17="按面积比例",SUMIF('数据-汇总表'!C$19:C$33,A11,'数据-汇总表'!K$19:K$33),SUMIF('数据-汇总表'!C$19:C$33,A11,'数据-汇总表'!N$19:N$33))</f>
        <v>0</v>
      </c>
      <c r="T11" s="2618">
        <f t="shared" si="5"/>
        <v>0</v>
      </c>
      <c r="U11" s="2623"/>
      <c r="V11" s="2516"/>
      <c r="W11" s="2516"/>
      <c r="X11" s="2624"/>
      <c r="Y11" s="2641"/>
      <c r="Z11" s="2645"/>
      <c r="AA11" s="2516"/>
      <c r="AB11" s="2516"/>
      <c r="AC11" s="2624"/>
      <c r="AD11" s="2643"/>
      <c r="AE11" s="2644">
        <f t="shared" ca="1" si="6"/>
        <v>0</v>
      </c>
      <c r="AF11" s="2078"/>
      <c r="AG11" s="2654">
        <f t="shared" si="7"/>
        <v>0</v>
      </c>
      <c r="AH11" s="2078"/>
      <c r="AI11" s="2655"/>
      <c r="AJ11" s="2656"/>
      <c r="AK11" s="2662"/>
      <c r="AL11" s="2663"/>
      <c r="AM11" s="2664"/>
      <c r="AN11" s="2660"/>
      <c r="AO11" s="2651"/>
      <c r="AP11" s="2496">
        <f t="shared" si="8"/>
        <v>0</v>
      </c>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row>
    <row r="12" spans="1:83" s="2481" customFormat="1" ht="14.4">
      <c r="A12" s="2508">
        <f>'数据-汇总表'!C25</f>
        <v>0</v>
      </c>
      <c r="B12" s="2509" t="str">
        <f t="shared" si="1"/>
        <v/>
      </c>
      <c r="C12" s="2510"/>
      <c r="D12" s="2511">
        <f>SUMIF(项目基本情况!D$15:I$15,C12,项目基本情况!D$18:I$18)</f>
        <v>0</v>
      </c>
      <c r="E12" s="2512" t="str">
        <f>IF(B12="","",SUMIF(项目基本情况!D$15:I$15,C12,项目基本情况!D$17:I$17))</f>
        <v/>
      </c>
      <c r="F12" s="2513">
        <f>SUMIF(项目基本情况!D$15:I$15,C12,项目基本情况!D$19:I$19)</f>
        <v>0</v>
      </c>
      <c r="G12" s="2514">
        <f t="shared" si="2"/>
        <v>0</v>
      </c>
      <c r="H12" s="2516"/>
      <c r="I12" s="2516"/>
      <c r="J12" s="2516"/>
      <c r="K12" s="2596">
        <f>SUMIF('数据-汇总表'!C$19:C$33,'数据-取费表'!A12,'数据-汇总表'!E$19:E$33)</f>
        <v>0</v>
      </c>
      <c r="L12" s="2601"/>
      <c r="M12" s="2598">
        <f t="shared" si="0"/>
        <v>0</v>
      </c>
      <c r="N12" s="2602"/>
      <c r="O12" s="2598">
        <f t="shared" si="3"/>
        <v>0</v>
      </c>
      <c r="P12" s="2600">
        <f t="shared" si="4"/>
        <v>0</v>
      </c>
      <c r="Q12" s="2622"/>
      <c r="R12" s="2596">
        <f>SUMIF('数据-汇总表'!C$19:C$33,A12,'数据-汇总表'!R$19:R$33)</f>
        <v>0</v>
      </c>
      <c r="S12" s="2617">
        <f>IF('数据-汇总表'!$I$17="按面积比例",SUMIF('数据-汇总表'!C$19:C$33,A12,'数据-汇总表'!K$19:K$33),SUMIF('数据-汇总表'!C$19:C$33,A12,'数据-汇总表'!N$19:N$33))</f>
        <v>0</v>
      </c>
      <c r="T12" s="2618">
        <f t="shared" si="5"/>
        <v>0</v>
      </c>
      <c r="U12" s="2623"/>
      <c r="V12" s="2516"/>
      <c r="W12" s="2516"/>
      <c r="X12" s="2624"/>
      <c r="Y12" s="2641"/>
      <c r="Z12" s="2645"/>
      <c r="AA12" s="2516"/>
      <c r="AB12" s="2516"/>
      <c r="AC12" s="2624"/>
      <c r="AD12" s="2643"/>
      <c r="AE12" s="2644">
        <f t="shared" ca="1" si="6"/>
        <v>0</v>
      </c>
      <c r="AF12" s="2078"/>
      <c r="AG12" s="2654">
        <f t="shared" si="7"/>
        <v>0</v>
      </c>
      <c r="AH12" s="2078"/>
      <c r="AI12" s="2655"/>
      <c r="AJ12" s="2656"/>
      <c r="AK12" s="2662"/>
      <c r="AL12" s="2663"/>
      <c r="AM12" s="2664"/>
      <c r="AN12" s="2660"/>
      <c r="AO12" s="2651"/>
      <c r="AP12" s="2496">
        <f t="shared" si="8"/>
        <v>0</v>
      </c>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row>
    <row r="13" spans="1:83" s="2481" customFormat="1" ht="14.4">
      <c r="A13" s="2508">
        <f>'数据-汇总表'!C26</f>
        <v>0</v>
      </c>
      <c r="B13" s="2509" t="str">
        <f t="shared" si="1"/>
        <v/>
      </c>
      <c r="C13" s="2510"/>
      <c r="D13" s="2511">
        <f>SUMIF(项目基本情况!D$15:I$15,C13,项目基本情况!D$18:I$18)</f>
        <v>0</v>
      </c>
      <c r="E13" s="2512" t="str">
        <f>IF(B13="","",SUMIF(项目基本情况!D$15:I$15,C13,项目基本情况!D$17:I$17))</f>
        <v/>
      </c>
      <c r="F13" s="2513">
        <f>SUMIF(项目基本情况!D$15:I$15,C13,项目基本情况!D$19:I$19)</f>
        <v>0</v>
      </c>
      <c r="G13" s="2514">
        <f t="shared" si="2"/>
        <v>0</v>
      </c>
      <c r="H13" s="2516"/>
      <c r="I13" s="2516"/>
      <c r="J13" s="2516"/>
      <c r="K13" s="2596">
        <f>SUMIF('数据-汇总表'!C$19:C$33,'数据-取费表'!A13,'数据-汇总表'!E$19:E$33)</f>
        <v>0</v>
      </c>
      <c r="L13" s="2601"/>
      <c r="M13" s="2598">
        <f t="shared" si="0"/>
        <v>0</v>
      </c>
      <c r="N13" s="2602"/>
      <c r="O13" s="2598">
        <f t="shared" si="3"/>
        <v>0</v>
      </c>
      <c r="P13" s="2600">
        <f t="shared" si="4"/>
        <v>0</v>
      </c>
      <c r="Q13" s="2622"/>
      <c r="R13" s="2596">
        <f>SUMIF('数据-汇总表'!C$19:C$33,A13,'数据-汇总表'!R$19:R$33)</f>
        <v>0</v>
      </c>
      <c r="S13" s="2617">
        <f>IF('数据-汇总表'!$I$17="按面积比例",SUMIF('数据-汇总表'!C$19:C$33,A13,'数据-汇总表'!K$19:K$33),SUMIF('数据-汇总表'!C$19:C$33,A13,'数据-汇总表'!N$19:N$33))</f>
        <v>0</v>
      </c>
      <c r="T13" s="2618">
        <f t="shared" si="5"/>
        <v>0</v>
      </c>
      <c r="U13" s="2619"/>
      <c r="V13" s="2620"/>
      <c r="W13" s="2620"/>
      <c r="X13" s="2621"/>
      <c r="Y13" s="2641"/>
      <c r="Z13" s="2642"/>
      <c r="AA13" s="2516"/>
      <c r="AB13" s="2516"/>
      <c r="AC13" s="2624"/>
      <c r="AD13" s="2643"/>
      <c r="AE13" s="2644">
        <f t="shared" ca="1" si="6"/>
        <v>0</v>
      </c>
      <c r="AF13" s="2078"/>
      <c r="AG13" s="2654">
        <f t="shared" si="7"/>
        <v>0</v>
      </c>
      <c r="AH13" s="2078"/>
      <c r="AI13" s="2655"/>
      <c r="AJ13" s="2656"/>
      <c r="AK13" s="2657"/>
      <c r="AL13" s="2658"/>
      <c r="AM13" s="2661"/>
      <c r="AN13" s="2660"/>
      <c r="AO13" s="2651"/>
      <c r="AP13" s="2496">
        <f t="shared" si="8"/>
        <v>0</v>
      </c>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row>
    <row r="14" spans="1:83" s="2481" customFormat="1" ht="13.8">
      <c r="A14" s="2517" t="s">
        <v>483</v>
      </c>
      <c r="B14" s="2518" t="s">
        <v>600</v>
      </c>
      <c r="C14" s="2519" t="s">
        <v>483</v>
      </c>
      <c r="D14" s="2511"/>
      <c r="E14" s="2512"/>
      <c r="F14" s="2513"/>
      <c r="G14" s="2514"/>
      <c r="H14" s="2520"/>
      <c r="I14" s="2520"/>
      <c r="J14" s="2520"/>
      <c r="K14" s="2596">
        <f>SUMIF('数据-汇总表'!C$19:C$33,'数据-取费表'!A14,'数据-汇总表'!E$19:E$33)</f>
        <v>9204.41</v>
      </c>
      <c r="L14" s="2601">
        <v>3500</v>
      </c>
      <c r="M14" s="2598">
        <f t="shared" si="0"/>
        <v>3222</v>
      </c>
      <c r="N14" s="2602">
        <v>0</v>
      </c>
      <c r="O14" s="2598">
        <f t="shared" si="3"/>
        <v>0</v>
      </c>
      <c r="P14" s="2600">
        <f t="shared" si="4"/>
        <v>3222</v>
      </c>
      <c r="Q14" s="2625"/>
      <c r="R14" s="2596"/>
      <c r="S14" s="2617"/>
      <c r="T14" s="2626"/>
      <c r="U14" s="2627"/>
      <c r="V14" s="2628"/>
      <c r="W14" s="2628"/>
      <c r="X14" s="2621"/>
      <c r="Y14" s="2646"/>
      <c r="Z14" s="2647"/>
      <c r="AA14" s="2648"/>
      <c r="AB14" s="2648"/>
      <c r="AC14" s="2624"/>
      <c r="AD14" s="2621"/>
      <c r="AE14" s="2644"/>
      <c r="AF14" s="464"/>
      <c r="AG14" s="2654"/>
      <c r="AH14" s="464"/>
      <c r="AI14" s="463"/>
      <c r="AJ14" s="463"/>
      <c r="AK14" s="2665"/>
      <c r="AL14" s="2666"/>
      <c r="AM14" s="2667"/>
      <c r="AN14" s="2651"/>
      <c r="AO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row>
    <row r="15" spans="1:83" s="2481" customFormat="1" ht="28.8">
      <c r="A15" s="2521" t="s">
        <v>555</v>
      </c>
      <c r="B15" s="2518" t="s">
        <v>600</v>
      </c>
      <c r="C15" s="2519" t="s">
        <v>601</v>
      </c>
      <c r="D15" s="2511"/>
      <c r="E15" s="2512"/>
      <c r="F15" s="2513"/>
      <c r="G15" s="2514"/>
      <c r="H15" s="2520"/>
      <c r="I15" s="2520"/>
      <c r="J15" s="2520"/>
      <c r="K15" s="2596">
        <f>SUMIF('数据-汇总表'!C$19:C$33,'数据-取费表'!A15,'数据-汇总表'!E$19:E$33)</f>
        <v>0</v>
      </c>
      <c r="L15" s="2603"/>
      <c r="M15" s="2598"/>
      <c r="N15" s="2604"/>
      <c r="O15" s="2598"/>
      <c r="P15" s="2600"/>
      <c r="Q15" s="2625"/>
      <c r="R15" s="2596"/>
      <c r="S15" s="2617"/>
      <c r="T15" s="2626"/>
      <c r="U15" s="2627"/>
      <c r="V15" s="2628"/>
      <c r="W15" s="2628"/>
      <c r="X15" s="2621"/>
      <c r="Y15" s="2646"/>
      <c r="Z15" s="2647"/>
      <c r="AA15" s="2648"/>
      <c r="AB15" s="2648"/>
      <c r="AC15" s="2624"/>
      <c r="AD15" s="2621"/>
      <c r="AE15" s="2644"/>
      <c r="AF15" s="464"/>
      <c r="AG15" s="2654"/>
      <c r="AH15" s="464"/>
      <c r="AI15" s="463"/>
      <c r="AJ15" s="463"/>
      <c r="AK15" s="2665"/>
      <c r="AL15" s="2666"/>
      <c r="AM15" s="2667"/>
      <c r="AN15" s="2651"/>
      <c r="AO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row>
    <row r="16" spans="1:83" s="2481" customFormat="1" ht="14.4">
      <c r="A16" s="2522" t="s">
        <v>602</v>
      </c>
      <c r="B16" s="2523"/>
      <c r="C16" s="2524"/>
      <c r="D16" s="2525"/>
      <c r="E16" s="2523"/>
      <c r="F16" s="2523"/>
      <c r="G16" s="2526">
        <f>ROUND(SUMPRODUCT(G6:G13,K6:K13)/SUMPRODUCT((G6:G13&gt;0)*(K6:K13)),3)</f>
        <v>0.97099999999999997</v>
      </c>
      <c r="H16" s="2527">
        <f>ROUND(SUMPRODUCT(H6:H13,K6:K13)/SUMPRODUCT((H6:H13&gt;0)*(K6:K13)),3)</f>
        <v>4.4999999999999998E-2</v>
      </c>
      <c r="I16" s="2605"/>
      <c r="J16" s="2605"/>
      <c r="K16" s="2606">
        <f>SUM(K6:K15)</f>
        <v>124721</v>
      </c>
      <c r="L16" s="2607">
        <f>ROUND(M16*10000/SUM(K6:K14),0)</f>
        <v>5202</v>
      </c>
      <c r="M16" s="2607">
        <f>SUM(M6:M14)</f>
        <v>64875</v>
      </c>
      <c r="N16" s="2608">
        <f>ROUND(SUMPRODUCT(M6:M14,N6:N14)/M16,3)</f>
        <v>0</v>
      </c>
      <c r="O16" s="2607">
        <f>SUM(O6:O14)</f>
        <v>0</v>
      </c>
      <c r="P16" s="2607">
        <f>SUM(P6:P14)</f>
        <v>64875</v>
      </c>
      <c r="Q16" s="2629">
        <f>ROUND(SUMPRODUCT(Q6:Q13,K6:K13)/SUMPRODUCT((Q6:Q13&gt;0)*(K6:K13)),2)</f>
        <v>0.11</v>
      </c>
      <c r="R16" s="2630">
        <f>SUM(R6:R13)</f>
        <v>10309.61</v>
      </c>
      <c r="S16" s="2631">
        <f>SUM(S6:S13)</f>
        <v>9204.41</v>
      </c>
      <c r="T16" s="2632" t="str">
        <f>IF(SUMIF(T6:T13,"&lt;9E307")=M14,SUMIF(T6:T13,"&lt;9E307"),"有误，请检查")</f>
        <v>有误，请检查</v>
      </c>
      <c r="U16" s="2633"/>
      <c r="V16" s="2634"/>
      <c r="W16" s="2634"/>
      <c r="X16" s="2635"/>
      <c r="Y16" s="2649"/>
      <c r="Z16" s="2650"/>
      <c r="AA16" s="2634"/>
      <c r="AB16" s="2634"/>
      <c r="AC16" s="2635"/>
      <c r="AD16" s="2635"/>
      <c r="AE16" s="2633"/>
      <c r="AF16" s="2634"/>
      <c r="AG16" s="2649"/>
      <c r="AH16" s="2634"/>
      <c r="AI16" s="2650"/>
      <c r="AJ16" s="2650"/>
      <c r="AK16" s="2634"/>
      <c r="AL16" s="2634"/>
      <c r="AM16" s="2649"/>
      <c r="AN16" s="2651"/>
      <c r="AO16" s="2651"/>
      <c r="AP16" s="2496">
        <f>ROUND(SUMPRODUCT(AP6:AP13,K6:K13)/SUMPRODUCT((AP6:AP13&gt;0)*(K6:K13)),3)</f>
        <v>0.88100000000000001</v>
      </c>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row>
    <row r="17" spans="1:83">
      <c r="A17" s="2528"/>
      <c r="B17" s="2489"/>
      <c r="C17" s="1045"/>
      <c r="D17" s="2490"/>
      <c r="E17" s="2490"/>
      <c r="F17" s="1045"/>
      <c r="G17" s="1045"/>
      <c r="H17" s="1045"/>
      <c r="I17" s="1045"/>
      <c r="J17" s="1045"/>
      <c r="K17" s="117"/>
      <c r="L17" s="117"/>
      <c r="M17" s="1045"/>
      <c r="N17" s="1045"/>
      <c r="O17" s="1045"/>
      <c r="P17" s="1045"/>
      <c r="Q17" s="1045"/>
      <c r="R17" s="1045"/>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row>
    <row r="18" spans="1:83" ht="14.4">
      <c r="A18" s="2497" t="s">
        <v>603</v>
      </c>
      <c r="B18" s="2496"/>
      <c r="C18" s="2493"/>
      <c r="D18" s="2494"/>
      <c r="E18" s="2493"/>
      <c r="F18" s="2493"/>
      <c r="G18" s="2493"/>
      <c r="H18" s="2493"/>
      <c r="I18" s="2493"/>
      <c r="J18" s="2493"/>
      <c r="K18" s="117"/>
      <c r="L18" s="117"/>
      <c r="M18" s="1045"/>
      <c r="N18" s="1045"/>
      <c r="O18" s="1045"/>
      <c r="P18" s="1045"/>
      <c r="Q18" s="1045"/>
      <c r="R18" s="1045"/>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row>
    <row r="19" spans="1:83" ht="14.4">
      <c r="A19" s="2529" t="s">
        <v>604</v>
      </c>
      <c r="B19" s="2530">
        <v>0</v>
      </c>
      <c r="C19" s="2531" t="s">
        <v>605</v>
      </c>
      <c r="D19" s="2494"/>
      <c r="E19" s="2493"/>
      <c r="F19" s="2493"/>
      <c r="G19" s="2493"/>
      <c r="H19" s="2493"/>
      <c r="I19" s="2493"/>
      <c r="J19" s="2493"/>
      <c r="K19" s="117"/>
      <c r="L19" s="117"/>
      <c r="M19" s="1045"/>
      <c r="N19" s="1045"/>
      <c r="O19" s="1045"/>
      <c r="P19" s="1045"/>
      <c r="Q19" s="1045"/>
      <c r="R19" s="1045"/>
      <c r="S19" s="1045"/>
      <c r="T19" s="1045"/>
      <c r="U19" s="1045"/>
      <c r="V19" s="1045"/>
      <c r="W19" s="1045"/>
      <c r="X19" s="1045"/>
      <c r="Y19" s="1045"/>
      <c r="Z19" s="1045"/>
      <c r="AA19" s="1045"/>
      <c r="AB19" s="1045"/>
      <c r="AC19" s="1045"/>
      <c r="AD19" s="1045"/>
      <c r="AE19" s="1045"/>
      <c r="AF19" s="1045"/>
      <c r="AG19" s="1045"/>
      <c r="AH19" s="1045"/>
      <c r="AI19" s="1045"/>
      <c r="AJ19" s="1045"/>
      <c r="AK19" s="1045"/>
      <c r="AL19" s="1045"/>
      <c r="AM19" s="1045"/>
    </row>
    <row r="20" spans="1:83" ht="14.4">
      <c r="A20" s="2532" t="s">
        <v>606</v>
      </c>
      <c r="B20" s="2533">
        <v>3</v>
      </c>
      <c r="C20" s="2531" t="s">
        <v>607</v>
      </c>
      <c r="D20" s="2494"/>
      <c r="E20" s="2493"/>
      <c r="F20" s="2493"/>
      <c r="G20" s="2493"/>
      <c r="H20" s="2493"/>
      <c r="I20" s="2493"/>
      <c r="J20" s="2493"/>
      <c r="K20" s="117"/>
      <c r="L20" s="117"/>
      <c r="M20" s="1045"/>
      <c r="N20" s="1045"/>
      <c r="O20" s="1045"/>
      <c r="P20" s="1045"/>
      <c r="Q20" s="1045"/>
      <c r="R20" s="1045"/>
      <c r="S20" s="1045"/>
      <c r="T20" s="1045"/>
      <c r="U20" s="1045"/>
      <c r="V20" s="1045"/>
      <c r="W20" s="1045"/>
      <c r="X20" s="1045"/>
      <c r="Y20" s="1045"/>
      <c r="Z20" s="1045"/>
      <c r="AA20" s="1045"/>
      <c r="AB20" s="1045"/>
      <c r="AC20" s="1045"/>
      <c r="AD20" s="1045"/>
      <c r="AE20" s="1045"/>
      <c r="AF20" s="1045"/>
      <c r="AG20" s="1045"/>
      <c r="AH20" s="1045"/>
      <c r="AI20" s="1045"/>
      <c r="AJ20" s="1045"/>
      <c r="AK20" s="1045"/>
      <c r="AL20" s="1045"/>
      <c r="AM20" s="1045"/>
    </row>
    <row r="21" spans="1:83" ht="14.4">
      <c r="A21" s="2534" t="s">
        <v>608</v>
      </c>
      <c r="B21" s="2533">
        <v>0</v>
      </c>
      <c r="C21" s="2493"/>
      <c r="D21" s="2494"/>
      <c r="E21" s="2493"/>
      <c r="F21" s="2493"/>
      <c r="G21" s="2493"/>
      <c r="H21" s="2493"/>
      <c r="I21" s="2493"/>
      <c r="J21" s="2493"/>
      <c r="K21" s="117"/>
      <c r="L21" s="117"/>
      <c r="M21" s="1045"/>
      <c r="N21" s="1045"/>
      <c r="O21" s="1045"/>
      <c r="P21" s="1045"/>
      <c r="Q21" s="1045"/>
      <c r="R21" s="1045"/>
      <c r="S21" s="1045"/>
      <c r="T21" s="1045"/>
      <c r="U21" s="1045"/>
      <c r="V21" s="1045"/>
      <c r="W21" s="1045"/>
      <c r="X21" s="1045"/>
      <c r="Y21" s="1045"/>
      <c r="Z21" s="1045"/>
      <c r="AA21" s="1045"/>
      <c r="AB21" s="1045"/>
      <c r="AC21" s="1045"/>
      <c r="AD21" s="1045"/>
      <c r="AE21" s="1045"/>
      <c r="AF21" s="1045"/>
      <c r="AG21" s="1045"/>
      <c r="AH21" s="1045"/>
      <c r="AI21" s="1045"/>
      <c r="AJ21" s="1045"/>
      <c r="AK21" s="1045"/>
      <c r="AL21" s="1045"/>
      <c r="AM21" s="1045"/>
    </row>
    <row r="22" spans="1:83" ht="14.4">
      <c r="A22" s="2532" t="s">
        <v>609</v>
      </c>
      <c r="B22" s="2535">
        <f>B19+B20</f>
        <v>3</v>
      </c>
      <c r="C22" s="2493"/>
      <c r="D22" s="2494"/>
      <c r="E22" s="2493"/>
      <c r="F22" s="2493"/>
      <c r="G22" s="2493"/>
      <c r="H22" s="2493"/>
      <c r="I22" s="2493"/>
      <c r="J22" s="2493"/>
      <c r="K22" s="117"/>
      <c r="L22" s="117"/>
      <c r="M22" s="1045"/>
      <c r="N22" s="1045"/>
      <c r="O22" s="1045"/>
      <c r="P22" s="1045"/>
      <c r="Q22" s="1045"/>
      <c r="R22" s="1045"/>
      <c r="S22" s="1045"/>
      <c r="T22" s="1045"/>
      <c r="U22" s="1045"/>
      <c r="V22" s="1045"/>
      <c r="W22" s="1045"/>
      <c r="X22" s="1045"/>
      <c r="Y22" s="1045"/>
      <c r="Z22" s="1045"/>
      <c r="AA22" s="1045"/>
      <c r="AB22" s="1045"/>
      <c r="AC22" s="1045"/>
      <c r="AD22" s="1045"/>
      <c r="AE22" s="1045"/>
      <c r="AF22" s="1045"/>
      <c r="AG22" s="1045"/>
      <c r="AH22" s="1045"/>
      <c r="AI22" s="1045"/>
      <c r="AJ22" s="1045"/>
      <c r="AK22" s="1045"/>
      <c r="AL22" s="1045"/>
      <c r="AM22" s="1045"/>
    </row>
    <row r="23" spans="1:83" ht="14.4">
      <c r="A23" s="2534" t="s">
        <v>610</v>
      </c>
      <c r="B23" s="2535">
        <f>B19+B21</f>
        <v>0</v>
      </c>
      <c r="C23" s="2493"/>
      <c r="D23" s="2494"/>
      <c r="E23" s="2493"/>
      <c r="F23" s="2493"/>
      <c r="G23" s="2493"/>
      <c r="H23" s="2493"/>
      <c r="I23" s="2493"/>
      <c r="J23" s="2493"/>
      <c r="K23" s="117"/>
      <c r="L23" s="117"/>
      <c r="M23" s="1045"/>
      <c r="N23" s="1045"/>
      <c r="O23" s="1045"/>
      <c r="P23" s="1045"/>
      <c r="Q23" s="1045"/>
      <c r="R23" s="1045"/>
      <c r="S23" s="1045"/>
      <c r="T23" s="1045"/>
      <c r="U23" s="1045"/>
      <c r="V23" s="1045"/>
      <c r="W23" s="1045"/>
      <c r="X23" s="1045"/>
      <c r="Y23" s="1045"/>
      <c r="Z23" s="1045"/>
      <c r="AA23" s="1045"/>
      <c r="AB23" s="1045"/>
      <c r="AC23" s="1045"/>
      <c r="AD23" s="1045"/>
      <c r="AE23" s="1045"/>
      <c r="AF23" s="1045"/>
      <c r="AG23" s="1045"/>
      <c r="AH23" s="1045"/>
      <c r="AI23" s="1045"/>
      <c r="AJ23" s="1045"/>
      <c r="AK23" s="1045"/>
      <c r="AL23" s="1045"/>
      <c r="AM23" s="1045"/>
    </row>
    <row r="24" spans="1:83" ht="14.4">
      <c r="A24" s="2536" t="s">
        <v>611</v>
      </c>
      <c r="B24" s="2537">
        <f>B20-B21</f>
        <v>3</v>
      </c>
      <c r="C24" s="2493"/>
      <c r="D24" s="2494"/>
      <c r="E24" s="2493"/>
      <c r="F24" s="2493"/>
      <c r="G24" s="2493"/>
      <c r="H24" s="2493"/>
      <c r="I24" s="2493"/>
      <c r="J24" s="2493"/>
      <c r="K24" s="117"/>
      <c r="L24" s="117"/>
      <c r="M24" s="1045"/>
      <c r="N24" s="1045"/>
      <c r="O24" s="1045"/>
      <c r="P24" s="1045"/>
      <c r="Q24" s="1045"/>
      <c r="R24" s="1045"/>
      <c r="S24" s="1045"/>
      <c r="T24" s="1045"/>
      <c r="U24" s="1045"/>
      <c r="V24" s="1045"/>
      <c r="W24" s="1045"/>
      <c r="X24" s="1045"/>
      <c r="Y24" s="1045"/>
      <c r="Z24" s="1045"/>
      <c r="AA24" s="1045"/>
      <c r="AB24" s="1045"/>
      <c r="AC24" s="1045"/>
      <c r="AD24" s="1045"/>
      <c r="AE24" s="1045"/>
      <c r="AF24" s="1045"/>
      <c r="AG24" s="1045"/>
      <c r="AH24" s="1045"/>
      <c r="AI24" s="1045"/>
      <c r="AJ24" s="1045"/>
      <c r="AK24" s="1045"/>
      <c r="AL24" s="1045"/>
      <c r="AM24" s="1045"/>
    </row>
    <row r="25" spans="1:83" ht="13.8">
      <c r="A25" s="2495"/>
      <c r="B25" s="2496"/>
      <c r="C25" s="2493"/>
      <c r="D25" s="2494"/>
      <c r="E25" s="2493"/>
      <c r="F25" s="2493"/>
      <c r="G25" s="2493"/>
      <c r="H25" s="2493"/>
      <c r="I25" s="2493"/>
      <c r="J25" s="2493"/>
      <c r="K25" s="117"/>
      <c r="L25" s="117"/>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5"/>
      <c r="AJ25" s="1045"/>
      <c r="AK25" s="1045"/>
      <c r="AL25" s="1045"/>
      <c r="AM25" s="1045"/>
    </row>
    <row r="26" spans="1:83" ht="14.4">
      <c r="A26" s="2491" t="s">
        <v>612</v>
      </c>
      <c r="B26" s="2538" t="s">
        <v>613</v>
      </c>
      <c r="C26" s="2539" t="s">
        <v>614</v>
      </c>
      <c r="D26" s="2494"/>
      <c r="E26" s="2493"/>
      <c r="F26" s="2493"/>
      <c r="G26" s="2493"/>
      <c r="H26" s="2493"/>
      <c r="I26" s="2493"/>
      <c r="J26" s="2493"/>
      <c r="K26" s="117"/>
      <c r="L26" s="117"/>
      <c r="M26" s="1045"/>
      <c r="N26" s="1045"/>
      <c r="O26" s="1045"/>
      <c r="P26" s="1045"/>
      <c r="Q26" s="1045"/>
      <c r="R26" s="1045"/>
      <c r="S26" s="1045"/>
      <c r="T26" s="1045"/>
      <c r="U26" s="1045"/>
      <c r="V26" s="1045"/>
      <c r="W26" s="1045"/>
      <c r="X26" s="1045"/>
      <c r="Y26" s="1045"/>
      <c r="Z26" s="1045"/>
      <c r="AA26" s="1045"/>
      <c r="AB26" s="1045"/>
      <c r="AC26" s="1045"/>
      <c r="AD26" s="1045"/>
      <c r="AE26" s="1045"/>
      <c r="AF26" s="1045"/>
      <c r="AG26" s="1045"/>
      <c r="AH26" s="1045"/>
      <c r="AI26" s="1045"/>
      <c r="AJ26" s="1045"/>
      <c r="AK26" s="1045"/>
      <c r="AL26" s="1045"/>
      <c r="AM26" s="1045"/>
    </row>
    <row r="27" spans="1:83" s="2483" customFormat="1" ht="28.8">
      <c r="A27" s="2540" t="s">
        <v>615</v>
      </c>
      <c r="B27" s="2541">
        <v>105</v>
      </c>
      <c r="C27" s="2542" t="s">
        <v>616</v>
      </c>
      <c r="D27" s="2543"/>
      <c r="E27" s="456"/>
      <c r="F27" s="456"/>
      <c r="G27" s="2493"/>
      <c r="H27" s="2493"/>
      <c r="I27" s="2493"/>
      <c r="J27" s="2493"/>
      <c r="K27" s="117"/>
      <c r="L27" s="117"/>
      <c r="M27" s="1045"/>
      <c r="N27" s="1045"/>
      <c r="O27" s="1045"/>
      <c r="P27" s="1045"/>
      <c r="Q27" s="1045"/>
      <c r="R27" s="1045"/>
      <c r="S27" s="1045"/>
      <c r="T27" s="1045"/>
      <c r="U27" s="1045"/>
      <c r="V27" s="1045"/>
      <c r="W27" s="1045"/>
      <c r="X27" s="1045"/>
      <c r="Y27" s="1045"/>
      <c r="Z27" s="1045"/>
      <c r="AA27" s="1045"/>
      <c r="AB27" s="1045"/>
      <c r="AC27" s="1045"/>
      <c r="AD27" s="1045"/>
      <c r="AE27" s="1045"/>
      <c r="AF27" s="1045"/>
      <c r="AG27" s="1045"/>
      <c r="AH27" s="1045"/>
      <c r="AI27" s="1045"/>
      <c r="AJ27" s="1045"/>
      <c r="AK27" s="1045"/>
      <c r="AL27" s="1045"/>
      <c r="AM27" s="1045"/>
      <c r="AN27" s="2668"/>
      <c r="AO27" s="2668"/>
      <c r="AP27" s="2668"/>
      <c r="AQ27" s="2668"/>
      <c r="AR27" s="2668"/>
      <c r="AS27" s="2668"/>
      <c r="AT27" s="2668"/>
      <c r="AU27" s="2668"/>
      <c r="AV27" s="2668"/>
      <c r="AW27" s="2668"/>
      <c r="AX27" s="2668"/>
      <c r="AY27" s="2668"/>
      <c r="AZ27" s="2668"/>
      <c r="BA27" s="2668"/>
      <c r="BB27" s="2668"/>
      <c r="BC27" s="2668"/>
      <c r="BD27" s="2668"/>
      <c r="BE27" s="2668"/>
      <c r="BF27" s="2668"/>
      <c r="BG27" s="2668"/>
      <c r="BH27" s="2668"/>
      <c r="BI27" s="2668"/>
      <c r="BJ27" s="2668"/>
      <c r="BK27" s="2668"/>
      <c r="BL27" s="2668"/>
      <c r="BM27" s="2668"/>
      <c r="BN27" s="2668"/>
      <c r="BO27" s="2668"/>
      <c r="BP27" s="2668"/>
      <c r="BQ27" s="2668"/>
      <c r="BR27" s="2668"/>
      <c r="BS27" s="2668"/>
      <c r="BT27" s="2668"/>
      <c r="BU27" s="2668"/>
      <c r="BV27" s="2668"/>
      <c r="BW27" s="2668"/>
      <c r="BX27" s="2668"/>
      <c r="BY27" s="2668"/>
      <c r="BZ27" s="2668"/>
      <c r="CA27" s="2668"/>
      <c r="CB27" s="2668"/>
      <c r="CC27" s="2668"/>
      <c r="CD27" s="2668"/>
      <c r="CE27" s="2668"/>
    </row>
    <row r="28" spans="1:83" s="2483" customFormat="1" ht="28.8">
      <c r="A28" s="2544" t="s">
        <v>617</v>
      </c>
      <c r="B28" s="2545">
        <v>105</v>
      </c>
      <c r="C28" s="2546"/>
      <c r="D28" s="2543"/>
      <c r="E28" s="456"/>
      <c r="F28" s="456"/>
      <c r="G28" s="2493"/>
      <c r="H28" s="2493"/>
      <c r="I28" s="2493"/>
      <c r="J28" s="2493"/>
      <c r="K28" s="117"/>
      <c r="L28" s="117"/>
      <c r="M28" s="1045"/>
      <c r="N28" s="1045"/>
      <c r="O28" s="1045"/>
      <c r="P28" s="1045"/>
      <c r="Q28" s="1045"/>
      <c r="R28" s="1045"/>
      <c r="S28" s="1045"/>
      <c r="T28" s="1045"/>
      <c r="U28" s="1045"/>
      <c r="V28" s="1045"/>
      <c r="W28" s="1045"/>
      <c r="X28" s="1045"/>
      <c r="Y28" s="1045"/>
      <c r="Z28" s="1045"/>
      <c r="AA28" s="1045"/>
      <c r="AB28" s="1045"/>
      <c r="AC28" s="1045"/>
      <c r="AD28" s="1045"/>
      <c r="AE28" s="1045"/>
      <c r="AF28" s="1045"/>
      <c r="AG28" s="1045"/>
      <c r="AH28" s="1045"/>
      <c r="AI28" s="1045"/>
      <c r="AJ28" s="1045"/>
      <c r="AK28" s="1045"/>
      <c r="AL28" s="1045"/>
      <c r="AM28" s="1045"/>
      <c r="AN28" s="2668"/>
      <c r="AO28" s="2668"/>
      <c r="AP28" s="2668"/>
      <c r="AQ28" s="2668"/>
      <c r="AR28" s="2668"/>
      <c r="AS28" s="2668"/>
      <c r="AT28" s="2668"/>
      <c r="AU28" s="2668"/>
      <c r="AV28" s="2668"/>
      <c r="AW28" s="2668"/>
      <c r="AX28" s="2668"/>
      <c r="AY28" s="2668"/>
      <c r="AZ28" s="2668"/>
      <c r="BA28" s="2668"/>
      <c r="BB28" s="2668"/>
      <c r="BC28" s="2668"/>
      <c r="BD28" s="2668"/>
      <c r="BE28" s="2668"/>
      <c r="BF28" s="2668"/>
      <c r="BG28" s="2668"/>
      <c r="BH28" s="2668"/>
      <c r="BI28" s="2668"/>
      <c r="BJ28" s="2668"/>
      <c r="BK28" s="2668"/>
      <c r="BL28" s="2668"/>
      <c r="BM28" s="2668"/>
      <c r="BN28" s="2668"/>
      <c r="BO28" s="2668"/>
      <c r="BP28" s="2668"/>
      <c r="BQ28" s="2668"/>
      <c r="BR28" s="2668"/>
      <c r="BS28" s="2668"/>
      <c r="BT28" s="2668"/>
      <c r="BU28" s="2668"/>
      <c r="BV28" s="2668"/>
      <c r="BW28" s="2668"/>
      <c r="BX28" s="2668"/>
      <c r="BY28" s="2668"/>
      <c r="BZ28" s="2668"/>
      <c r="CA28" s="2668"/>
      <c r="CB28" s="2668"/>
      <c r="CC28" s="2668"/>
      <c r="CD28" s="2668"/>
      <c r="CE28" s="2668"/>
    </row>
    <row r="29" spans="1:83" s="2483" customFormat="1" ht="28.8">
      <c r="A29" s="2547" t="s">
        <v>618</v>
      </c>
      <c r="B29" s="2548"/>
      <c r="C29" s="2549" t="s">
        <v>619</v>
      </c>
      <c r="D29" s="2543"/>
      <c r="E29" s="456"/>
      <c r="F29" s="456"/>
      <c r="G29" s="2493"/>
      <c r="H29" s="2493"/>
      <c r="I29" s="2493"/>
      <c r="J29" s="2493"/>
      <c r="K29" s="117"/>
      <c r="L29" s="117"/>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s="1045"/>
      <c r="AM29" s="1045"/>
      <c r="AN29" s="2668"/>
      <c r="AO29" s="2668"/>
      <c r="AP29" s="2668"/>
      <c r="AQ29" s="2668"/>
      <c r="AR29" s="2668"/>
      <c r="AS29" s="2668"/>
      <c r="AT29" s="2668"/>
      <c r="AU29" s="2668"/>
      <c r="AV29" s="2668"/>
      <c r="AW29" s="2668"/>
      <c r="AX29" s="2668"/>
      <c r="AY29" s="2668"/>
      <c r="AZ29" s="2668"/>
      <c r="BA29" s="2668"/>
      <c r="BB29" s="2668"/>
      <c r="BC29" s="2668"/>
      <c r="BD29" s="2668"/>
      <c r="BE29" s="2668"/>
      <c r="BF29" s="2668"/>
      <c r="BG29" s="2668"/>
      <c r="BH29" s="2668"/>
      <c r="BI29" s="2668"/>
      <c r="BJ29" s="2668"/>
      <c r="BK29" s="2668"/>
      <c r="BL29" s="2668"/>
      <c r="BM29" s="2668"/>
      <c r="BN29" s="2668"/>
      <c r="BO29" s="2668"/>
      <c r="BP29" s="2668"/>
      <c r="BQ29" s="2668"/>
      <c r="BR29" s="2668"/>
      <c r="BS29" s="2668"/>
      <c r="BT29" s="2668"/>
      <c r="BU29" s="2668"/>
      <c r="BV29" s="2668"/>
      <c r="BW29" s="2668"/>
      <c r="BX29" s="2668"/>
      <c r="BY29" s="2668"/>
      <c r="BZ29" s="2668"/>
      <c r="CA29" s="2668"/>
      <c r="CB29" s="2668"/>
      <c r="CC29" s="2668"/>
      <c r="CD29" s="2668"/>
      <c r="CE29" s="2668"/>
    </row>
    <row r="30" spans="1:83" s="2483" customFormat="1" ht="28.8">
      <c r="A30" s="2550" t="s">
        <v>620</v>
      </c>
      <c r="B30" s="2551">
        <v>200</v>
      </c>
      <c r="C30" s="2546"/>
      <c r="D30" s="2543"/>
      <c r="E30" s="456"/>
      <c r="F30" s="456"/>
      <c r="G30" s="2493"/>
      <c r="H30" s="2493"/>
      <c r="I30" s="2493"/>
      <c r="J30" s="2493"/>
      <c r="K30" s="117"/>
      <c r="L30" s="117"/>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c r="AJ30" s="1045"/>
      <c r="AK30" s="1045"/>
      <c r="AL30" s="1045"/>
      <c r="AM30" s="1045"/>
      <c r="AN30" s="2668"/>
      <c r="AO30" s="2668"/>
      <c r="AP30" s="2668"/>
      <c r="AQ30" s="2668"/>
      <c r="AR30" s="2668"/>
      <c r="AS30" s="2668"/>
      <c r="AT30" s="2668"/>
      <c r="AU30" s="2668"/>
      <c r="AV30" s="2668"/>
      <c r="AW30" s="2668"/>
      <c r="AX30" s="2668"/>
      <c r="AY30" s="2668"/>
      <c r="AZ30" s="2668"/>
      <c r="BA30" s="2668"/>
      <c r="BB30" s="2668"/>
      <c r="BC30" s="2668"/>
      <c r="BD30" s="2668"/>
      <c r="BE30" s="2668"/>
      <c r="BF30" s="2668"/>
      <c r="BG30" s="2668"/>
      <c r="BH30" s="2668"/>
      <c r="BI30" s="2668"/>
      <c r="BJ30" s="2668"/>
      <c r="BK30" s="2668"/>
      <c r="BL30" s="2668"/>
      <c r="BM30" s="2668"/>
      <c r="BN30" s="2668"/>
      <c r="BO30" s="2668"/>
      <c r="BP30" s="2668"/>
      <c r="BQ30" s="2668"/>
      <c r="BR30" s="2668"/>
      <c r="BS30" s="2668"/>
      <c r="BT30" s="2668"/>
      <c r="BU30" s="2668"/>
      <c r="BV30" s="2668"/>
      <c r="BW30" s="2668"/>
      <c r="BX30" s="2668"/>
      <c r="BY30" s="2668"/>
      <c r="BZ30" s="2668"/>
      <c r="CA30" s="2668"/>
      <c r="CB30" s="2668"/>
      <c r="CC30" s="2668"/>
      <c r="CD30" s="2668"/>
      <c r="CE30" s="2668"/>
    </row>
    <row r="31" spans="1:83" s="2483" customFormat="1" ht="28.8">
      <c r="A31" s="2544" t="s">
        <v>621</v>
      </c>
      <c r="B31" s="2552">
        <f>B30-B32</f>
        <v>100</v>
      </c>
      <c r="C31" s="2542"/>
      <c r="D31" s="2543"/>
      <c r="E31" s="456"/>
      <c r="F31" s="456"/>
      <c r="G31" s="2493"/>
      <c r="H31" s="2493"/>
      <c r="I31" s="2493"/>
      <c r="J31" s="2493"/>
      <c r="K31" s="117"/>
      <c r="L31" s="117"/>
      <c r="M31" s="1045"/>
      <c r="N31" s="1045"/>
      <c r="O31" s="1045"/>
      <c r="P31" s="1045"/>
      <c r="Q31" s="1045"/>
      <c r="R31" s="1045"/>
      <c r="S31" s="1045"/>
      <c r="T31" s="1045"/>
      <c r="U31" s="1045"/>
      <c r="V31" s="1045"/>
      <c r="W31" s="1045"/>
      <c r="X31" s="1045"/>
      <c r="Y31" s="1045"/>
      <c r="Z31" s="1045"/>
      <c r="AA31" s="1045"/>
      <c r="AB31" s="1045"/>
      <c r="AC31" s="1045"/>
      <c r="AD31" s="1045"/>
      <c r="AE31" s="1045"/>
      <c r="AF31" s="1045"/>
      <c r="AG31" s="1045"/>
      <c r="AH31" s="1045"/>
      <c r="AI31" s="1045"/>
      <c r="AJ31" s="1045"/>
      <c r="AK31" s="1045"/>
      <c r="AL31" s="1045"/>
      <c r="AM31" s="1045"/>
      <c r="AN31" s="2668"/>
      <c r="AO31" s="2668"/>
      <c r="AP31" s="2668"/>
      <c r="AQ31" s="2668"/>
      <c r="AR31" s="2668"/>
      <c r="AS31" s="2668"/>
      <c r="AT31" s="2668"/>
      <c r="AU31" s="2668"/>
      <c r="AV31" s="2668"/>
      <c r="AW31" s="2668"/>
      <c r="AX31" s="2668"/>
      <c r="AY31" s="2668"/>
      <c r="AZ31" s="2668"/>
      <c r="BA31" s="2668"/>
      <c r="BB31" s="2668"/>
      <c r="BC31" s="2668"/>
      <c r="BD31" s="2668"/>
      <c r="BE31" s="2668"/>
      <c r="BF31" s="2668"/>
      <c r="BG31" s="2668"/>
      <c r="BH31" s="2668"/>
      <c r="BI31" s="2668"/>
      <c r="BJ31" s="2668"/>
      <c r="BK31" s="2668"/>
      <c r="BL31" s="2668"/>
      <c r="BM31" s="2668"/>
      <c r="BN31" s="2668"/>
      <c r="BO31" s="2668"/>
      <c r="BP31" s="2668"/>
      <c r="BQ31" s="2668"/>
      <c r="BR31" s="2668"/>
      <c r="BS31" s="2668"/>
      <c r="BT31" s="2668"/>
      <c r="BU31" s="2668"/>
      <c r="BV31" s="2668"/>
      <c r="BW31" s="2668"/>
      <c r="BX31" s="2668"/>
      <c r="BY31" s="2668"/>
      <c r="BZ31" s="2668"/>
      <c r="CA31" s="2668"/>
      <c r="CB31" s="2668"/>
      <c r="CC31" s="2668"/>
      <c r="CD31" s="2668"/>
      <c r="CE31" s="2668"/>
    </row>
    <row r="32" spans="1:83" s="2483" customFormat="1" ht="28.8">
      <c r="A32" s="2553" t="s">
        <v>622</v>
      </c>
      <c r="B32" s="2554">
        <v>100</v>
      </c>
      <c r="C32" s="2546"/>
      <c r="D32" s="2494"/>
      <c r="E32" s="2493"/>
      <c r="F32" s="2493"/>
      <c r="G32" s="2493"/>
      <c r="H32" s="2493"/>
      <c r="I32" s="2493"/>
      <c r="J32" s="2493"/>
      <c r="K32" s="117"/>
      <c r="L32" s="117"/>
      <c r="M32" s="1045"/>
      <c r="N32" s="1045"/>
      <c r="O32" s="1045"/>
      <c r="P32" s="1045"/>
      <c r="Q32" s="1045"/>
      <c r="R32" s="1045"/>
      <c r="S32" s="1045"/>
      <c r="T32" s="1045"/>
      <c r="U32" s="1045"/>
      <c r="V32" s="1045"/>
      <c r="W32" s="1045"/>
      <c r="X32" s="1045"/>
      <c r="Y32" s="1045"/>
      <c r="Z32" s="1045"/>
      <c r="AA32" s="1045"/>
      <c r="AB32" s="1045"/>
      <c r="AC32" s="1045"/>
      <c r="AD32" s="1045"/>
      <c r="AE32" s="1045"/>
      <c r="AF32" s="1045"/>
      <c r="AG32" s="1045"/>
      <c r="AH32" s="1045"/>
      <c r="AI32" s="1045"/>
      <c r="AJ32" s="1045"/>
      <c r="AK32" s="1045"/>
      <c r="AL32" s="1045"/>
      <c r="AM32" s="1045"/>
      <c r="AN32" s="2668"/>
      <c r="AO32" s="2668"/>
      <c r="AP32" s="2668"/>
      <c r="AQ32" s="2668"/>
      <c r="AR32" s="2668"/>
      <c r="AS32" s="2668"/>
      <c r="AT32" s="2668"/>
      <c r="AU32" s="2668"/>
      <c r="AV32" s="2668"/>
      <c r="AW32" s="2668"/>
      <c r="AX32" s="2668"/>
      <c r="AY32" s="2668"/>
      <c r="AZ32" s="2668"/>
      <c r="BA32" s="2668"/>
      <c r="BB32" s="2668"/>
      <c r="BC32" s="2668"/>
      <c r="BD32" s="2668"/>
      <c r="BE32" s="2668"/>
      <c r="BF32" s="2668"/>
      <c r="BG32" s="2668"/>
      <c r="BH32" s="2668"/>
      <c r="BI32" s="2668"/>
      <c r="BJ32" s="2668"/>
      <c r="BK32" s="2668"/>
      <c r="BL32" s="2668"/>
      <c r="BM32" s="2668"/>
      <c r="BN32" s="2668"/>
      <c r="BO32" s="2668"/>
      <c r="BP32" s="2668"/>
      <c r="BQ32" s="2668"/>
      <c r="BR32" s="2668"/>
      <c r="BS32" s="2668"/>
      <c r="BT32" s="2668"/>
      <c r="BU32" s="2668"/>
      <c r="BV32" s="2668"/>
      <c r="BW32" s="2668"/>
      <c r="BX32" s="2668"/>
      <c r="BY32" s="2668"/>
      <c r="BZ32" s="2668"/>
      <c r="CA32" s="2668"/>
      <c r="CB32" s="2668"/>
      <c r="CC32" s="2668"/>
      <c r="CD32" s="2668"/>
      <c r="CE32" s="2668"/>
    </row>
    <row r="33" spans="1:83" s="2483" customFormat="1" ht="14.4">
      <c r="A33" s="2540" t="s">
        <v>623</v>
      </c>
      <c r="B33" s="2555">
        <v>0.03</v>
      </c>
      <c r="C33" s="2556" t="s">
        <v>624</v>
      </c>
      <c r="D33" s="2543"/>
      <c r="E33" s="456"/>
      <c r="F33" s="456"/>
      <c r="G33" s="2493"/>
      <c r="H33" s="2493"/>
      <c r="I33" s="2493"/>
      <c r="J33" s="2493"/>
      <c r="K33" s="117"/>
      <c r="L33" s="117"/>
      <c r="M33" s="1045"/>
      <c r="N33" s="1045"/>
      <c r="O33" s="1045"/>
      <c r="P33" s="1045"/>
      <c r="Q33" s="1045"/>
      <c r="R33" s="1045"/>
      <c r="S33" s="1045"/>
      <c r="T33" s="1045"/>
      <c r="U33" s="1045"/>
      <c r="V33" s="1045"/>
      <c r="W33" s="1045"/>
      <c r="X33" s="1045"/>
      <c r="Y33" s="1045"/>
      <c r="Z33" s="1045"/>
      <c r="AA33" s="1045"/>
      <c r="AB33" s="1045"/>
      <c r="AC33" s="1045"/>
      <c r="AD33" s="1045"/>
      <c r="AE33" s="1045"/>
      <c r="AF33" s="1045"/>
      <c r="AG33" s="1045"/>
      <c r="AH33" s="1045"/>
      <c r="AI33" s="1045"/>
      <c r="AJ33" s="1045"/>
      <c r="AK33" s="1045"/>
      <c r="AL33" s="1045"/>
      <c r="AM33" s="1045"/>
      <c r="AN33" s="2668"/>
      <c r="AO33" s="2668"/>
      <c r="AP33" s="2668"/>
      <c r="AQ33" s="2668"/>
      <c r="AR33" s="2668"/>
      <c r="AS33" s="2668"/>
      <c r="AT33" s="2668"/>
      <c r="AU33" s="2668"/>
      <c r="AV33" s="2668"/>
      <c r="AW33" s="2668"/>
      <c r="AX33" s="2668"/>
      <c r="AY33" s="2668"/>
      <c r="AZ33" s="2668"/>
      <c r="BA33" s="2668"/>
      <c r="BB33" s="2668"/>
      <c r="BC33" s="2668"/>
      <c r="BD33" s="2668"/>
      <c r="BE33" s="2668"/>
      <c r="BF33" s="2668"/>
      <c r="BG33" s="2668"/>
      <c r="BH33" s="2668"/>
      <c r="BI33" s="2668"/>
      <c r="BJ33" s="2668"/>
      <c r="BK33" s="2668"/>
      <c r="BL33" s="2668"/>
      <c r="BM33" s="2668"/>
      <c r="BN33" s="2668"/>
      <c r="BO33" s="2668"/>
      <c r="BP33" s="2668"/>
      <c r="BQ33" s="2668"/>
      <c r="BR33" s="2668"/>
      <c r="BS33" s="2668"/>
      <c r="BT33" s="2668"/>
      <c r="BU33" s="2668"/>
      <c r="BV33" s="2668"/>
      <c r="BW33" s="2668"/>
      <c r="BX33" s="2668"/>
      <c r="BY33" s="2668"/>
      <c r="BZ33" s="2668"/>
      <c r="CA33" s="2668"/>
      <c r="CB33" s="2668"/>
      <c r="CC33" s="2668"/>
      <c r="CD33" s="2668"/>
      <c r="CE33" s="2668"/>
    </row>
    <row r="34" spans="1:83" ht="14.4">
      <c r="A34" s="2544" t="s">
        <v>625</v>
      </c>
      <c r="B34" s="2557">
        <v>0.02</v>
      </c>
      <c r="C34" s="2556" t="s">
        <v>626</v>
      </c>
      <c r="D34" s="2494" t="s">
        <v>627</v>
      </c>
      <c r="E34" s="1045"/>
      <c r="F34" s="2493"/>
      <c r="G34" s="2493"/>
      <c r="H34" s="2493"/>
      <c r="I34" s="2493"/>
      <c r="J34" s="2493"/>
      <c r="K34" s="117"/>
      <c r="L34" s="117"/>
      <c r="M34" s="1045"/>
      <c r="N34" s="1045"/>
      <c r="O34" s="1045"/>
      <c r="P34" s="1045"/>
      <c r="Q34" s="1045"/>
      <c r="R34" s="1045"/>
      <c r="S34" s="1045"/>
      <c r="T34" s="1045"/>
      <c r="U34" s="1045"/>
      <c r="V34" s="1045"/>
      <c r="W34" s="1045"/>
      <c r="X34" s="1045"/>
      <c r="Y34" s="1045"/>
      <c r="Z34" s="1045"/>
      <c r="AA34" s="1045"/>
      <c r="AB34" s="1045"/>
      <c r="AC34" s="1045"/>
      <c r="AD34" s="1045"/>
      <c r="AE34" s="1045"/>
      <c r="AF34" s="1045"/>
      <c r="AG34" s="1045"/>
      <c r="AH34" s="1045"/>
      <c r="AI34" s="1045"/>
      <c r="AJ34" s="1045"/>
      <c r="AK34" s="1045"/>
      <c r="AL34" s="1045"/>
      <c r="AM34" s="1045"/>
    </row>
    <row r="35" spans="1:83" ht="14.4">
      <c r="A35" s="2544" t="s">
        <v>628</v>
      </c>
      <c r="B35" s="2545">
        <v>200</v>
      </c>
      <c r="C35" s="2556" t="s">
        <v>629</v>
      </c>
      <c r="D35" s="2494"/>
      <c r="E35" s="2493"/>
      <c r="F35" s="2493"/>
      <c r="G35" s="2493"/>
      <c r="H35" s="2493"/>
      <c r="I35" s="2493"/>
      <c r="J35" s="2493"/>
      <c r="K35" s="117"/>
      <c r="L35" s="117"/>
      <c r="M35" s="1045"/>
      <c r="N35" s="1045"/>
      <c r="O35" s="1045"/>
      <c r="P35" s="1045"/>
      <c r="Q35" s="1045"/>
      <c r="R35" s="1045"/>
      <c r="S35" s="1045"/>
      <c r="T35" s="1045"/>
      <c r="U35" s="1045"/>
      <c r="V35" s="1045"/>
      <c r="W35" s="1045"/>
      <c r="X35" s="1045"/>
      <c r="Y35" s="1045"/>
      <c r="Z35" s="1045"/>
      <c r="AA35" s="1045"/>
      <c r="AB35" s="1045"/>
      <c r="AC35" s="1045"/>
      <c r="AD35" s="1045"/>
      <c r="AE35" s="1045"/>
      <c r="AF35" s="1045"/>
      <c r="AG35" s="1045"/>
      <c r="AH35" s="1045"/>
      <c r="AI35" s="1045"/>
      <c r="AJ35" s="1045"/>
      <c r="AK35" s="1045"/>
      <c r="AL35" s="1045"/>
      <c r="AM35" s="1045"/>
    </row>
    <row r="36" spans="1:83" ht="14.4">
      <c r="A36" s="2547" t="s">
        <v>630</v>
      </c>
      <c r="B36" s="2558">
        <v>1.4999999999999999E-2</v>
      </c>
      <c r="C36" s="2556" t="s">
        <v>631</v>
      </c>
      <c r="D36" s="2490"/>
      <c r="E36" s="2489"/>
      <c r="F36" s="2493"/>
      <c r="G36" s="2493"/>
      <c r="H36" s="2493"/>
      <c r="I36" s="2493"/>
      <c r="J36" s="2493"/>
      <c r="K36" s="117"/>
      <c r="L36" s="117"/>
      <c r="M36" s="1045"/>
      <c r="N36" s="1045"/>
      <c r="O36" s="1045"/>
      <c r="P36" s="1045"/>
      <c r="Q36" s="1045"/>
      <c r="R36" s="1045"/>
      <c r="S36" s="1045"/>
      <c r="T36" s="1045"/>
      <c r="U36" s="1045"/>
      <c r="V36" s="1045"/>
      <c r="W36" s="1045"/>
      <c r="X36" s="1045"/>
      <c r="Y36" s="1045"/>
      <c r="Z36" s="1045"/>
      <c r="AA36" s="1045"/>
      <c r="AB36" s="1045"/>
      <c r="AC36" s="1045"/>
      <c r="AD36" s="1045"/>
      <c r="AE36" s="1045"/>
      <c r="AF36" s="1045"/>
      <c r="AG36" s="1045"/>
      <c r="AH36" s="1045"/>
      <c r="AI36" s="1045"/>
      <c r="AJ36" s="1045"/>
      <c r="AK36" s="1045"/>
      <c r="AL36" s="1045"/>
      <c r="AM36" s="1045"/>
    </row>
    <row r="37" spans="1:83" ht="14.4">
      <c r="A37" s="2550" t="s">
        <v>632</v>
      </c>
      <c r="B37" s="2559">
        <v>1.4999999999999999E-2</v>
      </c>
      <c r="C37" s="2556" t="s">
        <v>633</v>
      </c>
      <c r="D37" s="2494"/>
      <c r="E37" s="2493"/>
      <c r="F37" s="2493"/>
      <c r="G37" s="2493"/>
      <c r="H37" s="2493"/>
      <c r="I37" s="2493"/>
      <c r="J37" s="2493"/>
      <c r="K37" s="117"/>
      <c r="L37" s="117"/>
      <c r="M37" s="1045"/>
      <c r="N37" s="1045"/>
      <c r="O37" s="1045"/>
      <c r="P37" s="1045"/>
      <c r="Q37" s="1045"/>
      <c r="R37" s="1045"/>
      <c r="S37" s="1045"/>
      <c r="T37" s="1045"/>
      <c r="U37" s="1045"/>
      <c r="V37" s="1045"/>
      <c r="W37" s="1045"/>
      <c r="X37" s="1045"/>
      <c r="Y37" s="1045"/>
      <c r="Z37" s="1045"/>
      <c r="AA37" s="1045"/>
      <c r="AB37" s="1045"/>
      <c r="AC37" s="1045"/>
      <c r="AD37" s="1045"/>
      <c r="AE37" s="1045"/>
      <c r="AF37" s="1045"/>
      <c r="AG37" s="1045"/>
      <c r="AH37" s="1045"/>
      <c r="AI37" s="1045"/>
      <c r="AJ37" s="1045"/>
      <c r="AK37" s="1045"/>
      <c r="AL37" s="1045"/>
      <c r="AM37" s="1045"/>
    </row>
    <row r="38" spans="1:83" ht="14.4">
      <c r="A38" s="2544" t="s">
        <v>634</v>
      </c>
      <c r="B38" s="2557">
        <v>1.4999999999999999E-2</v>
      </c>
      <c r="C38" s="2556" t="s">
        <v>633</v>
      </c>
      <c r="D38" s="2494"/>
      <c r="E38" s="2493"/>
      <c r="F38" s="2493"/>
      <c r="G38" s="2493"/>
      <c r="H38" s="2493"/>
      <c r="I38" s="2493"/>
      <c r="J38" s="2493"/>
      <c r="K38" s="117"/>
      <c r="L38" s="117"/>
      <c r="M38" s="1045"/>
      <c r="N38" s="1045"/>
      <c r="O38" s="1045"/>
      <c r="P38" s="1045"/>
      <c r="Q38" s="1045"/>
      <c r="R38" s="1045"/>
      <c r="S38" s="1045"/>
      <c r="T38" s="1045"/>
      <c r="U38" s="1045"/>
      <c r="V38" s="1045"/>
      <c r="W38" s="1045"/>
      <c r="X38" s="1045"/>
      <c r="Y38" s="1045"/>
      <c r="Z38" s="1045"/>
      <c r="AA38" s="1045"/>
      <c r="AB38" s="1045"/>
      <c r="AC38" s="1045"/>
      <c r="AD38" s="1045"/>
      <c r="AE38" s="1045"/>
      <c r="AF38" s="1045"/>
      <c r="AG38" s="1045"/>
      <c r="AH38" s="1045"/>
      <c r="AI38" s="1045"/>
      <c r="AJ38" s="1045"/>
      <c r="AK38" s="1045"/>
      <c r="AL38" s="1045"/>
      <c r="AM38" s="1045"/>
    </row>
    <row r="39" spans="1:83" ht="14.4">
      <c r="A39" s="2560" t="s">
        <v>635</v>
      </c>
      <c r="B39" s="916">
        <f ca="1">存贷款利率!C4</f>
        <v>1.4999999999999999E-2</v>
      </c>
      <c r="C39" s="2556"/>
      <c r="D39" s="2494"/>
      <c r="E39" s="2493"/>
      <c r="F39" s="2493"/>
      <c r="G39" s="2493"/>
      <c r="H39" s="2493"/>
      <c r="I39" s="2493"/>
      <c r="J39" s="2493"/>
      <c r="K39" s="117"/>
      <c r="L39" s="117"/>
      <c r="M39" s="1045"/>
      <c r="N39" s="1045"/>
      <c r="O39" s="1045"/>
      <c r="P39" s="1045"/>
      <c r="Q39" s="1045"/>
      <c r="R39" s="1045"/>
      <c r="S39" s="1045"/>
      <c r="T39" s="1045"/>
      <c r="U39" s="1045"/>
      <c r="V39" s="1045"/>
      <c r="W39" s="1045"/>
      <c r="X39" s="1045"/>
      <c r="Y39" s="1045"/>
      <c r="Z39" s="1045"/>
      <c r="AA39" s="1045"/>
      <c r="AB39" s="1045"/>
      <c r="AC39" s="1045"/>
      <c r="AD39" s="1045"/>
      <c r="AE39" s="1045"/>
      <c r="AF39" s="1045"/>
      <c r="AG39" s="1045"/>
      <c r="AH39" s="1045"/>
      <c r="AI39" s="1045"/>
      <c r="AJ39" s="1045"/>
      <c r="AK39" s="1045"/>
      <c r="AL39" s="1045"/>
      <c r="AM39" s="1045"/>
    </row>
    <row r="40" spans="1:83" ht="14.4">
      <c r="A40" s="2560" t="s">
        <v>636</v>
      </c>
      <c r="B40" s="2561">
        <f ca="1">存贷款利率!E2</f>
        <v>4.7500000000000001E-2</v>
      </c>
      <c r="C40" s="2556" t="s">
        <v>637</v>
      </c>
      <c r="D40" s="2494"/>
      <c r="E40" s="2493"/>
      <c r="F40" s="2493"/>
      <c r="G40" s="2493"/>
      <c r="H40" s="2493"/>
      <c r="I40" s="2493"/>
      <c r="J40" s="2493"/>
      <c r="K40" s="117"/>
      <c r="L40" s="117"/>
      <c r="M40" s="1045"/>
      <c r="N40" s="1045"/>
      <c r="O40" s="1045"/>
      <c r="P40" s="1045"/>
      <c r="Q40" s="1045"/>
      <c r="R40" s="1045"/>
      <c r="S40" s="1045"/>
      <c r="T40" s="1045"/>
      <c r="U40" s="1045"/>
      <c r="V40" s="1045"/>
      <c r="W40" s="1045"/>
      <c r="X40" s="1045"/>
      <c r="Y40" s="1045"/>
      <c r="Z40" s="1045"/>
      <c r="AA40" s="1045"/>
      <c r="AB40" s="1045"/>
      <c r="AC40" s="1045"/>
      <c r="AD40" s="1045"/>
      <c r="AE40" s="1045"/>
      <c r="AF40" s="1045"/>
      <c r="AG40" s="1045"/>
      <c r="AH40" s="1045"/>
      <c r="AI40" s="1045"/>
      <c r="AJ40" s="1045"/>
      <c r="AK40" s="1045"/>
      <c r="AL40" s="1045"/>
      <c r="AM40" s="1045"/>
    </row>
    <row r="41" spans="1:83" ht="14.4">
      <c r="A41" s="2540" t="s">
        <v>638</v>
      </c>
      <c r="B41" s="2562">
        <f>B42+B43</f>
        <v>5.6000000000000001E-2</v>
      </c>
      <c r="C41" s="2542"/>
      <c r="D41" s="2494"/>
      <c r="E41" s="2493"/>
      <c r="F41" s="2493"/>
      <c r="G41" s="2493"/>
      <c r="H41" s="2493"/>
      <c r="I41" s="2493"/>
      <c r="J41" s="2493"/>
      <c r="K41" s="117"/>
      <c r="L41" s="117"/>
      <c r="M41" s="1045"/>
      <c r="N41" s="1045"/>
      <c r="O41" s="1045"/>
      <c r="P41" s="1045"/>
      <c r="Q41" s="1045"/>
      <c r="R41" s="1045"/>
      <c r="S41" s="1045"/>
      <c r="T41" s="1045"/>
      <c r="U41" s="1045"/>
      <c r="V41" s="1045"/>
      <c r="W41" s="1045"/>
      <c r="X41" s="1045"/>
      <c r="Y41" s="1045"/>
      <c r="Z41" s="1045"/>
      <c r="AA41" s="1045"/>
      <c r="AB41" s="1045"/>
      <c r="AC41" s="1045"/>
      <c r="AD41" s="1045"/>
      <c r="AE41" s="1045"/>
      <c r="AF41" s="1045"/>
      <c r="AG41" s="1045"/>
      <c r="AH41" s="1045"/>
      <c r="AI41" s="1045"/>
      <c r="AJ41" s="1045"/>
      <c r="AK41" s="1045"/>
      <c r="AL41" s="1045"/>
      <c r="AM41" s="1045"/>
    </row>
    <row r="42" spans="1:83" ht="14.4">
      <c r="A42" s="2563" t="s">
        <v>639</v>
      </c>
      <c r="B42" s="2564">
        <v>0.05</v>
      </c>
      <c r="C42" s="2565">
        <f>IF(B2&lt;DATE(2016,5,1),0,B42)</f>
        <v>0.05</v>
      </c>
      <c r="D42" s="2494"/>
      <c r="E42" s="2493"/>
      <c r="F42" s="2493"/>
      <c r="G42" s="2493"/>
      <c r="H42" s="2493"/>
      <c r="I42" s="2493"/>
      <c r="J42" s="2493"/>
      <c r="K42" s="117"/>
      <c r="L42" s="117"/>
      <c r="M42" s="1045"/>
      <c r="N42" s="1045"/>
      <c r="O42" s="1045"/>
      <c r="P42" s="1045"/>
      <c r="Q42" s="1045"/>
      <c r="R42" s="1045"/>
      <c r="S42" s="1045"/>
      <c r="T42" s="1045"/>
      <c r="U42" s="1045"/>
      <c r="V42" s="1045"/>
      <c r="W42" s="1045"/>
      <c r="X42" s="1045"/>
      <c r="Y42" s="1045"/>
      <c r="Z42" s="1045"/>
      <c r="AA42" s="1045"/>
      <c r="AB42" s="1045"/>
      <c r="AC42" s="1045"/>
      <c r="AD42" s="1045"/>
      <c r="AE42" s="1045"/>
      <c r="AF42" s="1045"/>
      <c r="AG42" s="1045"/>
      <c r="AH42" s="1045"/>
      <c r="AI42" s="1045"/>
      <c r="AJ42" s="1045"/>
      <c r="AK42" s="1045"/>
      <c r="AL42" s="1045"/>
      <c r="AM42" s="1045"/>
    </row>
    <row r="43" spans="1:83" ht="14.4">
      <c r="A43" s="2563" t="s">
        <v>640</v>
      </c>
      <c r="B43" s="2566">
        <f>B42*(B44+B45+B46)+B47</f>
        <v>6.000000000000001E-3</v>
      </c>
      <c r="C43" s="2542"/>
      <c r="D43" s="2494"/>
      <c r="E43" s="2493"/>
      <c r="F43" s="2493"/>
      <c r="G43" s="2493"/>
      <c r="H43" s="2493"/>
      <c r="I43" s="2493"/>
      <c r="J43" s="2493"/>
      <c r="K43" s="117"/>
      <c r="L43" s="117"/>
      <c r="M43" s="1045"/>
      <c r="N43" s="1045"/>
      <c r="O43" s="1045"/>
      <c r="P43" s="1045"/>
      <c r="Q43" s="1045"/>
      <c r="R43" s="1045"/>
      <c r="S43" s="1045"/>
      <c r="T43" s="1045"/>
      <c r="U43" s="1045"/>
      <c r="V43" s="1045"/>
      <c r="W43" s="1045"/>
      <c r="X43" s="1045"/>
      <c r="Y43" s="1045"/>
      <c r="Z43" s="1045"/>
      <c r="AA43" s="1045"/>
      <c r="AB43" s="1045"/>
      <c r="AC43" s="1045"/>
      <c r="AD43" s="1045"/>
      <c r="AE43" s="1045"/>
      <c r="AF43" s="1045"/>
      <c r="AG43" s="1045"/>
      <c r="AH43" s="1045"/>
      <c r="AI43" s="1045"/>
      <c r="AJ43" s="1045"/>
      <c r="AK43" s="1045"/>
      <c r="AL43" s="1045"/>
      <c r="AM43" s="1045"/>
    </row>
    <row r="44" spans="1:83" ht="14.4">
      <c r="A44" s="2567" t="s">
        <v>641</v>
      </c>
      <c r="B44" s="2568">
        <v>7.0000000000000007E-2</v>
      </c>
      <c r="C44" s="2556" t="s">
        <v>642</v>
      </c>
      <c r="D44" s="2494"/>
      <c r="E44" s="2493"/>
      <c r="F44" s="2493"/>
      <c r="G44" s="2493"/>
      <c r="H44" s="2493"/>
      <c r="I44" s="2493"/>
      <c r="J44" s="2493"/>
      <c r="K44" s="117"/>
      <c r="L44" s="117"/>
      <c r="M44" s="1045"/>
      <c r="N44" s="1045"/>
      <c r="O44" s="1045"/>
      <c r="P44" s="1045"/>
      <c r="Q44" s="1045"/>
      <c r="R44" s="1045"/>
      <c r="S44" s="1045"/>
      <c r="T44" s="1045"/>
      <c r="U44" s="1045"/>
      <c r="V44" s="1045"/>
      <c r="W44" s="1045"/>
      <c r="X44" s="1045"/>
      <c r="Y44" s="1045"/>
      <c r="Z44" s="1045"/>
      <c r="AA44" s="1045"/>
      <c r="AB44" s="1045"/>
      <c r="AC44" s="1045"/>
      <c r="AD44" s="1045"/>
      <c r="AE44" s="1045"/>
      <c r="AF44" s="1045"/>
      <c r="AG44" s="1045"/>
      <c r="AH44" s="1045"/>
      <c r="AI44" s="1045"/>
      <c r="AJ44" s="1045"/>
      <c r="AK44" s="1045"/>
      <c r="AL44" s="1045"/>
      <c r="AM44" s="1045"/>
    </row>
    <row r="45" spans="1:83" ht="14.4">
      <c r="A45" s="2567" t="s">
        <v>643</v>
      </c>
      <c r="B45" s="2564">
        <v>0.03</v>
      </c>
      <c r="C45" s="2542" t="s">
        <v>644</v>
      </c>
      <c r="D45" s="2494"/>
      <c r="E45" s="2493"/>
      <c r="F45" s="2493"/>
      <c r="G45" s="2493"/>
      <c r="H45" s="2493"/>
      <c r="I45" s="2493"/>
      <c r="J45" s="2493"/>
      <c r="K45" s="117"/>
      <c r="L45" s="117"/>
      <c r="M45" s="1045"/>
      <c r="N45" s="1045"/>
      <c r="O45" s="1045"/>
      <c r="P45" s="1045"/>
      <c r="Q45" s="1045"/>
      <c r="R45" s="1045"/>
      <c r="S45" s="1045"/>
      <c r="T45" s="1045"/>
      <c r="U45" s="1045"/>
      <c r="V45" s="1045"/>
      <c r="W45" s="1045"/>
      <c r="X45" s="1045"/>
      <c r="Y45" s="1045"/>
      <c r="Z45" s="1045"/>
      <c r="AA45" s="1045"/>
      <c r="AB45" s="1045"/>
      <c r="AC45" s="1045"/>
      <c r="AD45" s="1045"/>
      <c r="AE45" s="1045"/>
      <c r="AF45" s="1045"/>
      <c r="AG45" s="1045"/>
      <c r="AH45" s="1045"/>
      <c r="AI45" s="1045"/>
      <c r="AJ45" s="1045"/>
      <c r="AK45" s="1045"/>
      <c r="AL45" s="1045"/>
      <c r="AM45" s="1045"/>
    </row>
    <row r="46" spans="1:83" ht="14.4">
      <c r="A46" s="2567" t="s">
        <v>645</v>
      </c>
      <c r="B46" s="2564">
        <v>0.02</v>
      </c>
      <c r="C46" s="2542" t="s">
        <v>646</v>
      </c>
      <c r="D46" s="2494"/>
      <c r="E46" s="2493"/>
      <c r="F46" s="2493"/>
      <c r="G46" s="2493"/>
      <c r="H46" s="2493"/>
      <c r="I46" s="2493"/>
      <c r="J46" s="2493"/>
      <c r="K46" s="117"/>
      <c r="L46" s="117"/>
      <c r="M46" s="1045"/>
      <c r="N46" s="1045"/>
      <c r="O46" s="1045"/>
      <c r="P46" s="1045"/>
      <c r="Q46" s="1045"/>
      <c r="R46" s="1045"/>
      <c r="S46" s="1045"/>
      <c r="T46" s="1045"/>
      <c r="U46" s="1045"/>
      <c r="V46" s="1045"/>
      <c r="W46" s="1045"/>
      <c r="X46" s="1045"/>
      <c r="Y46" s="1045"/>
      <c r="Z46" s="1045"/>
      <c r="AA46" s="1045"/>
      <c r="AB46" s="1045"/>
      <c r="AC46" s="1045"/>
      <c r="AD46" s="1045"/>
      <c r="AE46" s="1045"/>
      <c r="AF46" s="1045"/>
      <c r="AG46" s="1045"/>
      <c r="AH46" s="1045"/>
      <c r="AI46" s="1045"/>
      <c r="AJ46" s="1045"/>
      <c r="AK46" s="1045"/>
      <c r="AL46" s="1045"/>
      <c r="AM46" s="1045"/>
    </row>
    <row r="47" spans="1:83" ht="14.4">
      <c r="A47" s="2569" t="s">
        <v>647</v>
      </c>
      <c r="B47" s="2570"/>
      <c r="C47" s="2571" t="s">
        <v>648</v>
      </c>
      <c r="D47" s="2494"/>
      <c r="E47" s="2493"/>
      <c r="F47" s="2493"/>
      <c r="G47" s="2493"/>
      <c r="H47" s="2493"/>
      <c r="I47" s="2493"/>
      <c r="J47" s="2493"/>
      <c r="K47" s="117"/>
      <c r="L47" s="117"/>
      <c r="M47" s="1045"/>
      <c r="N47" s="1045"/>
      <c r="O47" s="1045"/>
      <c r="P47" s="1045"/>
      <c r="Q47" s="1045"/>
      <c r="R47" s="1045"/>
      <c r="S47" s="1045"/>
      <c r="T47" s="1045"/>
      <c r="U47" s="1045"/>
      <c r="V47" s="1045"/>
      <c r="W47" s="1045"/>
      <c r="X47" s="1045"/>
      <c r="Y47" s="1045"/>
      <c r="Z47" s="1045"/>
      <c r="AA47" s="1045"/>
      <c r="AB47" s="1045"/>
      <c r="AC47" s="1045"/>
      <c r="AD47" s="1045"/>
      <c r="AE47" s="1045"/>
      <c r="AF47" s="1045"/>
      <c r="AG47" s="1045"/>
      <c r="AH47" s="1045"/>
      <c r="AI47" s="1045"/>
      <c r="AJ47" s="1045"/>
      <c r="AK47" s="1045"/>
      <c r="AL47" s="1045"/>
      <c r="AM47" s="1045"/>
    </row>
    <row r="48" spans="1:83" ht="14.4">
      <c r="A48" s="2572" t="s">
        <v>649</v>
      </c>
      <c r="B48" s="2573">
        <v>0.03</v>
      </c>
      <c r="C48" s="2574" t="s">
        <v>650</v>
      </c>
      <c r="D48" s="2494"/>
      <c r="E48" s="2493"/>
      <c r="F48" s="2493"/>
      <c r="G48" s="2493"/>
      <c r="H48" s="2493"/>
      <c r="I48" s="2493"/>
      <c r="J48" s="2493"/>
      <c r="K48" s="117"/>
      <c r="L48" s="117"/>
      <c r="M48" s="1045"/>
      <c r="N48" s="1045"/>
      <c r="O48" s="1045"/>
      <c r="P48" s="1045"/>
      <c r="Q48" s="1045"/>
      <c r="R48" s="1045"/>
      <c r="S48" s="1045"/>
      <c r="T48" s="1045"/>
      <c r="U48" s="1045"/>
      <c r="V48" s="1045"/>
      <c r="W48" s="1045"/>
      <c r="X48" s="1045"/>
      <c r="Y48" s="1045"/>
      <c r="Z48" s="1045"/>
      <c r="AA48" s="1045"/>
      <c r="AB48" s="1045"/>
      <c r="AC48" s="1045"/>
      <c r="AD48" s="1045"/>
      <c r="AE48" s="1045"/>
      <c r="AF48" s="1045"/>
      <c r="AG48" s="1045"/>
      <c r="AH48" s="1045"/>
      <c r="AI48" s="1045"/>
      <c r="AJ48" s="1045"/>
      <c r="AK48" s="1045"/>
      <c r="AL48" s="1045"/>
      <c r="AM48" s="1045"/>
    </row>
    <row r="49" spans="1:39" ht="14.4">
      <c r="A49" s="2553" t="s">
        <v>651</v>
      </c>
      <c r="B49" s="2564">
        <v>5.0000000000000001E-4</v>
      </c>
      <c r="C49" s="2574" t="s">
        <v>652</v>
      </c>
      <c r="D49" s="2494"/>
      <c r="E49" s="2493"/>
      <c r="F49" s="2493"/>
      <c r="G49" s="2493"/>
      <c r="H49" s="2493"/>
      <c r="I49" s="2493"/>
      <c r="J49" s="2493"/>
      <c r="K49" s="117"/>
      <c r="L49" s="117"/>
      <c r="M49" s="1045"/>
      <c r="N49" s="1045"/>
      <c r="O49" s="1045"/>
      <c r="P49" s="1045"/>
      <c r="Q49" s="1045"/>
      <c r="R49" s="1045"/>
      <c r="S49" s="1045"/>
      <c r="T49" s="1045"/>
      <c r="U49" s="1045"/>
      <c r="V49" s="1045"/>
      <c r="W49" s="1045"/>
      <c r="X49" s="1045"/>
      <c r="Y49" s="1045"/>
      <c r="Z49" s="1045"/>
      <c r="AA49" s="1045"/>
      <c r="AB49" s="1045"/>
      <c r="AC49" s="1045"/>
      <c r="AD49" s="1045"/>
      <c r="AE49" s="1045"/>
      <c r="AF49" s="1045"/>
      <c r="AG49" s="1045"/>
      <c r="AH49" s="1045"/>
      <c r="AI49" s="1045"/>
      <c r="AJ49" s="1045"/>
      <c r="AK49" s="1045"/>
      <c r="AL49" s="1045"/>
      <c r="AM49" s="1045"/>
    </row>
    <row r="50" spans="1:39" ht="14.4">
      <c r="A50" s="2575" t="s">
        <v>653</v>
      </c>
      <c r="B50" s="2576">
        <v>1.2E-2</v>
      </c>
      <c r="C50" s="2546"/>
      <c r="D50" s="2494"/>
      <c r="E50" s="2493"/>
      <c r="F50" s="2493"/>
      <c r="G50" s="2493"/>
      <c r="H50" s="2493"/>
      <c r="I50" s="2493"/>
      <c r="J50" s="2493"/>
      <c r="K50" s="117"/>
      <c r="L50" s="117"/>
      <c r="M50" s="1045"/>
      <c r="N50" s="1045"/>
      <c r="O50" s="1045"/>
      <c r="P50" s="1045"/>
      <c r="Q50" s="1045"/>
      <c r="R50" s="1045"/>
      <c r="S50" s="1045"/>
      <c r="T50" s="1045"/>
      <c r="U50" s="1045"/>
      <c r="V50" s="1045"/>
      <c r="W50" s="1045"/>
      <c r="X50" s="1045"/>
      <c r="Y50" s="1045"/>
      <c r="Z50" s="1045"/>
      <c r="AA50" s="1045"/>
      <c r="AB50" s="1045"/>
      <c r="AC50" s="1045"/>
      <c r="AD50" s="1045"/>
      <c r="AE50" s="1045"/>
      <c r="AF50" s="1045"/>
      <c r="AG50" s="1045"/>
      <c r="AH50" s="1045"/>
      <c r="AI50" s="1045"/>
      <c r="AJ50" s="1045"/>
      <c r="AK50" s="1045"/>
      <c r="AL50" s="1045"/>
      <c r="AM50" s="1045"/>
    </row>
    <row r="51" spans="1:39" ht="14.4">
      <c r="A51" s="2547" t="s">
        <v>654</v>
      </c>
      <c r="B51" s="2577">
        <v>0.12</v>
      </c>
      <c r="C51" s="2546"/>
      <c r="D51" s="2494"/>
      <c r="E51" s="2493"/>
      <c r="F51" s="2493"/>
      <c r="G51" s="2493"/>
      <c r="H51" s="2493"/>
      <c r="I51" s="2493"/>
      <c r="J51" s="2493"/>
      <c r="K51" s="117"/>
      <c r="L51" s="117"/>
      <c r="M51" s="1045"/>
      <c r="N51" s="1045"/>
      <c r="O51" s="1045"/>
      <c r="P51" s="1045"/>
      <c r="Q51" s="1045"/>
      <c r="R51" s="1045"/>
      <c r="S51" s="1045"/>
      <c r="T51" s="1045"/>
      <c r="U51" s="1045"/>
      <c r="V51" s="1045"/>
      <c r="W51" s="1045"/>
      <c r="X51" s="1045"/>
      <c r="Y51" s="1045"/>
      <c r="Z51" s="1045"/>
      <c r="AA51" s="1045"/>
      <c r="AB51" s="1045"/>
      <c r="AC51" s="1045"/>
      <c r="AD51" s="1045"/>
      <c r="AE51" s="1045"/>
      <c r="AF51" s="1045"/>
      <c r="AG51" s="1045"/>
      <c r="AH51" s="1045"/>
      <c r="AI51" s="1045"/>
      <c r="AJ51" s="1045"/>
      <c r="AK51" s="1045"/>
      <c r="AL51" s="1045"/>
      <c r="AM51" s="1045"/>
    </row>
    <row r="52" spans="1:39" ht="14.4">
      <c r="A52" s="2575" t="s">
        <v>655</v>
      </c>
      <c r="B52" s="2578">
        <f>SUMIF(A54:A63,B53,B54:B63)</f>
        <v>5</v>
      </c>
      <c r="C52" s="2546"/>
      <c r="D52" s="2494"/>
      <c r="E52" s="2493"/>
      <c r="F52" s="2493"/>
      <c r="G52" s="2493"/>
      <c r="H52" s="2493"/>
      <c r="I52" s="2493"/>
      <c r="J52" s="2493"/>
      <c r="K52" s="117"/>
      <c r="L52" s="117"/>
      <c r="M52" s="1045"/>
      <c r="N52" s="1045"/>
      <c r="O52" s="1045"/>
      <c r="P52" s="1045"/>
      <c r="Q52" s="1045"/>
      <c r="R52" s="1045"/>
      <c r="S52" s="1045"/>
      <c r="T52" s="1045"/>
      <c r="U52" s="1045"/>
      <c r="V52" s="1045"/>
      <c r="W52" s="1045"/>
      <c r="X52" s="1045"/>
      <c r="Y52" s="1045"/>
      <c r="Z52" s="1045"/>
      <c r="AA52" s="1045"/>
      <c r="AB52" s="1045"/>
      <c r="AC52" s="1045"/>
      <c r="AD52" s="1045"/>
      <c r="AE52" s="1045"/>
      <c r="AF52" s="1045"/>
      <c r="AG52" s="1045"/>
      <c r="AH52" s="1045"/>
      <c r="AI52" s="1045"/>
      <c r="AJ52" s="1045"/>
      <c r="AK52" s="1045"/>
      <c r="AL52" s="1045"/>
      <c r="AM52" s="1045"/>
    </row>
    <row r="53" spans="1:39" ht="28.8">
      <c r="A53" s="2544" t="s">
        <v>656</v>
      </c>
      <c r="B53" s="3172" t="s">
        <v>294</v>
      </c>
      <c r="C53" s="2579" t="s">
        <v>657</v>
      </c>
      <c r="D53" s="2580" t="s">
        <v>658</v>
      </c>
      <c r="E53" s="2493"/>
      <c r="F53" s="2493"/>
      <c r="G53" s="2493"/>
      <c r="H53" s="2493"/>
      <c r="I53" s="2493"/>
      <c r="J53" s="2493"/>
      <c r="K53" s="117"/>
      <c r="L53" s="117"/>
      <c r="M53" s="1045"/>
      <c r="N53" s="1045"/>
      <c r="O53" s="1045"/>
      <c r="P53" s="1045"/>
      <c r="Q53" s="1045"/>
      <c r="R53" s="1045"/>
      <c r="S53" s="1045"/>
      <c r="T53" s="1045"/>
      <c r="U53" s="1045"/>
      <c r="V53" s="1045"/>
      <c r="W53" s="1045"/>
      <c r="X53" s="1045"/>
      <c r="Y53" s="1045"/>
      <c r="Z53" s="1045"/>
      <c r="AA53" s="1045"/>
      <c r="AB53" s="1045"/>
      <c r="AC53" s="1045"/>
      <c r="AD53" s="1045"/>
      <c r="AE53" s="1045"/>
      <c r="AF53" s="1045"/>
      <c r="AG53" s="1045"/>
      <c r="AH53" s="1045"/>
      <c r="AI53" s="1045"/>
      <c r="AJ53" s="1045"/>
      <c r="AK53" s="1045"/>
      <c r="AL53" s="1045"/>
      <c r="AM53" s="1045"/>
    </row>
    <row r="54" spans="1:39" ht="14.4">
      <c r="A54" s="2581" t="s">
        <v>242</v>
      </c>
      <c r="B54" s="2582"/>
      <c r="C54" s="456">
        <v>30</v>
      </c>
      <c r="D54" s="2583"/>
      <c r="E54" s="2493"/>
      <c r="F54" s="2493"/>
      <c r="G54" s="2493"/>
      <c r="H54" s="2493"/>
      <c r="I54" s="2493"/>
      <c r="J54" s="2493"/>
      <c r="K54" s="117"/>
      <c r="L54" s="117"/>
      <c r="M54" s="1045"/>
      <c r="N54" s="1045"/>
      <c r="O54" s="1045"/>
      <c r="P54" s="1045"/>
      <c r="Q54" s="1045"/>
      <c r="R54" s="1045"/>
      <c r="S54" s="1045"/>
      <c r="T54" s="1045"/>
      <c r="U54" s="1045"/>
      <c r="V54" s="1045"/>
      <c r="W54" s="1045"/>
      <c r="X54" s="1045"/>
      <c r="Y54" s="1045"/>
      <c r="Z54" s="1045"/>
      <c r="AA54" s="1045"/>
      <c r="AB54" s="1045"/>
      <c r="AC54" s="1045"/>
      <c r="AD54" s="1045"/>
      <c r="AE54" s="1045"/>
      <c r="AF54" s="1045"/>
      <c r="AG54" s="1045"/>
      <c r="AH54" s="1045"/>
      <c r="AI54" s="1045"/>
      <c r="AJ54" s="1045"/>
      <c r="AK54" s="1045"/>
      <c r="AL54" s="1045"/>
      <c r="AM54" s="1045"/>
    </row>
    <row r="55" spans="1:39" ht="14.4">
      <c r="A55" s="2581" t="s">
        <v>255</v>
      </c>
      <c r="B55" s="2582"/>
      <c r="C55" s="456">
        <v>24</v>
      </c>
      <c r="D55" s="2583"/>
      <c r="E55" s="2493"/>
      <c r="F55" s="2493"/>
      <c r="G55" s="2493"/>
      <c r="H55" s="2493"/>
      <c r="I55" s="2609"/>
      <c r="J55" s="2493"/>
      <c r="K55" s="117"/>
      <c r="L55" s="117"/>
      <c r="M55" s="1045"/>
      <c r="N55" s="1045"/>
      <c r="O55" s="1045"/>
      <c r="P55" s="1045"/>
      <c r="Q55" s="1045"/>
      <c r="R55" s="1045"/>
      <c r="S55" s="1045"/>
      <c r="T55" s="1045"/>
      <c r="U55" s="1045"/>
      <c r="V55" s="1045"/>
      <c r="W55" s="1045"/>
      <c r="X55" s="1045"/>
      <c r="Y55" s="1045"/>
      <c r="Z55" s="1045"/>
      <c r="AA55" s="1045"/>
      <c r="AB55" s="1045"/>
      <c r="AC55" s="1045"/>
      <c r="AD55" s="1045"/>
      <c r="AE55" s="1045"/>
      <c r="AF55" s="1045"/>
      <c r="AG55" s="1045"/>
      <c r="AH55" s="1045"/>
      <c r="AI55" s="1045"/>
      <c r="AJ55" s="1045"/>
      <c r="AK55" s="1045"/>
      <c r="AL55" s="1045"/>
      <c r="AM55" s="1045"/>
    </row>
    <row r="56" spans="1:39" ht="14.4">
      <c r="A56" s="2581" t="s">
        <v>267</v>
      </c>
      <c r="B56" s="2582"/>
      <c r="C56" s="456">
        <v>18</v>
      </c>
      <c r="D56" s="2583"/>
      <c r="E56" s="2493"/>
      <c r="F56" s="2493"/>
      <c r="G56" s="2493"/>
      <c r="H56" s="2493"/>
      <c r="I56" s="2493"/>
      <c r="J56" s="2493"/>
      <c r="K56" s="117"/>
      <c r="L56" s="117"/>
      <c r="M56" s="1045"/>
      <c r="N56" s="1045"/>
      <c r="O56" s="1045"/>
      <c r="P56" s="1045"/>
      <c r="Q56" s="1045"/>
      <c r="R56" s="1045"/>
      <c r="S56" s="1045"/>
      <c r="T56" s="1045"/>
      <c r="U56" s="1045"/>
      <c r="V56" s="1045"/>
      <c r="W56" s="1045"/>
      <c r="X56" s="1045"/>
      <c r="Y56" s="1045"/>
      <c r="Z56" s="1045"/>
      <c r="AA56" s="1045"/>
      <c r="AB56" s="1045"/>
      <c r="AC56" s="1045"/>
      <c r="AD56" s="1045"/>
      <c r="AE56" s="1045"/>
      <c r="AF56" s="1045"/>
      <c r="AG56" s="1045"/>
      <c r="AH56" s="1045"/>
      <c r="AI56" s="1045"/>
      <c r="AJ56" s="1045"/>
      <c r="AK56" s="1045"/>
      <c r="AL56" s="1045"/>
      <c r="AM56" s="1045"/>
    </row>
    <row r="57" spans="1:39" ht="14.4">
      <c r="A57" s="2581" t="s">
        <v>277</v>
      </c>
      <c r="B57" s="2582"/>
      <c r="C57" s="456">
        <v>12</v>
      </c>
      <c r="D57" s="2583"/>
      <c r="E57" s="2493"/>
      <c r="F57" s="2493"/>
      <c r="G57" s="2493"/>
      <c r="H57" s="2493"/>
      <c r="I57" s="2493"/>
      <c r="J57" s="2493"/>
      <c r="K57" s="117"/>
      <c r="L57" s="117"/>
      <c r="M57" s="1045"/>
      <c r="N57" s="1045"/>
      <c r="O57" s="1045"/>
      <c r="P57" s="1045"/>
      <c r="Q57" s="1045"/>
      <c r="R57" s="1045"/>
      <c r="S57" s="1045"/>
      <c r="T57" s="1045"/>
      <c r="U57" s="1045"/>
      <c r="V57" s="1045"/>
      <c r="W57" s="1045"/>
      <c r="X57" s="1045"/>
      <c r="Y57" s="1045"/>
      <c r="Z57" s="1045"/>
      <c r="AA57" s="1045"/>
      <c r="AB57" s="1045"/>
      <c r="AC57" s="1045"/>
      <c r="AD57" s="1045"/>
      <c r="AE57" s="1045"/>
      <c r="AF57" s="1045"/>
      <c r="AG57" s="1045"/>
      <c r="AH57" s="1045"/>
      <c r="AI57" s="1045"/>
      <c r="AJ57" s="1045"/>
      <c r="AK57" s="1045"/>
      <c r="AL57" s="1045"/>
      <c r="AM57" s="1045"/>
    </row>
    <row r="58" spans="1:39" ht="14.4">
      <c r="A58" s="2581" t="s">
        <v>286</v>
      </c>
      <c r="B58" s="2582"/>
      <c r="C58" s="456">
        <v>3</v>
      </c>
      <c r="D58" s="2583"/>
      <c r="E58" s="2493"/>
      <c r="F58" s="2493"/>
      <c r="G58" s="2493"/>
      <c r="H58" s="2493"/>
      <c r="I58" s="2493"/>
      <c r="J58" s="2493"/>
      <c r="K58" s="117"/>
      <c r="L58" s="117"/>
      <c r="M58" s="1045"/>
      <c r="N58" s="1045"/>
      <c r="O58" s="1045"/>
      <c r="P58" s="1045"/>
      <c r="Q58" s="1045"/>
      <c r="R58" s="1045"/>
      <c r="S58" s="1045"/>
      <c r="T58" s="1045"/>
      <c r="U58" s="1045"/>
      <c r="V58" s="1045"/>
      <c r="W58" s="1045"/>
      <c r="X58" s="1045"/>
      <c r="Y58" s="1045"/>
      <c r="Z58" s="1045"/>
      <c r="AA58" s="1045"/>
      <c r="AB58" s="1045"/>
      <c r="AC58" s="1045"/>
      <c r="AD58" s="1045"/>
      <c r="AE58" s="1045"/>
      <c r="AF58" s="1045"/>
      <c r="AG58" s="1045"/>
      <c r="AH58" s="1045"/>
      <c r="AI58" s="1045"/>
      <c r="AJ58" s="1045"/>
      <c r="AK58" s="1045"/>
      <c r="AL58" s="1045"/>
      <c r="AM58" s="1045"/>
    </row>
    <row r="59" spans="1:39" ht="14.4">
      <c r="A59" s="2581" t="s">
        <v>294</v>
      </c>
      <c r="B59" s="2582">
        <v>5</v>
      </c>
      <c r="C59" s="456">
        <v>1.5</v>
      </c>
      <c r="D59" s="2583"/>
      <c r="E59" s="2493"/>
      <c r="F59" s="2493"/>
      <c r="G59" s="2493"/>
      <c r="H59" s="2493"/>
      <c r="I59" s="2493"/>
      <c r="J59" s="2493"/>
      <c r="K59" s="117"/>
      <c r="L59" s="117"/>
      <c r="M59" s="1045"/>
      <c r="N59" s="1045"/>
      <c r="O59" s="1045"/>
      <c r="P59" s="1045"/>
      <c r="Q59" s="1045"/>
      <c r="R59" s="1045"/>
      <c r="S59" s="1045"/>
      <c r="T59" s="1045"/>
      <c r="U59" s="1045"/>
      <c r="V59" s="1045"/>
      <c r="W59" s="1045"/>
      <c r="X59" s="1045"/>
      <c r="Y59" s="1045"/>
      <c r="Z59" s="1045"/>
      <c r="AA59" s="1045"/>
      <c r="AB59" s="1045"/>
      <c r="AC59" s="1045"/>
      <c r="AD59" s="1045"/>
      <c r="AE59" s="1045"/>
      <c r="AF59" s="1045"/>
      <c r="AG59" s="1045"/>
      <c r="AH59" s="1045"/>
      <c r="AI59" s="1045"/>
      <c r="AJ59" s="1045"/>
      <c r="AK59" s="1045"/>
      <c r="AL59" s="1045"/>
      <c r="AM59" s="1045"/>
    </row>
    <row r="60" spans="1:39" ht="14.4">
      <c r="A60" s="2581" t="s">
        <v>299</v>
      </c>
      <c r="B60" s="2582"/>
      <c r="C60" s="2493"/>
      <c r="D60" s="2494"/>
      <c r="E60" s="2493"/>
      <c r="F60" s="2493"/>
      <c r="G60" s="2493"/>
      <c r="H60" s="2493"/>
      <c r="I60" s="2493"/>
      <c r="J60" s="2493"/>
      <c r="K60" s="117"/>
      <c r="L60" s="117"/>
      <c r="M60" s="1045"/>
      <c r="N60" s="1045"/>
      <c r="O60" s="1045"/>
      <c r="P60" s="1045"/>
      <c r="Q60" s="1045"/>
      <c r="R60" s="1045"/>
      <c r="S60" s="1045"/>
      <c r="T60" s="1045"/>
      <c r="U60" s="1045"/>
      <c r="V60" s="1045"/>
      <c r="W60" s="1045"/>
      <c r="X60" s="1045"/>
      <c r="Y60" s="1045"/>
      <c r="Z60" s="1045"/>
      <c r="AA60" s="1045"/>
      <c r="AB60" s="1045"/>
      <c r="AC60" s="1045"/>
      <c r="AD60" s="1045"/>
      <c r="AE60" s="1045"/>
      <c r="AF60" s="1045"/>
      <c r="AG60" s="1045"/>
      <c r="AH60" s="1045"/>
      <c r="AI60" s="1045"/>
      <c r="AJ60" s="1045"/>
      <c r="AK60" s="1045"/>
      <c r="AL60" s="1045"/>
      <c r="AM60" s="1045"/>
    </row>
    <row r="61" spans="1:39" ht="14.4">
      <c r="A61" s="2581" t="s">
        <v>304</v>
      </c>
      <c r="B61" s="2582"/>
      <c r="C61" s="2493"/>
      <c r="D61" s="2494"/>
      <c r="E61" s="2493"/>
      <c r="F61" s="2493"/>
      <c r="G61" s="2493"/>
      <c r="H61" s="2493"/>
      <c r="I61" s="2493"/>
      <c r="J61" s="2493"/>
      <c r="K61" s="117"/>
      <c r="L61" s="117"/>
      <c r="M61" s="1045"/>
      <c r="N61" s="1045"/>
      <c r="O61" s="1045"/>
      <c r="P61" s="1045"/>
      <c r="Q61" s="1045"/>
      <c r="R61" s="1045"/>
      <c r="S61" s="1045"/>
      <c r="T61" s="1045"/>
      <c r="U61" s="1045"/>
      <c r="V61" s="1045"/>
      <c r="W61" s="1045"/>
      <c r="X61" s="1045"/>
      <c r="Y61" s="1045"/>
      <c r="Z61" s="1045"/>
      <c r="AA61" s="1045"/>
      <c r="AB61" s="1045"/>
      <c r="AC61" s="1045"/>
      <c r="AD61" s="1045"/>
      <c r="AE61" s="1045"/>
      <c r="AF61" s="1045"/>
      <c r="AG61" s="1045"/>
      <c r="AH61" s="1045"/>
      <c r="AI61" s="1045"/>
      <c r="AJ61" s="1045"/>
      <c r="AK61" s="1045"/>
      <c r="AL61" s="1045"/>
      <c r="AM61" s="1045"/>
    </row>
    <row r="62" spans="1:39" ht="14.4">
      <c r="A62" s="2581" t="s">
        <v>307</v>
      </c>
      <c r="B62" s="2582"/>
      <c r="C62" s="2493"/>
      <c r="D62" s="2494"/>
      <c r="E62" s="2493"/>
      <c r="F62" s="2493"/>
      <c r="G62" s="2493"/>
      <c r="H62" s="2493"/>
      <c r="I62" s="2493"/>
      <c r="J62" s="2493"/>
      <c r="K62" s="117"/>
      <c r="L62" s="117"/>
      <c r="M62" s="1045"/>
      <c r="N62" s="1045"/>
      <c r="O62" s="1045"/>
      <c r="P62" s="1045"/>
      <c r="Q62" s="1045"/>
      <c r="R62" s="1045"/>
      <c r="S62" s="1045"/>
      <c r="T62" s="1045"/>
      <c r="U62" s="1045"/>
      <c r="V62" s="1045"/>
      <c r="W62" s="1045"/>
      <c r="X62" s="1045"/>
      <c r="Y62" s="1045"/>
      <c r="Z62" s="1045"/>
      <c r="AA62" s="1045"/>
      <c r="AB62" s="1045"/>
      <c r="AC62" s="1045"/>
      <c r="AD62" s="1045"/>
      <c r="AE62" s="1045"/>
      <c r="AF62" s="1045"/>
      <c r="AG62" s="1045"/>
      <c r="AH62" s="1045"/>
      <c r="AI62" s="1045"/>
      <c r="AJ62" s="1045"/>
      <c r="AK62" s="1045"/>
      <c r="AL62" s="1045"/>
      <c r="AM62" s="1045"/>
    </row>
    <row r="63" spans="1:39" ht="14.4">
      <c r="A63" s="2584" t="s">
        <v>310</v>
      </c>
      <c r="B63" s="2585"/>
      <c r="C63" s="2493"/>
      <c r="D63" s="2494"/>
      <c r="E63" s="2493"/>
      <c r="F63" s="2493"/>
      <c r="G63" s="2493"/>
      <c r="H63" s="2493"/>
      <c r="I63" s="2493"/>
      <c r="J63" s="2493"/>
      <c r="K63" s="117"/>
      <c r="L63" s="117"/>
      <c r="M63" s="1045"/>
      <c r="N63" s="1045"/>
      <c r="O63" s="1045"/>
      <c r="P63" s="1045"/>
      <c r="Q63" s="1045"/>
      <c r="R63" s="1045"/>
      <c r="S63" s="1045"/>
      <c r="T63" s="1045"/>
      <c r="U63" s="1045"/>
      <c r="V63" s="1045"/>
      <c r="W63" s="1045"/>
      <c r="X63" s="1045"/>
      <c r="Y63" s="1045"/>
      <c r="Z63" s="1045"/>
      <c r="AA63" s="1045"/>
      <c r="AB63" s="1045"/>
      <c r="AC63" s="1045"/>
      <c r="AD63" s="1045"/>
      <c r="AE63" s="1045"/>
      <c r="AF63" s="1045"/>
      <c r="AG63" s="1045"/>
      <c r="AH63" s="1045"/>
      <c r="AI63" s="1045"/>
      <c r="AJ63" s="1045"/>
      <c r="AK63" s="1045"/>
      <c r="AL63" s="1045"/>
      <c r="AM63" s="1045"/>
    </row>
    <row r="64" spans="1:39" s="2484" customFormat="1">
      <c r="A64" s="2178"/>
      <c r="D64" s="2586"/>
      <c r="K64" s="187"/>
      <c r="L64" s="187"/>
    </row>
    <row r="65" spans="1:12" s="2484" customFormat="1">
      <c r="A65" s="2178"/>
      <c r="D65" s="2586"/>
      <c r="K65" s="187"/>
      <c r="L65" s="187"/>
    </row>
    <row r="66" spans="1:12" s="2484" customFormat="1">
      <c r="A66" s="2178"/>
      <c r="D66" s="2586"/>
      <c r="K66" s="187"/>
      <c r="L66" s="187"/>
    </row>
    <row r="67" spans="1:12" s="2484" customFormat="1">
      <c r="A67" s="2178"/>
      <c r="D67" s="2586"/>
      <c r="K67" s="187"/>
      <c r="L67" s="187"/>
    </row>
    <row r="68" spans="1:12" s="2484" customFormat="1">
      <c r="A68" s="2178"/>
      <c r="D68" s="2586"/>
      <c r="K68" s="187"/>
      <c r="L68" s="187"/>
    </row>
    <row r="69" spans="1:12" s="2484" customFormat="1">
      <c r="A69" s="2178"/>
      <c r="D69" s="2586"/>
      <c r="K69" s="187"/>
      <c r="L69" s="187"/>
    </row>
    <row r="70" spans="1:12" s="2484" customFormat="1">
      <c r="A70" s="2178"/>
      <c r="D70" s="2586"/>
      <c r="K70" s="187"/>
      <c r="L70" s="187"/>
    </row>
    <row r="71" spans="1:12" s="2484" customFormat="1">
      <c r="A71" s="2178"/>
      <c r="D71" s="2586"/>
      <c r="K71" s="187"/>
      <c r="L71" s="187"/>
    </row>
    <row r="72" spans="1:12" s="2484" customFormat="1">
      <c r="A72" s="2178"/>
      <c r="D72" s="2586"/>
      <c r="K72" s="187"/>
      <c r="L72" s="187"/>
    </row>
    <row r="73" spans="1:12" s="2484" customFormat="1">
      <c r="A73" s="2178"/>
      <c r="D73" s="2586"/>
      <c r="K73" s="187"/>
      <c r="L73" s="187"/>
    </row>
    <row r="74" spans="1:12" s="2484" customFormat="1">
      <c r="A74" s="2178"/>
      <c r="D74" s="2586"/>
      <c r="K74" s="187"/>
      <c r="L74" s="187"/>
    </row>
    <row r="75" spans="1:12" s="2484" customFormat="1">
      <c r="A75" s="2178"/>
      <c r="D75" s="2586"/>
      <c r="K75" s="187"/>
      <c r="L75" s="187"/>
    </row>
    <row r="76" spans="1:12" s="2484" customFormat="1">
      <c r="A76" s="2178"/>
      <c r="D76" s="2586"/>
      <c r="K76" s="187"/>
      <c r="L76" s="187"/>
    </row>
    <row r="77" spans="1:12" s="2484" customFormat="1">
      <c r="A77" s="2178"/>
      <c r="D77" s="2586"/>
      <c r="K77" s="187"/>
      <c r="L77" s="187"/>
    </row>
    <row r="78" spans="1:12" s="2484" customFormat="1">
      <c r="A78" s="2178"/>
      <c r="D78" s="2586"/>
      <c r="K78" s="187"/>
      <c r="L78" s="187"/>
    </row>
    <row r="79" spans="1:12" s="2484" customFormat="1">
      <c r="A79" s="2178"/>
      <c r="D79" s="2586"/>
      <c r="K79" s="187"/>
      <c r="L79" s="187"/>
    </row>
    <row r="80" spans="1:12" s="2484" customFormat="1">
      <c r="A80" s="2178"/>
      <c r="D80" s="2586"/>
      <c r="K80" s="187"/>
      <c r="L80" s="187"/>
    </row>
    <row r="81" spans="1:12" s="2484" customFormat="1">
      <c r="A81" s="2178"/>
      <c r="D81" s="2586"/>
      <c r="K81" s="187"/>
      <c r="L81" s="187"/>
    </row>
    <row r="82" spans="1:12" s="2484" customFormat="1">
      <c r="A82" s="2178"/>
      <c r="D82" s="2586"/>
      <c r="K82" s="187"/>
      <c r="L82" s="187"/>
    </row>
    <row r="83" spans="1:12" s="2484" customFormat="1">
      <c r="A83" s="2178"/>
      <c r="D83" s="2586"/>
      <c r="K83" s="187"/>
      <c r="L83" s="187"/>
    </row>
    <row r="84" spans="1:12" s="2484" customFormat="1">
      <c r="A84" s="2178"/>
      <c r="D84" s="2586"/>
      <c r="K84" s="187"/>
      <c r="L84" s="187"/>
    </row>
    <row r="85" spans="1:12" s="2484" customFormat="1">
      <c r="A85" s="2178"/>
      <c r="D85" s="2586"/>
      <c r="K85" s="187"/>
      <c r="L85" s="187"/>
    </row>
    <row r="86" spans="1:12" s="2484" customFormat="1">
      <c r="A86" s="2178"/>
      <c r="D86" s="2586"/>
      <c r="K86" s="187"/>
      <c r="L86" s="187"/>
    </row>
    <row r="87" spans="1:12" s="2484" customFormat="1">
      <c r="A87" s="2178"/>
      <c r="D87" s="2586"/>
      <c r="K87" s="187"/>
      <c r="L87" s="187"/>
    </row>
    <row r="88" spans="1:12" s="2484" customFormat="1">
      <c r="A88" s="2178"/>
      <c r="D88" s="2586"/>
      <c r="K88" s="187"/>
      <c r="L88" s="187"/>
    </row>
    <row r="89" spans="1:12" s="2484" customFormat="1">
      <c r="A89" s="2178"/>
      <c r="D89" s="2586"/>
      <c r="K89" s="187"/>
      <c r="L89" s="187"/>
    </row>
    <row r="90" spans="1:12" s="2484" customFormat="1">
      <c r="A90" s="2178"/>
      <c r="D90" s="2586"/>
      <c r="K90" s="187"/>
      <c r="L90" s="187"/>
    </row>
    <row r="91" spans="1:12" s="2484" customFormat="1">
      <c r="A91" s="2178"/>
      <c r="D91" s="2586"/>
      <c r="K91" s="187"/>
      <c r="L91" s="187"/>
    </row>
    <row r="92" spans="1:12" s="2484" customFormat="1">
      <c r="A92" s="2178"/>
      <c r="D92" s="2586"/>
      <c r="K92" s="187"/>
      <c r="L92" s="187"/>
    </row>
    <row r="93" spans="1:12" s="2484" customFormat="1">
      <c r="A93" s="2178"/>
      <c r="D93" s="2586"/>
      <c r="K93" s="187"/>
      <c r="L93" s="187"/>
    </row>
    <row r="94" spans="1:12" s="2484" customFormat="1">
      <c r="A94" s="2178"/>
      <c r="D94" s="2586"/>
      <c r="K94" s="187"/>
      <c r="L94" s="187"/>
    </row>
    <row r="95" spans="1:12" s="2484" customFormat="1">
      <c r="A95" s="2178"/>
      <c r="D95" s="2586"/>
      <c r="K95" s="187"/>
      <c r="L95" s="187"/>
    </row>
    <row r="96" spans="1:12" s="2484" customFormat="1">
      <c r="A96" s="2178"/>
      <c r="D96" s="2586"/>
      <c r="K96" s="187"/>
      <c r="L96" s="187"/>
    </row>
    <row r="97" spans="1:12" s="2484" customFormat="1">
      <c r="A97" s="2178"/>
      <c r="D97" s="2586"/>
      <c r="K97" s="187"/>
      <c r="L97" s="187"/>
    </row>
    <row r="98" spans="1:12" s="2484" customFormat="1">
      <c r="A98" s="2178"/>
      <c r="D98" s="2586"/>
      <c r="K98" s="187"/>
      <c r="L98" s="187"/>
    </row>
    <row r="99" spans="1:12" s="2484" customFormat="1">
      <c r="A99" s="2178"/>
      <c r="D99" s="2586"/>
      <c r="K99" s="187"/>
      <c r="L99" s="187"/>
    </row>
    <row r="100" spans="1:12" s="2484" customFormat="1">
      <c r="A100" s="2178"/>
      <c r="D100" s="2586"/>
      <c r="K100" s="187"/>
      <c r="L100" s="187"/>
    </row>
    <row r="101" spans="1:12" s="2484" customFormat="1">
      <c r="A101" s="2178"/>
      <c r="D101" s="2586"/>
      <c r="K101" s="187"/>
      <c r="L101" s="187"/>
    </row>
    <row r="102" spans="1:12" s="2484" customFormat="1">
      <c r="A102" s="2178"/>
      <c r="D102" s="2586"/>
      <c r="K102" s="187"/>
      <c r="L102" s="187"/>
    </row>
    <row r="103" spans="1:12" s="2484" customFormat="1">
      <c r="A103" s="2178"/>
      <c r="D103" s="2586"/>
      <c r="K103" s="187"/>
      <c r="L103" s="187"/>
    </row>
    <row r="104" spans="1:12" s="2484" customFormat="1">
      <c r="A104" s="2178"/>
      <c r="D104" s="2586"/>
      <c r="K104" s="187"/>
      <c r="L104" s="187"/>
    </row>
    <row r="105" spans="1:12" s="2484" customFormat="1">
      <c r="A105" s="2178"/>
      <c r="D105" s="2586"/>
      <c r="K105" s="187"/>
      <c r="L105" s="187"/>
    </row>
    <row r="106" spans="1:12" s="2484" customFormat="1">
      <c r="A106" s="2178"/>
      <c r="D106" s="2586"/>
      <c r="K106" s="187"/>
      <c r="L106" s="187"/>
    </row>
    <row r="107" spans="1:12" s="2484" customFormat="1">
      <c r="A107" s="2178"/>
      <c r="D107" s="2586"/>
      <c r="K107" s="187"/>
      <c r="L107" s="187"/>
    </row>
    <row r="108" spans="1:12" s="2484" customFormat="1">
      <c r="A108" s="2178"/>
      <c r="D108" s="2586"/>
      <c r="K108" s="187"/>
      <c r="L108" s="187"/>
    </row>
    <row r="109" spans="1:12" s="2484" customFormat="1">
      <c r="A109" s="2178"/>
      <c r="D109" s="2586"/>
      <c r="K109" s="187"/>
      <c r="L109" s="187"/>
    </row>
    <row r="110" spans="1:12" s="2484" customFormat="1">
      <c r="A110" s="2178"/>
      <c r="D110" s="2586"/>
      <c r="K110" s="187"/>
      <c r="L110" s="187"/>
    </row>
    <row r="111" spans="1:12" s="2484" customFormat="1">
      <c r="A111" s="2178"/>
      <c r="D111" s="2586"/>
      <c r="K111" s="187"/>
      <c r="L111" s="187"/>
    </row>
    <row r="112" spans="1:12" s="2484" customFormat="1">
      <c r="A112" s="2178"/>
      <c r="D112" s="2586"/>
      <c r="K112" s="187"/>
      <c r="L112" s="187"/>
    </row>
    <row r="113" spans="1:12" s="2484" customFormat="1">
      <c r="A113" s="2178"/>
      <c r="D113" s="2586"/>
      <c r="K113" s="187"/>
      <c r="L113" s="187"/>
    </row>
    <row r="114" spans="1:12" s="2484" customFormat="1">
      <c r="A114" s="2178"/>
      <c r="D114" s="2586"/>
      <c r="K114" s="187"/>
      <c r="L114" s="187"/>
    </row>
    <row r="115" spans="1:12" s="2484" customFormat="1">
      <c r="A115" s="2178"/>
      <c r="D115" s="2586"/>
      <c r="K115" s="187"/>
      <c r="L115" s="187"/>
    </row>
    <row r="116" spans="1:12" s="2484" customFormat="1">
      <c r="A116" s="2178"/>
      <c r="D116" s="2586"/>
      <c r="K116" s="187"/>
      <c r="L116" s="187"/>
    </row>
    <row r="117" spans="1:12" s="2484" customFormat="1">
      <c r="A117" s="2178"/>
      <c r="D117" s="2586"/>
      <c r="K117" s="187"/>
      <c r="L117" s="187"/>
    </row>
    <row r="118" spans="1:12" s="2484" customFormat="1">
      <c r="A118" s="2178"/>
      <c r="D118" s="2586"/>
      <c r="K118" s="187"/>
      <c r="L118" s="187"/>
    </row>
    <row r="119" spans="1:12" s="2484" customFormat="1">
      <c r="A119" s="2178"/>
      <c r="D119" s="2586"/>
      <c r="K119" s="187"/>
      <c r="L119" s="187"/>
    </row>
    <row r="120" spans="1:12" s="2484" customFormat="1">
      <c r="A120" s="2178"/>
      <c r="D120" s="2586"/>
      <c r="K120" s="187"/>
      <c r="L120" s="187"/>
    </row>
    <row r="121" spans="1:12" s="2484" customFormat="1">
      <c r="A121" s="2178"/>
      <c r="D121" s="2586"/>
      <c r="K121" s="187"/>
      <c r="L121" s="187"/>
    </row>
    <row r="122" spans="1:12" s="2484" customFormat="1">
      <c r="A122" s="2178"/>
      <c r="D122" s="2586"/>
      <c r="K122" s="187"/>
      <c r="L122" s="187"/>
    </row>
    <row r="123" spans="1:12" s="2484" customFormat="1">
      <c r="A123" s="2178"/>
      <c r="D123" s="2586"/>
      <c r="K123" s="187"/>
      <c r="L123" s="187"/>
    </row>
    <row r="124" spans="1:12" s="2484" customFormat="1">
      <c r="A124" s="2178"/>
      <c r="D124" s="2586"/>
      <c r="K124" s="187"/>
      <c r="L124" s="187"/>
    </row>
    <row r="125" spans="1:12" s="2484" customFormat="1">
      <c r="A125" s="2178"/>
      <c r="D125" s="2586"/>
      <c r="K125" s="187"/>
      <c r="L125" s="187"/>
    </row>
    <row r="126" spans="1:12" s="2484" customFormat="1">
      <c r="A126" s="2178"/>
      <c r="D126" s="2586"/>
      <c r="K126" s="187"/>
      <c r="L126" s="187"/>
    </row>
    <row r="127" spans="1:12" s="2484" customFormat="1">
      <c r="A127" s="2178"/>
      <c r="D127" s="2586"/>
      <c r="K127" s="187"/>
      <c r="L127" s="187"/>
    </row>
    <row r="128" spans="1:12" s="2484" customFormat="1">
      <c r="A128" s="2178"/>
      <c r="D128" s="2586"/>
      <c r="K128" s="187"/>
      <c r="L128" s="187"/>
    </row>
    <row r="129" spans="1:12" s="2484" customFormat="1">
      <c r="A129" s="2178"/>
      <c r="D129" s="2586"/>
      <c r="K129" s="187"/>
      <c r="L129" s="187"/>
    </row>
    <row r="130" spans="1:12" s="2484" customFormat="1">
      <c r="A130" s="2178"/>
      <c r="D130" s="2586"/>
      <c r="K130" s="187"/>
      <c r="L130" s="187"/>
    </row>
    <row r="131" spans="1:12" s="2484" customFormat="1">
      <c r="A131" s="2178"/>
      <c r="D131" s="2586"/>
      <c r="K131" s="187"/>
      <c r="L131" s="187"/>
    </row>
    <row r="132" spans="1:12" s="2484" customFormat="1">
      <c r="A132" s="2178"/>
      <c r="D132" s="2586"/>
      <c r="K132" s="187"/>
      <c r="L132" s="187"/>
    </row>
    <row r="133" spans="1:12" s="2484" customFormat="1">
      <c r="A133" s="2178"/>
      <c r="D133" s="2586"/>
      <c r="K133" s="187"/>
      <c r="L133" s="187"/>
    </row>
    <row r="134" spans="1:12" s="2484" customFormat="1">
      <c r="A134" s="2178"/>
      <c r="D134" s="2586"/>
      <c r="K134" s="187"/>
      <c r="L134" s="187"/>
    </row>
    <row r="135" spans="1:12" s="2484" customFormat="1">
      <c r="A135" s="2178"/>
      <c r="D135" s="2586"/>
      <c r="K135" s="187"/>
      <c r="L135" s="187"/>
    </row>
    <row r="136" spans="1:12" s="2484" customFormat="1">
      <c r="A136" s="2178"/>
      <c r="D136" s="2586"/>
      <c r="K136" s="187"/>
      <c r="L136" s="187"/>
    </row>
    <row r="137" spans="1:12" s="2484" customFormat="1">
      <c r="A137" s="2178"/>
      <c r="D137" s="2586"/>
      <c r="K137" s="187"/>
      <c r="L137" s="187"/>
    </row>
    <row r="138" spans="1:12" s="2484" customFormat="1">
      <c r="A138" s="2178"/>
      <c r="D138" s="2586"/>
      <c r="K138" s="187"/>
      <c r="L138" s="187"/>
    </row>
    <row r="139" spans="1:12" s="2484" customFormat="1">
      <c r="A139" s="2178"/>
      <c r="D139" s="2586"/>
      <c r="K139" s="187"/>
      <c r="L139" s="187"/>
    </row>
    <row r="140" spans="1:12" s="2484" customFormat="1">
      <c r="A140" s="2178"/>
      <c r="D140" s="2586"/>
      <c r="K140" s="187"/>
      <c r="L140" s="187"/>
    </row>
    <row r="141" spans="1:12" s="2484" customFormat="1">
      <c r="A141" s="2178"/>
      <c r="D141" s="2586"/>
      <c r="K141" s="187"/>
      <c r="L141" s="187"/>
    </row>
    <row r="142" spans="1:12" s="2484" customFormat="1">
      <c r="A142" s="2178"/>
      <c r="D142" s="2586"/>
      <c r="K142" s="187"/>
      <c r="L142" s="187"/>
    </row>
    <row r="143" spans="1:12" s="2484" customFormat="1">
      <c r="A143" s="2178"/>
      <c r="D143" s="2586"/>
      <c r="K143" s="187"/>
      <c r="L143" s="187"/>
    </row>
    <row r="144" spans="1:12" s="2484" customFormat="1">
      <c r="A144" s="2178"/>
      <c r="D144" s="2586"/>
      <c r="K144" s="187"/>
      <c r="L144" s="187"/>
    </row>
    <row r="145" spans="1:12" s="2484" customFormat="1">
      <c r="A145" s="2178"/>
      <c r="D145" s="2586"/>
      <c r="K145" s="187"/>
      <c r="L145" s="187"/>
    </row>
    <row r="146" spans="1:12" s="2484" customFormat="1">
      <c r="A146" s="2178"/>
      <c r="D146" s="2586"/>
      <c r="K146" s="187"/>
      <c r="L146" s="187"/>
    </row>
    <row r="147" spans="1:12" s="2484" customFormat="1">
      <c r="A147" s="2178"/>
      <c r="D147" s="2586"/>
      <c r="K147" s="187"/>
      <c r="L147" s="187"/>
    </row>
    <row r="148" spans="1:12" s="2484" customFormat="1">
      <c r="A148" s="2178"/>
      <c r="D148" s="2586"/>
      <c r="K148" s="187"/>
      <c r="L148" s="187"/>
    </row>
    <row r="149" spans="1:12" s="2484" customFormat="1">
      <c r="A149" s="2178"/>
      <c r="D149" s="2586"/>
      <c r="K149" s="187"/>
      <c r="L149" s="187"/>
    </row>
    <row r="150" spans="1:12" s="2484" customFormat="1">
      <c r="A150" s="2178"/>
      <c r="D150" s="2586"/>
      <c r="K150" s="187"/>
      <c r="L150" s="187"/>
    </row>
    <row r="151" spans="1:12" s="2484" customFormat="1">
      <c r="A151" s="2178"/>
      <c r="D151" s="2586"/>
      <c r="K151" s="187"/>
      <c r="L151" s="187"/>
    </row>
    <row r="152" spans="1:12" s="2484" customFormat="1">
      <c r="A152" s="2178"/>
      <c r="D152" s="2586"/>
      <c r="K152" s="187"/>
      <c r="L152" s="187"/>
    </row>
    <row r="153" spans="1:12" s="2484" customFormat="1">
      <c r="A153" s="2178"/>
      <c r="D153" s="2586"/>
      <c r="K153" s="187"/>
      <c r="L153" s="187"/>
    </row>
    <row r="154" spans="1:12" s="2484" customFormat="1">
      <c r="A154" s="2178"/>
      <c r="D154" s="2586"/>
      <c r="K154" s="187"/>
      <c r="L154" s="187"/>
    </row>
    <row r="155" spans="1:12" s="2484" customFormat="1">
      <c r="A155" s="2178"/>
      <c r="D155" s="2586"/>
      <c r="K155" s="187"/>
      <c r="L155" s="187"/>
    </row>
    <row r="156" spans="1:12" s="2484" customFormat="1">
      <c r="A156" s="2178"/>
      <c r="D156" s="2586"/>
      <c r="K156" s="187"/>
      <c r="L156" s="187"/>
    </row>
    <row r="157" spans="1:12" s="2484" customFormat="1">
      <c r="A157" s="2178"/>
      <c r="D157" s="2586"/>
      <c r="K157" s="187"/>
      <c r="L157" s="187"/>
    </row>
    <row r="158" spans="1:12" s="2484" customFormat="1">
      <c r="A158" s="2178"/>
      <c r="D158" s="2586"/>
      <c r="K158" s="187"/>
      <c r="L158" s="187"/>
    </row>
    <row r="159" spans="1:12" s="2484" customFormat="1">
      <c r="A159" s="2178"/>
      <c r="D159" s="2586"/>
      <c r="K159" s="187"/>
      <c r="L159" s="187"/>
    </row>
    <row r="160" spans="1:12" s="2484" customFormat="1">
      <c r="A160" s="2178"/>
      <c r="D160" s="2586"/>
      <c r="K160" s="187"/>
      <c r="L160" s="187"/>
    </row>
    <row r="161" spans="1:12" s="2484" customFormat="1">
      <c r="A161" s="2178"/>
      <c r="D161" s="2586"/>
      <c r="K161" s="187"/>
      <c r="L161" s="187"/>
    </row>
    <row r="162" spans="1:12" s="2484" customFormat="1">
      <c r="A162" s="2178"/>
      <c r="D162" s="2586"/>
      <c r="K162" s="187"/>
      <c r="L162" s="187"/>
    </row>
    <row r="163" spans="1:12" s="2484" customFormat="1">
      <c r="A163" s="2178"/>
      <c r="D163" s="2586"/>
      <c r="K163" s="187"/>
      <c r="L163" s="187"/>
    </row>
    <row r="164" spans="1:12" s="2484" customFormat="1">
      <c r="A164" s="2178"/>
      <c r="D164" s="2586"/>
      <c r="K164" s="187"/>
      <c r="L164" s="187"/>
    </row>
    <row r="165" spans="1:12" s="2484" customFormat="1">
      <c r="A165" s="2178"/>
      <c r="D165" s="2586"/>
      <c r="K165" s="187"/>
      <c r="L165" s="187"/>
    </row>
    <row r="166" spans="1:12" s="2484" customFormat="1">
      <c r="A166" s="2178"/>
      <c r="D166" s="2586"/>
      <c r="K166" s="187"/>
      <c r="L166" s="187"/>
    </row>
    <row r="167" spans="1:12" s="2484" customFormat="1">
      <c r="A167" s="2178"/>
      <c r="D167" s="2586"/>
      <c r="K167" s="187"/>
      <c r="L167" s="187"/>
    </row>
    <row r="168" spans="1:12" s="2484" customFormat="1">
      <c r="A168" s="2178"/>
      <c r="D168" s="2586"/>
      <c r="K168" s="187"/>
      <c r="L168" s="187"/>
    </row>
    <row r="169" spans="1:12" s="2484" customFormat="1">
      <c r="A169" s="2178"/>
      <c r="D169" s="2586"/>
      <c r="K169" s="187"/>
      <c r="L169" s="187"/>
    </row>
    <row r="170" spans="1:12" s="2484" customFormat="1">
      <c r="A170" s="2178"/>
      <c r="D170" s="2586"/>
      <c r="K170" s="187"/>
      <c r="L170" s="187"/>
    </row>
    <row r="171" spans="1:12" s="2484" customFormat="1">
      <c r="A171" s="2178"/>
      <c r="D171" s="2586"/>
      <c r="K171" s="187"/>
      <c r="L171" s="187"/>
    </row>
    <row r="172" spans="1:12" s="2484" customFormat="1">
      <c r="A172" s="2178"/>
      <c r="D172" s="2586"/>
      <c r="K172" s="187"/>
      <c r="L172" s="187"/>
    </row>
    <row r="173" spans="1:12" s="2484" customFormat="1">
      <c r="A173" s="2178"/>
      <c r="D173" s="2586"/>
      <c r="K173" s="187"/>
      <c r="L173" s="187"/>
    </row>
    <row r="174" spans="1:12" s="2484" customFormat="1">
      <c r="A174" s="2178"/>
      <c r="D174" s="2586"/>
      <c r="K174" s="187"/>
      <c r="L174" s="187"/>
    </row>
    <row r="175" spans="1:12" s="2484" customFormat="1">
      <c r="A175" s="2178"/>
      <c r="D175" s="2586"/>
      <c r="K175" s="187"/>
      <c r="L175" s="187"/>
    </row>
    <row r="176" spans="1:12" s="2484" customFormat="1">
      <c r="A176" s="2178"/>
      <c r="D176" s="2586"/>
      <c r="K176" s="187"/>
      <c r="L176" s="187"/>
    </row>
    <row r="177" spans="1:12" s="2484" customFormat="1">
      <c r="A177" s="2178"/>
      <c r="D177" s="2586"/>
      <c r="K177" s="187"/>
      <c r="L177" s="187"/>
    </row>
    <row r="178" spans="1:12" s="2484" customFormat="1">
      <c r="A178" s="2178"/>
      <c r="D178" s="2586"/>
      <c r="K178" s="187"/>
      <c r="L178" s="187"/>
    </row>
    <row r="179" spans="1:12" s="2484" customFormat="1">
      <c r="A179" s="2178"/>
      <c r="D179" s="2586"/>
      <c r="K179" s="187"/>
      <c r="L179" s="187"/>
    </row>
    <row r="180" spans="1:12" s="2484" customFormat="1">
      <c r="A180" s="2178"/>
      <c r="D180" s="2586"/>
      <c r="K180" s="187"/>
      <c r="L180" s="187"/>
    </row>
    <row r="181" spans="1:12" s="2484" customFormat="1">
      <c r="A181" s="2178"/>
      <c r="D181" s="2586"/>
      <c r="K181" s="187"/>
      <c r="L181" s="187"/>
    </row>
    <row r="182" spans="1:12" s="2484" customFormat="1">
      <c r="A182" s="2178"/>
      <c r="D182" s="2586"/>
      <c r="K182" s="187"/>
      <c r="L182" s="187"/>
    </row>
    <row r="183" spans="1:12" s="2484" customFormat="1">
      <c r="A183" s="2178"/>
      <c r="D183" s="2586"/>
      <c r="K183" s="187"/>
      <c r="L183" s="187"/>
    </row>
    <row r="184" spans="1:12" s="2484" customFormat="1">
      <c r="A184" s="2178"/>
      <c r="D184" s="2586"/>
      <c r="K184" s="187"/>
      <c r="L184" s="187"/>
    </row>
    <row r="185" spans="1:12" s="2484" customFormat="1">
      <c r="A185" s="2178"/>
      <c r="D185" s="2586"/>
      <c r="K185" s="187"/>
      <c r="L185" s="187"/>
    </row>
    <row r="186" spans="1:12" s="2484" customFormat="1">
      <c r="A186" s="2178"/>
      <c r="D186" s="2586"/>
      <c r="K186" s="187"/>
      <c r="L186" s="187"/>
    </row>
    <row r="187" spans="1:12" s="2484" customFormat="1">
      <c r="A187" s="2178"/>
      <c r="D187" s="2586"/>
      <c r="K187" s="187"/>
      <c r="L187" s="187"/>
    </row>
    <row r="188" spans="1:12" s="2484" customFormat="1">
      <c r="A188" s="2178"/>
      <c r="D188" s="2586"/>
      <c r="K188" s="187"/>
      <c r="L188" s="187"/>
    </row>
    <row r="189" spans="1:12" s="2484" customFormat="1">
      <c r="A189" s="2178"/>
      <c r="D189" s="2586"/>
      <c r="K189" s="187"/>
      <c r="L189" s="187"/>
    </row>
    <row r="190" spans="1:12" s="2484" customFormat="1">
      <c r="A190" s="2178"/>
      <c r="D190" s="2586"/>
      <c r="K190" s="187"/>
      <c r="L190" s="187"/>
    </row>
    <row r="191" spans="1:12" s="2484" customFormat="1">
      <c r="A191" s="2178"/>
      <c r="D191" s="2586"/>
      <c r="K191" s="187"/>
      <c r="L191" s="187"/>
    </row>
    <row r="192" spans="1:12" s="2484" customFormat="1">
      <c r="A192" s="2178"/>
      <c r="D192" s="2586"/>
      <c r="K192" s="187"/>
      <c r="L192" s="187"/>
    </row>
  </sheetData>
  <sheetProtection password="C66D" sheet="1" objects="1" scenarios="1" formatCells="0" formatColumns="0" formatRows="0"/>
  <phoneticPr fontId="231" type="noConversion"/>
  <conditionalFormatting sqref="T6:T15">
    <cfRule type="expression" dxfId="168" priority="1" stopIfTrue="1">
      <formula>$T$4="按面积比例"</formula>
    </cfRule>
    <cfRule type="containsText" dxfId="167" priority="12" stopIfTrue="1" operator="containsText" text="自行计算">
      <formula>NOT(ISERROR(SEARCH("自行计算",T6)))</formula>
    </cfRule>
    <cfRule type="containsText" dxfId="166" priority="13" stopIfTrue="1" operator="containsText" text="自行计算">
      <formula>NOT(ISERROR(SEARCH("自行计算",T6)))</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2" stopIfTrue="1" operator="containsText" text="自行计算">
      <formula>NOT(ISERROR(SEARCH("自行计算",T12)))</formula>
    </cfRule>
    <cfRule type="containsText" dxfId="162" priority="3" stopIfTrue="1" operator="containsText" text="自行计算">
      <formula>NOT(ISERROR(SEARCH("自行计算",T12)))</formula>
    </cfRule>
    <cfRule type="containsText" dxfId="161" priority="4" stopIfTrue="1" operator="containsText" text="自行计算">
      <formula>NOT(ISERROR(SEARCH("自行计算",T12)))</formula>
    </cfRule>
    <cfRule type="containsText" dxfId="160"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L19" sqref="L19"/>
    </sheetView>
  </sheetViews>
  <sheetFormatPr defaultColWidth="9" defaultRowHeight="14.4"/>
  <cols>
    <col min="1" max="1" width="9.44140625" style="2408" customWidth="1"/>
    <col min="2" max="2" width="24.44140625" style="2409" customWidth="1"/>
    <col min="3" max="3" width="24.44140625" style="2410" customWidth="1"/>
    <col min="4" max="4" width="2.6640625" style="2410" customWidth="1"/>
    <col min="5" max="5" width="5.88671875" style="2410" customWidth="1"/>
    <col min="6" max="6" width="27" style="2409" customWidth="1"/>
    <col min="7" max="7" width="27" style="2411" customWidth="1"/>
    <col min="8" max="8" width="11.88671875" style="2409" customWidth="1"/>
    <col min="9" max="9" width="16.77734375" style="2411" customWidth="1"/>
    <col min="10" max="10" width="2.6640625" style="2410" customWidth="1"/>
    <col min="11" max="11" width="11.88671875" style="2409" customWidth="1"/>
    <col min="12" max="12" width="16.77734375" style="2411" customWidth="1"/>
    <col min="13" max="13" width="2.6640625" style="2410" customWidth="1"/>
    <col min="14" max="14" width="11.88671875" style="2409" customWidth="1"/>
    <col min="15" max="15" width="16.77734375" style="2411" customWidth="1"/>
    <col min="16" max="16" width="2.6640625" style="2410" customWidth="1"/>
    <col min="17" max="17" width="11.88671875" style="2409" customWidth="1"/>
    <col min="18" max="18" width="16.77734375" style="2412" customWidth="1"/>
    <col min="19" max="16384" width="9" style="2408"/>
  </cols>
  <sheetData>
    <row r="1" spans="1:18" s="2406" customFormat="1" ht="17.399999999999999">
      <c r="A1" s="3263" t="s">
        <v>659</v>
      </c>
      <c r="B1" s="3264"/>
      <c r="C1" s="3264"/>
      <c r="D1" s="3264"/>
      <c r="E1" s="3264"/>
      <c r="F1" s="3264"/>
      <c r="G1" s="3264"/>
      <c r="H1" s="2413"/>
      <c r="I1" s="2470"/>
      <c r="J1" s="2471"/>
      <c r="K1" s="2413"/>
      <c r="L1" s="2470"/>
      <c r="M1" s="2471"/>
      <c r="N1" s="2413"/>
      <c r="O1" s="2470"/>
      <c r="P1" s="2471"/>
      <c r="Q1" s="2479"/>
      <c r="R1" s="2480"/>
    </row>
    <row r="2" spans="1:18">
      <c r="A2" s="2414"/>
      <c r="B2" s="2415"/>
      <c r="C2" s="2416" t="s">
        <v>660</v>
      </c>
      <c r="D2" s="2417"/>
      <c r="E2" s="2418"/>
      <c r="F2" s="2419"/>
      <c r="G2" s="2416" t="s">
        <v>164</v>
      </c>
      <c r="H2" s="2408"/>
      <c r="I2" s="2408"/>
      <c r="J2" s="2408"/>
      <c r="K2" s="2408"/>
      <c r="L2" s="2408"/>
      <c r="M2" s="2408"/>
      <c r="N2" s="2408"/>
      <c r="O2" s="2408"/>
      <c r="P2" s="2408"/>
      <c r="Q2" s="2408"/>
      <c r="R2" s="2408"/>
    </row>
    <row r="3" spans="1:18" ht="43.2">
      <c r="A3" s="2420" t="s">
        <v>661</v>
      </c>
      <c r="B3" s="2421" t="s">
        <v>662</v>
      </c>
      <c r="C3" s="2422" t="s">
        <v>663</v>
      </c>
      <c r="D3" s="2423"/>
      <c r="E3" s="2424" t="s">
        <v>661</v>
      </c>
      <c r="F3" s="2425" t="s">
        <v>664</v>
      </c>
      <c r="G3" s="2426" t="s">
        <v>665</v>
      </c>
      <c r="H3" s="2408"/>
      <c r="I3" s="2408"/>
      <c r="J3" s="2408"/>
      <c r="K3" s="2408"/>
      <c r="L3" s="2408"/>
      <c r="M3" s="2408"/>
      <c r="N3" s="2408"/>
      <c r="O3" s="2408"/>
      <c r="P3" s="2408"/>
      <c r="Q3" s="2408"/>
      <c r="R3" s="2408"/>
    </row>
    <row r="4" spans="1:18" ht="43.2">
      <c r="A4" s="2424"/>
      <c r="B4" s="2427" t="s">
        <v>666</v>
      </c>
      <c r="C4" s="2428" t="s">
        <v>667</v>
      </c>
      <c r="D4" s="2423"/>
      <c r="E4" s="2429"/>
      <c r="F4" s="2430" t="s">
        <v>668</v>
      </c>
      <c r="G4" s="2431" t="s">
        <v>669</v>
      </c>
      <c r="H4" s="2408"/>
      <c r="I4" s="2408"/>
      <c r="J4" s="2408"/>
      <c r="K4" s="2408"/>
      <c r="L4" s="2408"/>
      <c r="M4" s="2408"/>
      <c r="N4" s="2408"/>
      <c r="O4" s="2408"/>
      <c r="P4" s="2408"/>
      <c r="Q4" s="2408"/>
      <c r="R4" s="2408"/>
    </row>
    <row r="5" spans="1:18" ht="28.8">
      <c r="A5" s="2424"/>
      <c r="B5" s="2427" t="s">
        <v>670</v>
      </c>
      <c r="C5" s="2428" t="s">
        <v>663</v>
      </c>
      <c r="D5" s="2423"/>
      <c r="E5" s="2429"/>
      <c r="F5" s="2427" t="s">
        <v>233</v>
      </c>
      <c r="G5" s="2431" t="s">
        <v>671</v>
      </c>
      <c r="H5" s="2408"/>
      <c r="I5" s="2408"/>
      <c r="J5" s="2408"/>
      <c r="K5" s="2408"/>
      <c r="L5" s="2408"/>
      <c r="M5" s="2408"/>
      <c r="N5" s="2408"/>
      <c r="O5" s="2408"/>
      <c r="P5" s="2408"/>
      <c r="Q5" s="2408"/>
      <c r="R5" s="2408"/>
    </row>
    <row r="6" spans="1:18" ht="28.8">
      <c r="A6" s="2424"/>
      <c r="B6" s="2427" t="s">
        <v>668</v>
      </c>
      <c r="C6" s="2432" t="s">
        <v>663</v>
      </c>
      <c r="D6" s="2423"/>
      <c r="E6" s="2429"/>
      <c r="F6" s="2427" t="s">
        <v>234</v>
      </c>
      <c r="G6" s="2431" t="s">
        <v>672</v>
      </c>
      <c r="H6" s="2408"/>
      <c r="I6" s="2408"/>
      <c r="J6" s="2408"/>
      <c r="K6" s="2408"/>
      <c r="L6" s="2408"/>
      <c r="M6" s="2408"/>
      <c r="N6" s="2408"/>
      <c r="O6" s="2408"/>
      <c r="P6" s="2408"/>
      <c r="Q6" s="2408"/>
      <c r="R6" s="2408"/>
    </row>
    <row r="7" spans="1:18" ht="43.2">
      <c r="A7" s="2424"/>
      <c r="B7" s="2427" t="s">
        <v>233</v>
      </c>
      <c r="C7" s="2432" t="s">
        <v>663</v>
      </c>
      <c r="D7" s="2433"/>
      <c r="E7" s="2434"/>
      <c r="F7" s="2435" t="s">
        <v>673</v>
      </c>
      <c r="G7" s="2436" t="s">
        <v>674</v>
      </c>
      <c r="H7" s="2408"/>
      <c r="I7" s="2408"/>
      <c r="J7" s="2408"/>
      <c r="K7" s="2408"/>
      <c r="L7" s="2408"/>
      <c r="M7" s="2408"/>
      <c r="N7" s="2408"/>
      <c r="O7" s="2408"/>
      <c r="P7" s="2408"/>
      <c r="Q7" s="2408"/>
      <c r="R7" s="2408"/>
    </row>
    <row r="8" spans="1:18">
      <c r="A8" s="2424"/>
      <c r="B8" s="2427" t="s">
        <v>234</v>
      </c>
      <c r="C8" s="2432" t="s">
        <v>261</v>
      </c>
      <c r="D8" s="2433"/>
      <c r="E8" s="2433"/>
      <c r="F8" s="2437"/>
      <c r="G8" s="2437"/>
      <c r="H8" s="2408"/>
      <c r="I8" s="2408"/>
      <c r="J8" s="2408"/>
      <c r="K8" s="2408"/>
      <c r="L8" s="2408"/>
      <c r="M8" s="2408"/>
      <c r="N8" s="2408"/>
      <c r="O8" s="2408"/>
      <c r="P8" s="2408"/>
      <c r="Q8" s="2408"/>
      <c r="R8" s="2408"/>
    </row>
    <row r="9" spans="1:18">
      <c r="A9" s="2424"/>
      <c r="B9" s="2427" t="s">
        <v>675</v>
      </c>
      <c r="C9" s="2428" t="s">
        <v>663</v>
      </c>
      <c r="D9" s="2423"/>
      <c r="E9" s="2433"/>
      <c r="F9" s="2437"/>
      <c r="G9" s="2437"/>
      <c r="H9" s="2408"/>
      <c r="I9" s="2408"/>
      <c r="J9" s="2408"/>
      <c r="K9" s="2408"/>
      <c r="L9" s="2408"/>
      <c r="M9" s="2408"/>
      <c r="N9" s="2408"/>
      <c r="O9" s="2408"/>
      <c r="P9" s="2408"/>
      <c r="Q9" s="2408"/>
      <c r="R9" s="2408"/>
    </row>
    <row r="10" spans="1:18" s="2407" customFormat="1">
      <c r="A10" s="2438"/>
      <c r="B10" s="2439" t="s">
        <v>676</v>
      </c>
      <c r="C10" s="2440"/>
      <c r="D10" s="2423"/>
      <c r="E10" s="2423"/>
      <c r="F10" s="2437"/>
      <c r="G10" s="2437"/>
      <c r="H10" s="2441"/>
      <c r="I10" s="2472"/>
      <c r="J10" s="2473"/>
      <c r="K10" s="2441"/>
      <c r="L10" s="2472"/>
      <c r="M10" s="2473"/>
      <c r="N10" s="2441"/>
      <c r="O10" s="2472"/>
      <c r="P10" s="2473"/>
      <c r="Q10" s="2441"/>
      <c r="R10" s="2472"/>
    </row>
    <row r="11" spans="1:18" s="2407" customFormat="1">
      <c r="A11" s="2442"/>
      <c r="B11" s="2433"/>
      <c r="C11" s="2423"/>
      <c r="D11" s="2423"/>
      <c r="E11" s="2423"/>
      <c r="F11" s="2433"/>
      <c r="G11" s="2443"/>
      <c r="H11" s="2441"/>
      <c r="I11" s="2472"/>
      <c r="J11" s="2473"/>
      <c r="K11" s="2441"/>
      <c r="L11" s="2472"/>
      <c r="M11" s="2473"/>
      <c r="N11" s="2441"/>
      <c r="O11" s="2472"/>
      <c r="P11" s="2473"/>
      <c r="Q11" s="2441"/>
      <c r="R11" s="2472"/>
    </row>
    <row r="12" spans="1:18" s="2406" customFormat="1" ht="17.399999999999999">
      <c r="A12" s="2442"/>
      <c r="B12" s="2433"/>
      <c r="C12" s="2423"/>
      <c r="D12" s="2444"/>
      <c r="E12" s="2423"/>
      <c r="F12" s="2433"/>
      <c r="G12" s="2443"/>
      <c r="H12" s="2445"/>
      <c r="I12" s="2474"/>
      <c r="J12" s="2445"/>
      <c r="K12" s="2445"/>
      <c r="L12" s="2475"/>
      <c r="M12" s="2445"/>
      <c r="N12" s="2476"/>
      <c r="O12" s="2477"/>
      <c r="P12" s="2478"/>
      <c r="Q12" s="2476"/>
      <c r="R12" s="2480"/>
    </row>
    <row r="13" spans="1:18" ht="17.399999999999999">
      <c r="A13" s="2446" t="s">
        <v>677</v>
      </c>
      <c r="B13" s="2444"/>
      <c r="C13" s="2444"/>
      <c r="D13" s="2417"/>
      <c r="E13" s="2444"/>
      <c r="F13" s="2444"/>
      <c r="G13" s="2444"/>
    </row>
    <row r="14" spans="1:18">
      <c r="A14" s="2447"/>
      <c r="B14" s="2448"/>
      <c r="C14" s="2449" t="s">
        <v>660</v>
      </c>
      <c r="D14" s="2423"/>
      <c r="E14" s="2450"/>
      <c r="F14" s="2450"/>
      <c r="G14" s="2416" t="s">
        <v>164</v>
      </c>
    </row>
    <row r="15" spans="1:18" ht="43.2">
      <c r="A15" s="2451" t="s">
        <v>661</v>
      </c>
      <c r="B15" s="2452" t="s">
        <v>662</v>
      </c>
      <c r="C15" s="2453" t="str">
        <f>C3</f>
        <v>较好</v>
      </c>
      <c r="D15" s="2423"/>
      <c r="E15" s="2454" t="s">
        <v>661</v>
      </c>
      <c r="F15" s="2452" t="s">
        <v>664</v>
      </c>
      <c r="G15" s="2455" t="str">
        <f>G3</f>
        <v>估价对象位于XX开发区，园区建设成熟度XX，产业集聚程度XX</v>
      </c>
    </row>
    <row r="16" spans="1:18" ht="43.2">
      <c r="A16" s="2456"/>
      <c r="B16" s="2457" t="s">
        <v>666</v>
      </c>
      <c r="C16" s="2458" t="str">
        <f>C4</f>
        <v>好</v>
      </c>
      <c r="D16" s="2423"/>
      <c r="E16" s="2459"/>
      <c r="F16" s="2460" t="s">
        <v>668</v>
      </c>
      <c r="G16" s="2461" t="str">
        <f>G4</f>
        <v>估价对象周边道路状况、公共交通通达情况、停车便捷程度，综合评价交通便捷度较好</v>
      </c>
    </row>
    <row r="17" spans="1:7">
      <c r="A17" s="2456"/>
      <c r="B17" s="2457" t="s">
        <v>670</v>
      </c>
      <c r="C17" s="2458" t="str">
        <f>C5</f>
        <v>较好</v>
      </c>
      <c r="D17" s="2433"/>
      <c r="E17" s="2459"/>
      <c r="F17" s="2460" t="s">
        <v>678</v>
      </c>
      <c r="G17" s="1827"/>
    </row>
    <row r="18" spans="1:7" ht="43.2">
      <c r="A18" s="2456"/>
      <c r="B18" s="2460" t="s">
        <v>668</v>
      </c>
      <c r="C18" s="2461" t="str">
        <f>C6</f>
        <v>较好</v>
      </c>
      <c r="D18" s="2433"/>
      <c r="E18" s="2459"/>
      <c r="F18" s="2460" t="s">
        <v>673</v>
      </c>
      <c r="G18" s="2461" t="str">
        <f>G7</f>
        <v>该园区内是否有污染型企业，绿化情况，卫生条件，整体环境状况判断</v>
      </c>
    </row>
    <row r="19" spans="1:7" ht="28.8">
      <c r="A19" s="2456"/>
      <c r="B19" s="2460" t="s">
        <v>678</v>
      </c>
      <c r="C19" s="1827"/>
      <c r="D19" s="2423"/>
      <c r="E19" s="2459"/>
      <c r="F19" s="2427" t="s">
        <v>233</v>
      </c>
      <c r="G19" s="2461" t="str">
        <f>G5</f>
        <v>估价对象所在区域公共配套设施齐备情况</v>
      </c>
    </row>
    <row r="20" spans="1:7" ht="28.8">
      <c r="A20" s="2456"/>
      <c r="B20" s="2460" t="s">
        <v>679</v>
      </c>
      <c r="C20" s="2458" t="str">
        <f>C9</f>
        <v>较好</v>
      </c>
      <c r="D20" s="2433"/>
      <c r="E20" s="2459"/>
      <c r="F20" s="2427" t="s">
        <v>234</v>
      </c>
      <c r="G20" s="2461" t="str">
        <f>G6</f>
        <v>估价对象所在区域基础设施水平</v>
      </c>
    </row>
    <row r="21" spans="1:7">
      <c r="A21" s="2456"/>
      <c r="B21" s="2427" t="s">
        <v>233</v>
      </c>
      <c r="C21" s="2461" t="str">
        <f>C7</f>
        <v>较好</v>
      </c>
      <c r="D21" s="2423"/>
      <c r="E21" s="2459"/>
      <c r="F21" s="2460" t="s">
        <v>680</v>
      </c>
      <c r="G21" s="2462"/>
    </row>
    <row r="22" spans="1:7">
      <c r="A22" s="2456"/>
      <c r="B22" s="2427" t="s">
        <v>234</v>
      </c>
      <c r="C22" s="2461" t="str">
        <f>C8</f>
        <v>六通</v>
      </c>
      <c r="D22" s="2423"/>
      <c r="E22" s="2459"/>
      <c r="F22" s="2460" t="s">
        <v>676</v>
      </c>
      <c r="G22" s="1827"/>
    </row>
    <row r="23" spans="1:7">
      <c r="A23" s="2456"/>
      <c r="B23" s="2460" t="s">
        <v>680</v>
      </c>
      <c r="C23" s="2462"/>
      <c r="E23" s="2463"/>
      <c r="F23" s="2464" t="s">
        <v>219</v>
      </c>
      <c r="G23" s="2465"/>
    </row>
    <row r="24" spans="1:7">
      <c r="A24" s="2466"/>
      <c r="B24" s="2464" t="s">
        <v>676</v>
      </c>
      <c r="C24" s="2467">
        <f>C10</f>
        <v>0</v>
      </c>
      <c r="E24" s="2468"/>
      <c r="F24" s="2468"/>
      <c r="G24" s="2469"/>
    </row>
    <row r="25" spans="1:7">
      <c r="E25" s="2408"/>
      <c r="F25" s="2408"/>
      <c r="G25" s="2408"/>
    </row>
    <row r="26" spans="1:7">
      <c r="E26" s="2408"/>
      <c r="F26" s="2408"/>
      <c r="G26" s="2408"/>
    </row>
    <row r="27" spans="1:7">
      <c r="E27" s="2408"/>
      <c r="F27" s="2408"/>
      <c r="G27" s="2408"/>
    </row>
    <row r="28" spans="1:7">
      <c r="E28" s="2408"/>
      <c r="F28" s="2408"/>
      <c r="G28" s="2408"/>
    </row>
    <row r="29" spans="1:7">
      <c r="E29" s="2408"/>
      <c r="F29" s="2408"/>
      <c r="G29" s="2408"/>
    </row>
    <row r="30" spans="1:7">
      <c r="E30" s="2408"/>
      <c r="F30" s="2408"/>
      <c r="G30" s="2408"/>
    </row>
    <row r="31" spans="1:7">
      <c r="E31" s="2408"/>
      <c r="F31" s="2408"/>
      <c r="G31" s="2408"/>
    </row>
    <row r="32" spans="1:7">
      <c r="E32" s="2408"/>
      <c r="F32" s="2408"/>
      <c r="G32" s="2408"/>
    </row>
    <row r="33" spans="5:7">
      <c r="E33" s="2408"/>
      <c r="F33" s="2408"/>
      <c r="G33" s="2408"/>
    </row>
    <row r="34" spans="5:7">
      <c r="E34" s="2408"/>
      <c r="F34" s="2408"/>
      <c r="G34" s="2408"/>
    </row>
    <row r="35" spans="5:7">
      <c r="E35" s="2408"/>
      <c r="F35" s="2408"/>
      <c r="G35" s="2408"/>
    </row>
    <row r="36" spans="5:7">
      <c r="E36" s="2408"/>
      <c r="F36" s="2408"/>
      <c r="G36" s="2408"/>
    </row>
    <row r="37" spans="5:7">
      <c r="E37" s="2408"/>
      <c r="F37" s="2408"/>
      <c r="G37" s="2408"/>
    </row>
  </sheetData>
  <sheetProtection password="C66D"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640625" defaultRowHeight="14.4"/>
  <cols>
    <col min="1" max="1" width="24.33203125" customWidth="1"/>
  </cols>
  <sheetData>
    <row r="1" spans="1:9" ht="15.6">
      <c r="A1" s="2397" t="s">
        <v>681</v>
      </c>
      <c r="B1" s="2397">
        <f>SUM(B14:B23)</f>
        <v>124721</v>
      </c>
      <c r="C1" s="2398"/>
      <c r="D1" s="2398"/>
      <c r="E1" s="2398"/>
      <c r="F1" s="2398"/>
    </row>
    <row r="2" spans="1:9" ht="15.6">
      <c r="A2" s="2397" t="s">
        <v>682</v>
      </c>
      <c r="B2" s="2397">
        <f>SUM(C14:C23)</f>
        <v>10309.6</v>
      </c>
      <c r="C2" s="2398"/>
      <c r="D2" s="2398"/>
      <c r="E2" s="2398"/>
      <c r="F2" s="2398"/>
    </row>
    <row r="3" spans="1:9" ht="15.6">
      <c r="A3" s="2397" t="s">
        <v>683</v>
      </c>
      <c r="B3" s="2399">
        <f>项目基本情况!D3</f>
        <v>43654</v>
      </c>
      <c r="C3" s="2398"/>
      <c r="D3" s="2398"/>
      <c r="E3" s="2398"/>
      <c r="F3" s="2398"/>
    </row>
    <row r="4" spans="1:9" ht="31.2">
      <c r="A4" s="2397" t="s">
        <v>363</v>
      </c>
      <c r="B4" s="2397" t="s">
        <v>684</v>
      </c>
      <c r="C4" s="2397" t="s">
        <v>685</v>
      </c>
      <c r="D4" s="2397" t="s">
        <v>686</v>
      </c>
      <c r="E4" s="2398"/>
      <c r="F4" s="2398"/>
    </row>
    <row r="5" spans="1:9" ht="15.6">
      <c r="A5" s="2397" t="s">
        <v>687</v>
      </c>
      <c r="B5" s="2397">
        <f ca="1">SUM(D14:D23)</f>
        <v>165151</v>
      </c>
      <c r="C5" s="2397">
        <f ca="1">ROUND(B5*10000/$B$1,0)</f>
        <v>13242</v>
      </c>
      <c r="D5" s="2397">
        <f ca="1">ROUND(B5*10000/$B$2,0)</f>
        <v>160191</v>
      </c>
      <c r="E5" s="2398"/>
      <c r="F5" s="2398"/>
    </row>
    <row r="6" spans="1:9" ht="15.6">
      <c r="A6" s="2397" t="s">
        <v>688</v>
      </c>
      <c r="B6" s="2397">
        <f ca="1">SUM(G14:G23)</f>
        <v>165151</v>
      </c>
      <c r="C6" s="2397">
        <f t="shared" ref="C6:C8" ca="1" si="0">ROUND(B6*10000/$B$1,0)</f>
        <v>13242</v>
      </c>
      <c r="D6" s="2397">
        <f t="shared" ref="D6:D8" ca="1" si="1">ROUND(B6*10000/$B$2,0)</f>
        <v>160191</v>
      </c>
      <c r="E6" s="2398"/>
      <c r="F6" s="2398"/>
    </row>
    <row r="7" spans="1:9" ht="15.6">
      <c r="A7" s="2397" t="s">
        <v>689</v>
      </c>
      <c r="B7" s="2397">
        <f>SUM(H14:H23)</f>
        <v>0</v>
      </c>
      <c r="C7" s="2397">
        <f t="shared" si="0"/>
        <v>0</v>
      </c>
      <c r="D7" s="2397">
        <f t="shared" si="1"/>
        <v>0</v>
      </c>
      <c r="E7" s="2398"/>
      <c r="F7" s="2398"/>
    </row>
    <row r="8" spans="1:9" ht="15.6">
      <c r="A8" s="2397" t="s">
        <v>347</v>
      </c>
      <c r="B8" s="2397">
        <f>SUM(I14:I23)</f>
        <v>0</v>
      </c>
      <c r="C8" s="2397">
        <f t="shared" si="0"/>
        <v>0</v>
      </c>
      <c r="D8" s="2397">
        <f t="shared" si="1"/>
        <v>0</v>
      </c>
      <c r="E8" s="2398"/>
      <c r="F8" s="2398"/>
    </row>
    <row r="9" spans="1:9" ht="15.6">
      <c r="A9" s="2397" t="s">
        <v>690</v>
      </c>
      <c r="B9" s="2400"/>
      <c r="C9" s="2398"/>
      <c r="D9" s="2398"/>
      <c r="E9" s="2398"/>
      <c r="F9" s="2398"/>
    </row>
    <row r="10" spans="1:9" ht="15.6">
      <c r="A10" s="2397" t="s">
        <v>691</v>
      </c>
      <c r="B10" s="2400"/>
      <c r="C10" s="2398"/>
      <c r="D10" s="2398"/>
      <c r="E10" s="2398"/>
      <c r="F10" s="2398"/>
    </row>
    <row r="11" spans="1:9" ht="15.6">
      <c r="A11" s="2397" t="s">
        <v>692</v>
      </c>
      <c r="B11" s="2400"/>
      <c r="C11" s="2398"/>
      <c r="D11" s="2398"/>
      <c r="E11" s="2398"/>
      <c r="F11" s="2398"/>
    </row>
    <row r="12" spans="1:9" ht="15.6">
      <c r="A12" s="2398"/>
      <c r="B12" s="2398"/>
      <c r="C12" s="2398"/>
      <c r="D12" s="2398"/>
      <c r="E12" s="2398"/>
      <c r="F12" s="2398"/>
    </row>
    <row r="13" spans="1:9" ht="31.2">
      <c r="A13" s="2401" t="s">
        <v>693</v>
      </c>
      <c r="B13" s="2402" t="s">
        <v>681</v>
      </c>
      <c r="C13" s="2402" t="s">
        <v>682</v>
      </c>
      <c r="D13" s="2402" t="s">
        <v>694</v>
      </c>
      <c r="E13" s="2397" t="s">
        <v>685</v>
      </c>
      <c r="F13" s="2397" t="s">
        <v>686</v>
      </c>
      <c r="G13" s="2402" t="s">
        <v>695</v>
      </c>
      <c r="H13" s="2402" t="s">
        <v>696</v>
      </c>
      <c r="I13" s="2402" t="s">
        <v>697</v>
      </c>
    </row>
    <row r="14" spans="1:9" ht="15.6">
      <c r="A14" s="2403" t="s">
        <v>698</v>
      </c>
      <c r="B14" s="2402">
        <f>结果表!L38</f>
        <v>124721</v>
      </c>
      <c r="C14" s="2402">
        <f>结果表!K38</f>
        <v>10309.6</v>
      </c>
      <c r="D14" s="2402">
        <f ca="1">结果表!C42</f>
        <v>165151</v>
      </c>
      <c r="E14" s="2402">
        <f ca="1">ROUND(D14*10000/B14,0)</f>
        <v>13242</v>
      </c>
      <c r="F14" s="2402">
        <f ca="1">ROUND(D14*10000/C14,0)</f>
        <v>160191</v>
      </c>
      <c r="G14" s="2402">
        <f ca="1">结果表!C44</f>
        <v>165151</v>
      </c>
      <c r="H14" s="2402" t="str">
        <f>结果表!C45</f>
        <v>——</v>
      </c>
      <c r="I14" s="2402" t="str">
        <f>结果表!C46</f>
        <v>——</v>
      </c>
    </row>
    <row r="15" spans="1:9" ht="15.6">
      <c r="A15" s="2403" t="s">
        <v>699</v>
      </c>
      <c r="B15" s="2404"/>
      <c r="C15" s="2404"/>
      <c r="D15" s="2404"/>
      <c r="E15" s="2402" t="e">
        <f t="shared" ref="E15:E23" si="2">ROUND(D15*10000/B15,0)</f>
        <v>#DIV/0!</v>
      </c>
      <c r="F15" s="2402" t="e">
        <f t="shared" ref="F15:F23" si="3">ROUND(D15*10000/C15,0)</f>
        <v>#DIV/0!</v>
      </c>
      <c r="G15" s="2405"/>
      <c r="H15" s="2405"/>
      <c r="I15" s="2404"/>
    </row>
    <row r="16" spans="1:9" ht="15.6">
      <c r="A16" s="2403" t="s">
        <v>700</v>
      </c>
      <c r="B16" s="2404"/>
      <c r="C16" s="2404"/>
      <c r="D16" s="2404"/>
      <c r="E16" s="2402" t="e">
        <f t="shared" si="2"/>
        <v>#DIV/0!</v>
      </c>
      <c r="F16" s="2402" t="e">
        <f t="shared" si="3"/>
        <v>#DIV/0!</v>
      </c>
      <c r="G16" s="2405"/>
      <c r="H16" s="2405"/>
      <c r="I16" s="2404"/>
    </row>
    <row r="17" spans="1:9" ht="15.6">
      <c r="A17" s="2403" t="s">
        <v>701</v>
      </c>
      <c r="B17" s="2404"/>
      <c r="C17" s="2404"/>
      <c r="D17" s="2404"/>
      <c r="E17" s="2402" t="e">
        <f t="shared" si="2"/>
        <v>#DIV/0!</v>
      </c>
      <c r="F17" s="2402" t="e">
        <f t="shared" si="3"/>
        <v>#DIV/0!</v>
      </c>
      <c r="G17" s="2405"/>
      <c r="H17" s="2405"/>
      <c r="I17" s="2404"/>
    </row>
    <row r="18" spans="1:9" ht="15.6">
      <c r="A18" s="2403" t="s">
        <v>702</v>
      </c>
      <c r="B18" s="2404"/>
      <c r="C18" s="2404"/>
      <c r="D18" s="2404"/>
      <c r="E18" s="2402" t="e">
        <f t="shared" si="2"/>
        <v>#DIV/0!</v>
      </c>
      <c r="F18" s="2402" t="e">
        <f t="shared" si="3"/>
        <v>#DIV/0!</v>
      </c>
      <c r="G18" s="2404"/>
      <c r="H18" s="2404"/>
      <c r="I18" s="2404"/>
    </row>
    <row r="19" spans="1:9" ht="15.6">
      <c r="A19" s="2403" t="s">
        <v>703</v>
      </c>
      <c r="B19" s="2404"/>
      <c r="C19" s="2404"/>
      <c r="D19" s="2404"/>
      <c r="E19" s="2402" t="e">
        <f t="shared" si="2"/>
        <v>#DIV/0!</v>
      </c>
      <c r="F19" s="2402" t="e">
        <f t="shared" si="3"/>
        <v>#DIV/0!</v>
      </c>
      <c r="G19" s="2404"/>
      <c r="H19" s="2404"/>
      <c r="I19" s="2404"/>
    </row>
    <row r="20" spans="1:9" ht="15.6">
      <c r="A20" s="2403" t="s">
        <v>704</v>
      </c>
      <c r="B20" s="2404"/>
      <c r="C20" s="2404"/>
      <c r="D20" s="2404"/>
      <c r="E20" s="2402" t="e">
        <f t="shared" si="2"/>
        <v>#DIV/0!</v>
      </c>
      <c r="F20" s="2402" t="e">
        <f t="shared" si="3"/>
        <v>#DIV/0!</v>
      </c>
      <c r="G20" s="2404"/>
      <c r="H20" s="2404"/>
      <c r="I20" s="2404"/>
    </row>
    <row r="21" spans="1:9" ht="15.6">
      <c r="A21" s="2403" t="s">
        <v>705</v>
      </c>
      <c r="B21" s="2404"/>
      <c r="C21" s="2404"/>
      <c r="D21" s="2404"/>
      <c r="E21" s="2402" t="e">
        <f t="shared" si="2"/>
        <v>#DIV/0!</v>
      </c>
      <c r="F21" s="2402" t="e">
        <f t="shared" si="3"/>
        <v>#DIV/0!</v>
      </c>
      <c r="G21" s="2404"/>
      <c r="H21" s="2404"/>
      <c r="I21" s="2404"/>
    </row>
    <row r="22" spans="1:9" ht="15.6">
      <c r="A22" s="2403" t="s">
        <v>706</v>
      </c>
      <c r="B22" s="2404"/>
      <c r="C22" s="2404"/>
      <c r="D22" s="2404"/>
      <c r="E22" s="2402" t="e">
        <f t="shared" si="2"/>
        <v>#DIV/0!</v>
      </c>
      <c r="F22" s="2402" t="e">
        <f t="shared" si="3"/>
        <v>#DIV/0!</v>
      </c>
      <c r="G22" s="2404"/>
      <c r="H22" s="2404"/>
      <c r="I22" s="2404"/>
    </row>
    <row r="23" spans="1:9" ht="15.6">
      <c r="A23" s="2403" t="s">
        <v>707</v>
      </c>
      <c r="B23" s="2404"/>
      <c r="C23" s="2404"/>
      <c r="D23" s="2404"/>
      <c r="E23" s="2397" t="e">
        <f t="shared" si="2"/>
        <v>#DIV/0!</v>
      </c>
      <c r="F23" s="2397" t="e">
        <f t="shared" si="3"/>
        <v>#DIV/0!</v>
      </c>
      <c r="G23" s="2404"/>
      <c r="H23" s="2404"/>
      <c r="I23" s="2404"/>
    </row>
  </sheetData>
  <sheetProtection password="C66D" sheet="1" objects="1" scenarios="1" formatCells="0" formatColumns="0" formatRows="0"/>
  <phoneticPr fontId="23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G26" sqref="G26"/>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071" t="s">
        <v>708</v>
      </c>
      <c r="B1" s="2072"/>
      <c r="C1" s="2073" t="s">
        <v>709</v>
      </c>
      <c r="D1" s="2074"/>
      <c r="E1" s="2073" t="s">
        <v>710</v>
      </c>
      <c r="F1" s="2075"/>
      <c r="G1" s="115"/>
      <c r="H1" s="115"/>
      <c r="I1" s="115"/>
      <c r="J1" s="180"/>
      <c r="K1" s="180"/>
      <c r="L1" s="180"/>
      <c r="M1" s="180"/>
      <c r="N1" s="180"/>
      <c r="O1" s="180"/>
      <c r="P1" s="180"/>
      <c r="Q1" s="180"/>
      <c r="R1" s="180"/>
      <c r="S1" s="180"/>
      <c r="T1" s="180"/>
      <c r="U1" s="180"/>
      <c r="V1" s="180"/>
    </row>
    <row r="2" spans="1:22" ht="21.75" customHeight="1">
      <c r="A2" s="3265" t="str">
        <f>项目基本情况!K2</f>
        <v>江苏省苏州市姑苏区金门路100-1号（北）出让国有建设用地使用权</v>
      </c>
      <c r="B2" s="3266"/>
      <c r="C2" s="3267"/>
      <c r="D2" s="3267"/>
      <c r="E2" s="3267"/>
      <c r="F2" s="3267"/>
      <c r="G2" s="3266"/>
      <c r="H2" s="3266"/>
      <c r="I2" s="3268"/>
      <c r="J2" s="2187"/>
      <c r="K2" s="180"/>
      <c r="L2" s="180"/>
      <c r="M2" s="180"/>
      <c r="N2" s="180"/>
      <c r="O2" s="180"/>
      <c r="P2" s="180"/>
      <c r="Q2" s="180"/>
      <c r="R2" s="180"/>
      <c r="S2" s="180"/>
      <c r="T2" s="180"/>
      <c r="U2" s="180"/>
      <c r="V2" s="180"/>
    </row>
    <row r="3" spans="1:22" ht="13.8">
      <c r="A3" s="3269" t="s">
        <v>711</v>
      </c>
      <c r="B3" s="3270"/>
      <c r="C3" s="3270"/>
      <c r="D3" s="3270"/>
      <c r="E3" s="3270"/>
      <c r="F3" s="3270"/>
      <c r="G3" s="3270"/>
      <c r="H3" s="3270"/>
      <c r="I3" s="3270"/>
      <c r="J3" s="2187"/>
      <c r="K3" s="180"/>
      <c r="L3" s="180"/>
      <c r="M3" s="180"/>
      <c r="N3" s="180"/>
      <c r="O3" s="180"/>
      <c r="P3" s="180"/>
      <c r="Q3" s="180"/>
      <c r="R3" s="180"/>
      <c r="S3" s="180"/>
      <c r="T3" s="180"/>
      <c r="U3" s="180"/>
      <c r="V3" s="180"/>
    </row>
    <row r="4" spans="1:22" ht="14.4">
      <c r="A4" s="2076" t="s">
        <v>712</v>
      </c>
      <c r="B4" s="2038" t="s">
        <v>713</v>
      </c>
      <c r="C4" s="1114" t="s">
        <v>714</v>
      </c>
      <c r="D4" s="1114" t="s">
        <v>715</v>
      </c>
      <c r="E4" s="3271" t="s">
        <v>716</v>
      </c>
      <c r="F4" s="3272"/>
      <c r="G4" s="3272"/>
      <c r="H4" s="3272"/>
      <c r="I4" s="3273"/>
      <c r="J4" s="2187"/>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3.8">
      <c r="A5" s="3339" t="s">
        <v>717</v>
      </c>
      <c r="B5" s="3341">
        <v>25</v>
      </c>
      <c r="C5" s="3277"/>
      <c r="D5" s="3280"/>
      <c r="E5" s="929" t="s">
        <v>718</v>
      </c>
      <c r="F5" s="2079"/>
      <c r="G5" s="2079"/>
      <c r="H5" s="2079"/>
      <c r="I5" s="2189"/>
      <c r="J5" s="2187"/>
      <c r="K5" s="180"/>
      <c r="L5" s="180"/>
      <c r="M5" s="180"/>
      <c r="N5" s="180"/>
      <c r="O5" s="180"/>
      <c r="P5" s="180"/>
      <c r="Q5" s="180"/>
      <c r="R5" s="180"/>
      <c r="S5" s="180"/>
      <c r="T5" s="180"/>
      <c r="U5" s="180"/>
      <c r="V5" s="180"/>
    </row>
    <row r="6" spans="1:22" ht="13.8">
      <c r="A6" s="3339"/>
      <c r="B6" s="3341"/>
      <c r="C6" s="3279"/>
      <c r="D6" s="3280"/>
      <c r="E6" s="929" t="s">
        <v>719</v>
      </c>
      <c r="F6" s="2079"/>
      <c r="G6" s="2079"/>
      <c r="H6" s="2079"/>
      <c r="I6" s="2189"/>
      <c r="J6" s="2187"/>
      <c r="K6" s="180"/>
      <c r="L6" s="180"/>
      <c r="M6" s="180"/>
      <c r="N6" s="180"/>
      <c r="O6" s="180"/>
      <c r="P6" s="180"/>
      <c r="Q6" s="180"/>
      <c r="R6" s="180"/>
      <c r="S6" s="180"/>
      <c r="T6" s="180"/>
      <c r="U6" s="180"/>
      <c r="V6" s="180"/>
    </row>
    <row r="7" spans="1:22" ht="13.8">
      <c r="A7" s="3339"/>
      <c r="B7" s="3341"/>
      <c r="C7" s="3278"/>
      <c r="D7" s="3280"/>
      <c r="E7" s="929" t="s">
        <v>720</v>
      </c>
      <c r="F7" s="2079"/>
      <c r="G7" s="2079"/>
      <c r="H7" s="2079"/>
      <c r="I7" s="2189"/>
      <c r="J7" s="2187"/>
      <c r="K7" s="180"/>
      <c r="L7" s="180"/>
      <c r="M7" s="180"/>
      <c r="N7" s="180"/>
      <c r="O7" s="180"/>
      <c r="P7" s="180"/>
      <c r="Q7" s="180"/>
      <c r="R7" s="180"/>
      <c r="S7" s="180"/>
      <c r="T7" s="180"/>
      <c r="U7" s="180"/>
      <c r="V7" s="180"/>
    </row>
    <row r="8" spans="1:22" ht="13.8">
      <c r="A8" s="3339" t="s">
        <v>721</v>
      </c>
      <c r="B8" s="3341">
        <v>15</v>
      </c>
      <c r="C8" s="3277"/>
      <c r="D8" s="3280"/>
      <c r="E8" s="929" t="s">
        <v>722</v>
      </c>
      <c r="F8" s="2079"/>
      <c r="G8" s="2079"/>
      <c r="H8" s="2079"/>
      <c r="I8" s="2189"/>
      <c r="J8" s="2187"/>
      <c r="K8" s="180"/>
      <c r="L8" s="180"/>
      <c r="M8" s="180"/>
      <c r="N8" s="180"/>
      <c r="O8" s="180"/>
      <c r="P8" s="180"/>
      <c r="Q8" s="180"/>
      <c r="R8" s="180"/>
      <c r="S8" s="180"/>
      <c r="T8" s="180"/>
      <c r="U8" s="180"/>
      <c r="V8" s="180"/>
    </row>
    <row r="9" spans="1:22" ht="13.8">
      <c r="A9" s="3339"/>
      <c r="B9" s="3341"/>
      <c r="C9" s="3278"/>
      <c r="D9" s="3280"/>
      <c r="E9" s="929" t="s">
        <v>723</v>
      </c>
      <c r="F9" s="2079"/>
      <c r="G9" s="2079"/>
      <c r="H9" s="2079"/>
      <c r="I9" s="2189"/>
      <c r="J9" s="2187"/>
      <c r="K9" s="180"/>
      <c r="L9" s="180"/>
      <c r="M9" s="180"/>
      <c r="N9" s="180"/>
      <c r="O9" s="180"/>
      <c r="P9" s="180"/>
      <c r="Q9" s="180"/>
      <c r="R9" s="180"/>
      <c r="S9" s="180"/>
      <c r="T9" s="180"/>
      <c r="U9" s="180"/>
      <c r="V9" s="180"/>
    </row>
    <row r="10" spans="1:22" ht="13.8">
      <c r="A10" s="3339" t="s">
        <v>724</v>
      </c>
      <c r="B10" s="3341">
        <v>15</v>
      </c>
      <c r="C10" s="3277"/>
      <c r="D10" s="3280"/>
      <c r="E10" s="929" t="s">
        <v>725</v>
      </c>
      <c r="F10" s="2079"/>
      <c r="G10" s="2079"/>
      <c r="H10" s="2079"/>
      <c r="I10" s="2189"/>
      <c r="J10" s="2187"/>
      <c r="K10" s="180"/>
      <c r="L10" s="180"/>
      <c r="M10" s="180"/>
      <c r="N10" s="180"/>
      <c r="O10" s="180"/>
      <c r="P10" s="180"/>
      <c r="Q10" s="180"/>
      <c r="R10" s="180"/>
      <c r="S10" s="180"/>
      <c r="T10" s="180"/>
      <c r="U10" s="180"/>
      <c r="V10" s="180"/>
    </row>
    <row r="11" spans="1:22" ht="13.8">
      <c r="A11" s="3339"/>
      <c r="B11" s="3341"/>
      <c r="C11" s="3278"/>
      <c r="D11" s="3280"/>
      <c r="E11" s="929" t="s">
        <v>726</v>
      </c>
      <c r="F11" s="2079"/>
      <c r="G11" s="2079"/>
      <c r="H11" s="2079"/>
      <c r="I11" s="2189"/>
      <c r="J11" s="2187"/>
      <c r="K11" s="180"/>
      <c r="L11" s="180"/>
      <c r="M11" s="180"/>
      <c r="N11" s="180"/>
      <c r="O11" s="180"/>
      <c r="P11" s="180"/>
      <c r="Q11" s="180"/>
      <c r="R11" s="180"/>
      <c r="S11" s="180"/>
      <c r="T11" s="180"/>
      <c r="U11" s="180"/>
      <c r="V11" s="180"/>
    </row>
    <row r="12" spans="1:22" ht="13.8">
      <c r="A12" s="3339" t="s">
        <v>727</v>
      </c>
      <c r="B12" s="3341">
        <v>15</v>
      </c>
      <c r="C12" s="3277"/>
      <c r="D12" s="3280"/>
      <c r="E12" s="929" t="s">
        <v>728</v>
      </c>
      <c r="F12" s="2079"/>
      <c r="G12" s="2079"/>
      <c r="H12" s="2079"/>
      <c r="I12" s="2189"/>
      <c r="J12" s="2187"/>
      <c r="K12" s="180"/>
      <c r="L12" s="180"/>
      <c r="M12" s="180"/>
      <c r="N12" s="180"/>
      <c r="O12" s="180"/>
      <c r="P12" s="180"/>
      <c r="Q12" s="180"/>
      <c r="R12" s="180"/>
      <c r="S12" s="180"/>
      <c r="T12" s="180"/>
      <c r="U12" s="180"/>
      <c r="V12" s="180"/>
    </row>
    <row r="13" spans="1:22" ht="13.8">
      <c r="A13" s="3339"/>
      <c r="B13" s="3341"/>
      <c r="C13" s="3278"/>
      <c r="D13" s="3280"/>
      <c r="E13" s="929" t="s">
        <v>729</v>
      </c>
      <c r="F13" s="2079"/>
      <c r="G13" s="2079"/>
      <c r="H13" s="2079"/>
      <c r="I13" s="2189"/>
      <c r="J13" s="2187"/>
      <c r="K13" s="180"/>
      <c r="L13" s="180"/>
      <c r="M13" s="180"/>
      <c r="N13" s="180"/>
      <c r="O13" s="180"/>
      <c r="P13" s="180"/>
      <c r="Q13" s="180"/>
      <c r="R13" s="180"/>
      <c r="S13" s="180"/>
      <c r="T13" s="180"/>
      <c r="U13" s="180"/>
      <c r="V13" s="180"/>
    </row>
    <row r="14" spans="1:22" ht="13.8">
      <c r="A14" s="3339" t="s">
        <v>730</v>
      </c>
      <c r="B14" s="3341">
        <v>30</v>
      </c>
      <c r="C14" s="3277">
        <v>5</v>
      </c>
      <c r="D14" s="3280">
        <v>5</v>
      </c>
      <c r="E14" s="929" t="s">
        <v>731</v>
      </c>
      <c r="F14" s="2079"/>
      <c r="G14" s="2079"/>
      <c r="H14" s="2079"/>
      <c r="I14" s="2189"/>
      <c r="J14" s="2187"/>
      <c r="K14" s="180"/>
      <c r="L14" s="180"/>
      <c r="M14" s="180"/>
      <c r="N14" s="180"/>
      <c r="O14" s="180"/>
      <c r="P14" s="180"/>
      <c r="Q14" s="180"/>
      <c r="R14" s="180"/>
      <c r="S14" s="180"/>
      <c r="T14" s="180"/>
      <c r="U14" s="180"/>
      <c r="V14" s="180"/>
    </row>
    <row r="15" spans="1:22" ht="13.8">
      <c r="A15" s="3339"/>
      <c r="B15" s="3341"/>
      <c r="C15" s="3279"/>
      <c r="D15" s="3280"/>
      <c r="E15" s="929" t="s">
        <v>732</v>
      </c>
      <c r="F15" s="2079"/>
      <c r="G15" s="2079"/>
      <c r="H15" s="2079"/>
      <c r="I15" s="2189"/>
      <c r="J15" s="2187"/>
      <c r="K15" s="180"/>
      <c r="L15" s="180"/>
      <c r="M15" s="180"/>
      <c r="N15" s="180"/>
      <c r="O15" s="180"/>
      <c r="P15" s="180"/>
      <c r="Q15" s="180"/>
      <c r="R15" s="180"/>
      <c r="S15" s="180"/>
      <c r="T15" s="180"/>
      <c r="U15" s="180"/>
      <c r="V15" s="180"/>
    </row>
    <row r="16" spans="1:22" ht="13.8">
      <c r="A16" s="3339"/>
      <c r="B16" s="3341"/>
      <c r="C16" s="3278"/>
      <c r="D16" s="3280"/>
      <c r="E16" s="929" t="s">
        <v>733</v>
      </c>
      <c r="F16" s="2079"/>
      <c r="G16" s="2079"/>
      <c r="H16" s="2079"/>
      <c r="I16" s="2189"/>
      <c r="J16" s="2187"/>
      <c r="K16" s="180"/>
      <c r="L16" s="180"/>
      <c r="M16" s="180"/>
      <c r="N16" s="180"/>
      <c r="O16" s="180"/>
      <c r="P16" s="180"/>
      <c r="Q16" s="180"/>
      <c r="R16" s="180"/>
      <c r="S16" s="180"/>
      <c r="T16" s="180"/>
      <c r="U16" s="180"/>
      <c r="V16" s="180"/>
    </row>
    <row r="17" spans="1:26" ht="14.4">
      <c r="A17" s="2080" t="s">
        <v>734</v>
      </c>
      <c r="B17" s="2081"/>
      <c r="C17" s="2082">
        <f>SUM(C5:C16)</f>
        <v>5</v>
      </c>
      <c r="D17" s="2082">
        <f>SUM(D5:D16)</f>
        <v>5</v>
      </c>
      <c r="E17" s="115"/>
      <c r="F17" s="115"/>
      <c r="G17" s="115"/>
      <c r="H17" s="115"/>
      <c r="I17" s="115"/>
      <c r="J17" s="2187"/>
      <c r="K17" s="180"/>
      <c r="L17" s="180"/>
      <c r="M17" s="180"/>
      <c r="N17" s="180"/>
      <c r="O17" s="180"/>
      <c r="P17" s="180"/>
      <c r="Q17" s="180"/>
      <c r="R17" s="180"/>
      <c r="S17" s="180"/>
      <c r="T17" s="180"/>
      <c r="U17" s="180"/>
      <c r="V17" s="180"/>
    </row>
    <row r="18" spans="1:26" ht="14.4">
      <c r="A18" s="2083" t="s">
        <v>735</v>
      </c>
      <c r="B18" s="2084"/>
      <c r="C18" s="2085">
        <f>ROUND(C17/SUM(C17:D17),2)</f>
        <v>0.5</v>
      </c>
      <c r="D18" s="2085">
        <f>1-C18</f>
        <v>0.5</v>
      </c>
      <c r="E18" s="115"/>
      <c r="F18" s="115"/>
      <c r="G18" s="115"/>
      <c r="H18" s="115"/>
      <c r="I18" s="115"/>
      <c r="J18" s="180"/>
      <c r="K18" s="180"/>
      <c r="L18" s="180"/>
      <c r="M18" s="180"/>
      <c r="N18" s="180"/>
      <c r="O18" s="180"/>
      <c r="P18" s="180"/>
      <c r="Q18" s="180"/>
      <c r="R18" s="180"/>
      <c r="S18" s="180"/>
      <c r="T18" s="180"/>
      <c r="U18" s="180"/>
      <c r="V18" s="180"/>
    </row>
    <row r="19" spans="1:26" ht="14.4">
      <c r="A19" s="2086" t="s">
        <v>736</v>
      </c>
      <c r="B19" s="2087" t="s">
        <v>737</v>
      </c>
      <c r="C19" s="2088">
        <f ca="1">SUMIF(INDIRECT("'"&amp;C4&amp;"'"&amp;"!A:A"),结果表!B19,INDIRECT("'"&amp;C4&amp;"'"&amp;"!B:B"))</f>
        <v>156591</v>
      </c>
      <c r="D19" s="2089">
        <f ca="1">SUMIF(INDIRECT("'"&amp;D4&amp;"'"&amp;"!A:A"),结果表!B19,INDIRECT("'"&amp;D4&amp;"'"&amp;"!B:B"))</f>
        <v>173710</v>
      </c>
      <c r="E19" s="2086" t="s">
        <v>738</v>
      </c>
      <c r="F19" s="2087" t="s">
        <v>737</v>
      </c>
      <c r="G19" s="2090">
        <f ca="1">ROUND(C19*$C$18+D19*$D$18,0)</f>
        <v>165151</v>
      </c>
      <c r="H19" s="2091" t="s">
        <v>739</v>
      </c>
      <c r="I19" s="115"/>
      <c r="J19" s="180"/>
      <c r="K19" s="180"/>
      <c r="L19" s="180"/>
      <c r="M19" s="180"/>
      <c r="N19" s="180"/>
      <c r="O19" s="180"/>
      <c r="P19" s="180"/>
      <c r="Q19" s="180"/>
      <c r="R19" s="180"/>
      <c r="S19" s="180"/>
      <c r="T19" s="180"/>
      <c r="U19" s="180"/>
      <c r="V19" s="180"/>
    </row>
    <row r="20" spans="1:26" ht="14.4">
      <c r="A20" s="2092"/>
      <c r="B20" s="2093" t="s">
        <v>263</v>
      </c>
      <c r="C20" s="2094">
        <f ca="1">SUMIF(INDIRECT("'"&amp;C4&amp;"'"&amp;"!A:A"),结果表!B20,INDIRECT("'"&amp;C4&amp;"'"&amp;"!B:B"))</f>
        <v>12555</v>
      </c>
      <c r="D20" s="2095">
        <f ca="1">SUMIF(INDIRECT("'"&amp;D4&amp;"'"&amp;"!A:A"),结果表!B20,INDIRECT("'"&amp;D4&amp;"'"&amp;"!B:B"))</f>
        <v>13928</v>
      </c>
      <c r="E20" s="2092"/>
      <c r="F20" s="2093" t="s">
        <v>263</v>
      </c>
      <c r="G20" s="2096">
        <f ca="1">ROUND(C20*$C$18+D20*$D$18,0)</f>
        <v>13242</v>
      </c>
      <c r="H20" s="2021" t="s">
        <v>740</v>
      </c>
      <c r="I20" s="115"/>
      <c r="J20" s="180"/>
      <c r="K20" s="180"/>
      <c r="L20" s="180"/>
      <c r="M20" s="180"/>
      <c r="N20" s="180"/>
      <c r="O20" s="180"/>
      <c r="P20" s="180"/>
      <c r="Q20" s="180"/>
      <c r="R20" s="180"/>
      <c r="S20" s="180"/>
      <c r="T20" s="180"/>
      <c r="U20" s="180"/>
      <c r="V20" s="180"/>
    </row>
    <row r="21" spans="1:26" ht="15" customHeight="1">
      <c r="A21" s="2092"/>
      <c r="B21" s="2097" t="s">
        <v>251</v>
      </c>
      <c r="C21" s="2098">
        <f ca="1">SUMIF(INDIRECT("'"&amp;C4&amp;"'"&amp;"!A:A"),结果表!B21,INDIRECT("'"&amp;C4&amp;"'"&amp;"!B:B"))</f>
        <v>151889</v>
      </c>
      <c r="D21" s="2099">
        <f ca="1">SUMIF(INDIRECT("'"&amp;D4&amp;"'"&amp;"!A:A"),结果表!B21,INDIRECT("'"&amp;D4&amp;"'"&amp;"!B:B"))</f>
        <v>168493</v>
      </c>
      <c r="E21" s="2092"/>
      <c r="F21" s="2097" t="s">
        <v>251</v>
      </c>
      <c r="G21" s="2100">
        <f ca="1">ROUND(C21*$C$18+D21*$D$18,0)</f>
        <v>160191</v>
      </c>
      <c r="H21" s="2101" t="s">
        <v>740</v>
      </c>
      <c r="I21" s="115"/>
      <c r="J21" s="180"/>
      <c r="K21" s="180"/>
      <c r="L21" s="180"/>
      <c r="M21" s="180"/>
      <c r="N21" s="180"/>
      <c r="O21" s="180"/>
      <c r="P21" s="180"/>
      <c r="Q21" s="180"/>
      <c r="R21" s="180"/>
      <c r="S21" s="180"/>
      <c r="T21" s="180"/>
      <c r="U21" s="180"/>
      <c r="V21" s="180"/>
    </row>
    <row r="22" spans="1:26" ht="14.4">
      <c r="A22" s="2102" t="s">
        <v>741</v>
      </c>
      <c r="B22" s="2103"/>
      <c r="C22" s="2104"/>
      <c r="D22" s="2105">
        <f ca="1">IF(C19&lt;D19,D19/C19-1,C19/D19-1)</f>
        <v>0.10932301345543483</v>
      </c>
      <c r="E22" s="2013"/>
      <c r="F22" s="2106"/>
      <c r="G22" s="2107">
        <f ca="1">ROUND(G19/('数据-汇总表'!D3/666.67),0)</f>
        <v>10679</v>
      </c>
      <c r="H22" s="2108" t="s">
        <v>742</v>
      </c>
      <c r="I22" s="115"/>
      <c r="J22" s="180"/>
      <c r="K22" s="180"/>
      <c r="L22" s="180"/>
      <c r="M22" s="180"/>
      <c r="N22" s="180"/>
      <c r="O22" s="180"/>
      <c r="P22" s="180"/>
      <c r="Q22" s="180"/>
      <c r="R22" s="180"/>
      <c r="S22" s="180"/>
      <c r="T22" s="180"/>
      <c r="U22" s="180"/>
      <c r="V22" s="180"/>
    </row>
    <row r="23" spans="1:26" ht="13.2">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4">
      <c r="A24" s="3281" t="s">
        <v>743</v>
      </c>
      <c r="B24" s="2087" t="s">
        <v>737</v>
      </c>
      <c r="C24" s="2109">
        <f>IF(B30=0,0,D30)</f>
        <v>0</v>
      </c>
      <c r="D24" s="2110"/>
      <c r="E24" s="115"/>
      <c r="F24" s="115"/>
      <c r="G24" s="115"/>
      <c r="H24" s="115"/>
      <c r="I24" s="115"/>
      <c r="J24" s="180"/>
      <c r="K24" s="180"/>
      <c r="L24" s="180"/>
      <c r="M24" s="180"/>
      <c r="N24" s="180"/>
      <c r="O24" s="180"/>
      <c r="P24" s="180"/>
      <c r="Q24" s="180"/>
      <c r="R24" s="180"/>
      <c r="S24" s="180"/>
      <c r="T24" s="180"/>
      <c r="U24" s="180"/>
      <c r="V24" s="180"/>
    </row>
    <row r="25" spans="1:26" ht="17.399999999999999">
      <c r="A25" s="3340"/>
      <c r="B25" s="2111" t="s">
        <v>263</v>
      </c>
      <c r="C25" s="2112">
        <f>IF(B30=0,0,C30)</f>
        <v>0</v>
      </c>
      <c r="D25" s="2113"/>
      <c r="E25" s="115"/>
      <c r="F25" s="115"/>
      <c r="G25" s="115"/>
      <c r="H25" s="115"/>
      <c r="I25" s="115"/>
      <c r="J25" s="180"/>
      <c r="K25" s="2190" t="str">
        <f ca="1">项目基本情况!B16&amp;"国有建设用地使用权价格："&amp;O38&amp;"万元"</f>
        <v>出让国有建设用地使用权价格：165151万元</v>
      </c>
      <c r="L25" s="2191"/>
      <c r="M25" s="2191"/>
      <c r="N25" s="2191"/>
      <c r="O25" s="2192"/>
      <c r="P25" s="180"/>
      <c r="Q25" s="180"/>
      <c r="R25" s="180"/>
      <c r="S25" s="180"/>
      <c r="T25" s="180"/>
      <c r="U25" s="180"/>
      <c r="V25" s="180"/>
    </row>
    <row r="26" spans="1:26" s="2069" customFormat="1" ht="17.399999999999999">
      <c r="A26" s="2114" t="s">
        <v>744</v>
      </c>
      <c r="B26" s="2115" t="s">
        <v>745</v>
      </c>
      <c r="C26" s="2115" t="s">
        <v>746</v>
      </c>
      <c r="D26" s="2116" t="s">
        <v>747</v>
      </c>
      <c r="E26" s="115"/>
      <c r="F26" s="115"/>
      <c r="G26" s="115"/>
      <c r="H26" s="115"/>
      <c r="I26" s="115"/>
      <c r="J26" s="180"/>
      <c r="K26" s="2193" t="str">
        <f ca="1">"大写金额：人民币"&amp;NUMBERSTRING(INT(O38*10000),2)&amp;"元整"</f>
        <v>大写金额：人民币壹拾陆亿伍仟壹佰伍拾壹万元整</v>
      </c>
      <c r="L26" s="2103"/>
      <c r="M26" s="2103"/>
      <c r="N26" s="2103"/>
      <c r="O26" s="2101"/>
      <c r="P26" s="180"/>
      <c r="Q26" s="180"/>
      <c r="R26" s="180"/>
      <c r="S26" s="180"/>
      <c r="T26" s="180"/>
      <c r="U26" s="180"/>
      <c r="V26" s="180"/>
      <c r="W26" s="2236"/>
      <c r="X26" s="2236"/>
      <c r="Y26" s="2236"/>
      <c r="Z26" s="2236"/>
    </row>
    <row r="27" spans="1:26" ht="17.399999999999999">
      <c r="A27" s="2114">
        <f ca="1">G19/'数据-汇总表'!F27*10000</f>
        <v>16631.041643714994</v>
      </c>
      <c r="B27" s="2115"/>
      <c r="C27" s="2115"/>
      <c r="D27" s="2116"/>
      <c r="E27" s="115"/>
      <c r="F27" s="115"/>
      <c r="G27" s="115"/>
      <c r="H27" s="115"/>
      <c r="I27" s="115"/>
      <c r="J27" s="180"/>
      <c r="K27" s="2193" t="str">
        <f ca="1">"单位面积地价："&amp;M38&amp;"元/平方米"</f>
        <v>单位面积地价：160191元/平方米</v>
      </c>
      <c r="L27" s="2103"/>
      <c r="M27" s="2103"/>
      <c r="N27" s="2103"/>
      <c r="O27" s="2101"/>
      <c r="P27" s="180"/>
      <c r="Q27" s="180"/>
      <c r="R27" s="180"/>
      <c r="S27" s="180"/>
      <c r="T27" s="180"/>
      <c r="U27" s="180"/>
      <c r="V27" s="180"/>
    </row>
    <row r="28" spans="1:26" ht="18.75" customHeight="1">
      <c r="A28" s="2114">
        <f ca="1">G19/'数据-汇总表'!D3*10000</f>
        <v>160191.47202607279</v>
      </c>
      <c r="B28" s="2115"/>
      <c r="C28" s="2115"/>
      <c r="D28" s="2116"/>
      <c r="E28" s="115"/>
      <c r="F28" s="115"/>
      <c r="G28" s="115"/>
      <c r="H28" s="115"/>
      <c r="I28" s="115"/>
      <c r="J28" s="180"/>
      <c r="K28" s="2193" t="str">
        <f ca="1">"楼面地价："&amp;N38&amp;"元/平方米"</f>
        <v>楼面地价：13242元/平方米</v>
      </c>
      <c r="L28" s="2103"/>
      <c r="M28" s="2103"/>
      <c r="N28" s="2103"/>
      <c r="O28" s="2101"/>
      <c r="P28" s="180"/>
      <c r="V28" s="180"/>
    </row>
    <row r="29" spans="1:26" ht="17.399999999999999">
      <c r="A29" s="2114">
        <f ca="1">A28*666.67/10000</f>
        <v>10679.484865562195</v>
      </c>
      <c r="B29" s="2115"/>
      <c r="C29" s="2115"/>
      <c r="D29" s="2116"/>
      <c r="E29" s="115"/>
      <c r="F29" s="115"/>
      <c r="G29" s="115"/>
      <c r="H29" s="115"/>
      <c r="I29" s="115"/>
      <c r="J29" s="180"/>
      <c r="K29" s="2193" t="str">
        <f ca="1">IF(OR(项目基本情况!E8="抵押价格",项目基本情况!E8="已注销及未注销"),"抵押价格："&amp;O39&amp;"万元","——")</f>
        <v>抵押价格：165151万元</v>
      </c>
      <c r="L29" s="2103"/>
      <c r="M29" s="2103"/>
      <c r="N29" s="2103"/>
      <c r="O29" s="2101"/>
      <c r="P29" s="180"/>
      <c r="V29" s="180"/>
    </row>
    <row r="30" spans="1:26" ht="17.399999999999999">
      <c r="A30" s="2117" t="s">
        <v>748</v>
      </c>
      <c r="B30" s="2118"/>
      <c r="C30" s="2118"/>
      <c r="D30" s="2119"/>
      <c r="E30" s="2120" t="s">
        <v>749</v>
      </c>
      <c r="F30" s="115"/>
      <c r="G30" s="115"/>
      <c r="H30" s="115"/>
      <c r="I30" s="115"/>
      <c r="J30" s="180"/>
      <c r="K30" s="2193" t="str">
        <f ca="1">IF(K29="——","——","大写金额：人民币"&amp;NUMBERSTRING(INT(O39*10000),2)&amp;"元整")</f>
        <v>大写金额：人民币壹拾陆亿伍仟壹佰伍拾壹万元整</v>
      </c>
      <c r="L30" s="2103"/>
      <c r="M30" s="2103"/>
      <c r="N30" s="2103"/>
      <c r="O30" s="2101"/>
      <c r="P30" s="180"/>
      <c r="V30" s="180"/>
    </row>
    <row r="31" spans="1:26" ht="24" customHeight="1">
      <c r="A31" s="115"/>
      <c r="B31" s="115"/>
      <c r="C31" s="115"/>
      <c r="D31" s="115"/>
      <c r="E31" s="115"/>
      <c r="F31" s="115"/>
      <c r="G31" s="115"/>
      <c r="H31" s="115"/>
      <c r="I31" s="115"/>
      <c r="J31" s="180"/>
      <c r="K31" s="2194" t="str">
        <f>IF(项目基本情况!E8="抵押价格","——","抵押担保权已注销时的抵押价格："&amp;O40&amp;"万元")</f>
        <v>——</v>
      </c>
      <c r="L31" s="2195"/>
      <c r="M31" s="2195"/>
      <c r="N31" s="2195"/>
      <c r="O31" s="2196"/>
      <c r="P31" s="180"/>
      <c r="V31" s="180"/>
    </row>
    <row r="32" spans="1:26" ht="17.399999999999999">
      <c r="A32" s="2086" t="s">
        <v>750</v>
      </c>
      <c r="B32" s="2121" t="s">
        <v>751</v>
      </c>
      <c r="C32" s="2122">
        <f ca="1">G19-C24</f>
        <v>165151</v>
      </c>
      <c r="D32" s="2123" t="s">
        <v>752</v>
      </c>
      <c r="E32" s="115"/>
      <c r="F32" s="115"/>
      <c r="G32" s="115"/>
      <c r="H32" s="115"/>
      <c r="I32" s="115"/>
      <c r="J32" s="180"/>
      <c r="K32" s="2197" t="str">
        <f>IF(K31="——","——","大写金额：人民币"&amp;NUMBERSTRING(INT(O40*10000),2)&amp;"元整")</f>
        <v>——</v>
      </c>
      <c r="L32" s="2198"/>
      <c r="M32" s="2198"/>
      <c r="N32" s="2198"/>
      <c r="O32" s="2199"/>
      <c r="P32" s="180"/>
      <c r="V32" s="180"/>
    </row>
    <row r="33" spans="1:26" ht="17.399999999999999">
      <c r="A33" s="2124" t="s">
        <v>753</v>
      </c>
      <c r="B33" s="2125" t="s">
        <v>754</v>
      </c>
      <c r="C33" s="2080">
        <f ca="1">ROUND(C32*10000/'数据-汇总表'!E3,0)</f>
        <v>13242</v>
      </c>
      <c r="D33" s="2126" t="s">
        <v>755</v>
      </c>
      <c r="E33" s="3281" t="s">
        <v>756</v>
      </c>
      <c r="F33" s="2127" t="s">
        <v>757</v>
      </c>
      <c r="G33" s="2128"/>
      <c r="H33" s="2129"/>
      <c r="I33" s="2200"/>
      <c r="J33" s="180"/>
      <c r="K33" s="2193" t="str">
        <f>IF(项目基本情况!E9="——","——","抵押净值："&amp;C46&amp;"万元")</f>
        <v>——</v>
      </c>
      <c r="L33" s="2103"/>
      <c r="M33" s="2103"/>
      <c r="N33" s="2103"/>
      <c r="O33" s="2101"/>
      <c r="P33" s="180"/>
      <c r="V33" s="180"/>
    </row>
    <row r="34" spans="1:26" s="2069" customFormat="1" ht="17.399999999999999">
      <c r="A34" s="2130"/>
      <c r="B34" s="2131" t="s">
        <v>758</v>
      </c>
      <c r="C34" s="2080">
        <f ca="1">ROUND(C32*10000/'数据-汇总表'!D3,0)</f>
        <v>160191</v>
      </c>
      <c r="D34" s="2132" t="s">
        <v>755</v>
      </c>
      <c r="E34" s="3282"/>
      <c r="F34" s="2133" t="s">
        <v>759</v>
      </c>
      <c r="G34" s="2134"/>
      <c r="H34" s="2084"/>
      <c r="I34" s="115"/>
      <c r="J34" s="180"/>
      <c r="K34" s="2201" t="str">
        <f>IF(K33="——","——","大写金额：人民币"&amp;NUMBERSTRING(INT(O41*10000),2)&amp;"元整")</f>
        <v>——</v>
      </c>
      <c r="L34" s="2202"/>
      <c r="M34" s="2202"/>
      <c r="N34" s="2202"/>
      <c r="O34" s="2203"/>
      <c r="P34" s="180"/>
      <c r="Q34" s="2236"/>
      <c r="R34" s="2236"/>
      <c r="S34" s="2236"/>
      <c r="T34" s="2236"/>
      <c r="U34" s="2236"/>
      <c r="V34" s="180"/>
      <c r="W34" s="2236"/>
      <c r="X34" s="2236"/>
      <c r="Y34" s="2236"/>
      <c r="Z34" s="2236"/>
    </row>
    <row r="35" spans="1:26" ht="14.4">
      <c r="A35" s="2013"/>
      <c r="B35" s="2135"/>
      <c r="C35" s="2136">
        <f ca="1">ROUND(C32/('数据-汇总表'!D3/666.67),0)</f>
        <v>10679</v>
      </c>
      <c r="D35" s="2137" t="s">
        <v>760</v>
      </c>
      <c r="E35" s="3283"/>
      <c r="F35" s="2138" t="s">
        <v>761</v>
      </c>
      <c r="G35" s="2139"/>
      <c r="H35" s="2140" t="s">
        <v>762</v>
      </c>
      <c r="I35" s="115"/>
      <c r="J35" s="180"/>
      <c r="K35" s="3284" t="s">
        <v>763</v>
      </c>
      <c r="L35" s="3284" t="s">
        <v>764</v>
      </c>
      <c r="M35" s="2204" t="s">
        <v>765</v>
      </c>
      <c r="N35" s="3284" t="s">
        <v>766</v>
      </c>
      <c r="O35" s="3284" t="s">
        <v>767</v>
      </c>
      <c r="P35" s="180"/>
      <c r="V35" s="180"/>
    </row>
    <row r="36" spans="1:26" ht="16.5" customHeight="1">
      <c r="A36" s="2141" t="s">
        <v>768</v>
      </c>
      <c r="B36" s="2142" t="s">
        <v>745</v>
      </c>
      <c r="C36" s="2143" t="s">
        <v>746</v>
      </c>
      <c r="D36" s="2143" t="s">
        <v>769</v>
      </c>
      <c r="E36" s="2144" t="s">
        <v>747</v>
      </c>
      <c r="F36" s="115"/>
      <c r="G36" s="115"/>
      <c r="H36" s="115"/>
      <c r="I36" s="115"/>
      <c r="J36" s="2205"/>
      <c r="K36" s="3285"/>
      <c r="L36" s="3285"/>
      <c r="M36" s="2206" t="s">
        <v>770</v>
      </c>
      <c r="N36" s="3285"/>
      <c r="O36" s="3285"/>
      <c r="P36" s="180"/>
      <c r="V36" s="180"/>
    </row>
    <row r="37" spans="1:26" ht="16.5" customHeight="1">
      <c r="A37" s="2145" t="s">
        <v>771</v>
      </c>
      <c r="B37" s="2146"/>
      <c r="C37" s="2115"/>
      <c r="D37" s="2115"/>
      <c r="E37" s="2116"/>
      <c r="F37" s="115"/>
      <c r="G37" s="115"/>
      <c r="H37" s="115"/>
      <c r="I37" s="115"/>
      <c r="J37" s="2205"/>
      <c r="K37" s="3286"/>
      <c r="L37" s="3286"/>
      <c r="M37" s="2207"/>
      <c r="N37" s="3286"/>
      <c r="O37" s="3286"/>
      <c r="P37" s="180"/>
      <c r="V37" s="180"/>
    </row>
    <row r="38" spans="1:26" ht="16.5" customHeight="1">
      <c r="A38" s="2145" t="s">
        <v>772</v>
      </c>
      <c r="B38" s="2146"/>
      <c r="C38" s="2115"/>
      <c r="D38" s="2115"/>
      <c r="E38" s="2116"/>
      <c r="F38" s="115"/>
      <c r="G38" s="115"/>
      <c r="H38" s="115"/>
      <c r="I38" s="115"/>
      <c r="J38" s="2205"/>
      <c r="K38" s="2208">
        <f>'数据-汇总表'!D3</f>
        <v>10309.6</v>
      </c>
      <c r="L38" s="2209">
        <f>'数据-汇总表'!E3</f>
        <v>124721</v>
      </c>
      <c r="M38" s="2209">
        <f ca="1">C34</f>
        <v>160191</v>
      </c>
      <c r="N38" s="2209">
        <f ca="1">C33</f>
        <v>13242</v>
      </c>
      <c r="O38" s="2210">
        <f ca="1">C32</f>
        <v>165151</v>
      </c>
      <c r="P38" s="180"/>
      <c r="V38" s="180"/>
    </row>
    <row r="39" spans="1:26" ht="16.5" customHeight="1">
      <c r="A39" s="2147"/>
      <c r="B39" s="2148"/>
      <c r="C39" s="2118"/>
      <c r="D39" s="2118"/>
      <c r="E39" s="2119"/>
      <c r="F39" s="115"/>
      <c r="G39" s="115"/>
      <c r="H39" s="115"/>
      <c r="I39" s="115"/>
      <c r="J39" s="2205"/>
      <c r="K39" s="3274" t="str">
        <f>MID(A44,3,LEN(A44)-2)</f>
        <v>抵押价格</v>
      </c>
      <c r="L39" s="3275"/>
      <c r="M39" s="3275"/>
      <c r="N39" s="3276"/>
      <c r="O39" s="2211">
        <f ca="1">C44</f>
        <v>165151</v>
      </c>
      <c r="P39" s="180"/>
      <c r="V39" s="180"/>
    </row>
    <row r="40" spans="1:26" ht="17.399999999999999">
      <c r="A40" s="2149" t="s">
        <v>773</v>
      </c>
      <c r="B40" s="115"/>
      <c r="C40" s="115"/>
      <c r="D40" s="115"/>
      <c r="E40" s="115"/>
      <c r="F40" s="115"/>
      <c r="G40" s="115"/>
      <c r="H40" s="115"/>
      <c r="I40" s="115"/>
      <c r="J40" s="2205"/>
      <c r="K40" s="3274" t="str">
        <f t="shared" ref="K40:K41" si="0">MID(A45,3,LEN(A45)-2)</f>
        <v/>
      </c>
      <c r="L40" s="3275"/>
      <c r="M40" s="3275"/>
      <c r="N40" s="3276"/>
      <c r="O40" s="2211" t="str">
        <f>C45</f>
        <v>——</v>
      </c>
      <c r="P40" s="180"/>
      <c r="V40" s="180"/>
    </row>
    <row r="41" spans="1:26" ht="15.6">
      <c r="A41" s="2150" t="s">
        <v>774</v>
      </c>
      <c r="B41" s="2151"/>
      <c r="C41" s="2152" t="s">
        <v>775</v>
      </c>
      <c r="D41" s="2153" t="s">
        <v>776</v>
      </c>
      <c r="E41" s="2153" t="s">
        <v>777</v>
      </c>
      <c r="F41" s="2154" t="s">
        <v>778</v>
      </c>
      <c r="G41" s="115"/>
      <c r="H41" s="115"/>
      <c r="I41" s="115"/>
      <c r="J41" s="2205"/>
      <c r="K41" s="3274" t="str">
        <f t="shared" si="0"/>
        <v/>
      </c>
      <c r="L41" s="3275"/>
      <c r="M41" s="3275"/>
      <c r="N41" s="3276"/>
      <c r="O41" s="2211" t="str">
        <f>C46</f>
        <v>——</v>
      </c>
      <c r="P41" s="180"/>
      <c r="V41" s="180"/>
    </row>
    <row r="42" spans="1:26" ht="31.2">
      <c r="A42" s="3289" t="s">
        <v>779</v>
      </c>
      <c r="B42" s="3290"/>
      <c r="C42" s="2080">
        <f ca="1">C32</f>
        <v>165151</v>
      </c>
      <c r="D42" s="2155">
        <f ca="1">C33</f>
        <v>13242</v>
      </c>
      <c r="E42" s="2155">
        <f ca="1">C34</f>
        <v>160191</v>
      </c>
      <c r="F42" s="2156">
        <f ca="1">C35</f>
        <v>10679</v>
      </c>
      <c r="G42" s="115"/>
      <c r="H42" s="115"/>
      <c r="I42" s="2212"/>
      <c r="J42" s="2205"/>
      <c r="K42" s="2213" t="s">
        <v>780</v>
      </c>
      <c r="L42" s="2214" t="s">
        <v>781</v>
      </c>
      <c r="M42" s="2215" t="s">
        <v>782</v>
      </c>
      <c r="N42" s="2216" t="s">
        <v>783</v>
      </c>
      <c r="O42" s="2217" t="s">
        <v>784</v>
      </c>
      <c r="P42" s="180"/>
      <c r="V42" s="180"/>
    </row>
    <row r="43" spans="1:26" ht="30">
      <c r="A43" s="3291" t="s">
        <v>785</v>
      </c>
      <c r="B43" s="3292"/>
      <c r="C43" s="2080">
        <f>IF(H33="正常操作",G33+G34+G35,G34+G35)</f>
        <v>0</v>
      </c>
      <c r="D43" s="2155" t="s">
        <v>138</v>
      </c>
      <c r="E43" s="2155" t="s">
        <v>138</v>
      </c>
      <c r="F43" s="2156" t="s">
        <v>138</v>
      </c>
      <c r="G43" s="2157" t="s">
        <v>138</v>
      </c>
      <c r="H43" s="115"/>
      <c r="I43" s="2212"/>
      <c r="J43" s="2205"/>
      <c r="K43" s="2218" t="str">
        <f>C4</f>
        <v>剩余法-待开发</v>
      </c>
      <c r="L43" s="2219">
        <f ca="1">IF(L42="估价结果/万元",C19,C20)</f>
        <v>156591</v>
      </c>
      <c r="M43" s="2220">
        <f>C18</f>
        <v>0.5</v>
      </c>
      <c r="N43" s="2221">
        <f ca="1">IF(N42="测算结果/万元",G19,G20)</f>
        <v>165151</v>
      </c>
      <c r="O43" s="2222">
        <f ca="1">IF(O42="最终结果/万元",C32,C33)</f>
        <v>165151</v>
      </c>
      <c r="P43" s="180"/>
      <c r="V43" s="180"/>
    </row>
    <row r="44" spans="1:26" ht="30">
      <c r="A44" s="3289" t="str">
        <f>IF(OR(项目基本情况!E8="抵押价格",项目基本情况!E8="已注销及未注销"),"3.抵押价格","——")</f>
        <v>3.抵押价格</v>
      </c>
      <c r="B44" s="3290"/>
      <c r="C44" s="2080">
        <f ca="1">IF(A44="——","——",C42-C43)</f>
        <v>165151</v>
      </c>
      <c r="D44" s="2155">
        <f ca="1">ROUND(C44*10000/'数据-汇总表'!E3,0)</f>
        <v>13242</v>
      </c>
      <c r="E44" s="2155">
        <f ca="1">ROUND(C44*10000/'数据-汇总表'!D3,0)</f>
        <v>160191</v>
      </c>
      <c r="F44" s="2156">
        <f ca="1">ROUND(C44/('数据-汇总表'!D3/666.67),0)</f>
        <v>10679</v>
      </c>
      <c r="G44" s="115"/>
      <c r="H44" s="115"/>
      <c r="I44" s="2212"/>
      <c r="J44" s="2205"/>
      <c r="K44" s="2223" t="str">
        <f>D4</f>
        <v>比较法-住宅、综合</v>
      </c>
      <c r="L44" s="2224">
        <f ca="1">IF(L42="估价结果/万元",D19,D20)</f>
        <v>173710</v>
      </c>
      <c r="M44" s="2225">
        <f>D18</f>
        <v>0.5</v>
      </c>
      <c r="N44" s="2226"/>
      <c r="O44" s="2227"/>
      <c r="P44" s="180"/>
      <c r="V44" s="180"/>
    </row>
    <row r="45" spans="1:26" ht="13.8">
      <c r="A45" s="3293" t="str">
        <f>IF(项目基本情况!E8="已注销及未注销","4.抵押担保权已注销时的抵押价格",IF(项目基本情况!E8="已注销","3.抵押担保权已注销时的抵押价格","——"))</f>
        <v>——</v>
      </c>
      <c r="B45" s="3294"/>
      <c r="C45" s="2158" t="str">
        <f>IF(A45="——","——",IF(项目基本情况!E8="抵押价格","——",C32-G34-G35))</f>
        <v>——</v>
      </c>
      <c r="D45" s="2155" t="e">
        <f>ROUND(C45*10000/'数据-汇总表'!E3,0)</f>
        <v>#VALUE!</v>
      </c>
      <c r="E45" s="2155" t="e">
        <f>ROUND(C45*10000/'数据-汇总表'!D3,0)</f>
        <v>#VALUE!</v>
      </c>
      <c r="F45" s="2156" t="e">
        <f>ROUND(C45/('数据-汇总表'!D3/666.67),0)</f>
        <v>#VALUE!</v>
      </c>
      <c r="G45" s="115"/>
      <c r="H45" s="115"/>
      <c r="I45" s="2212"/>
      <c r="J45" s="2205"/>
      <c r="K45" s="180"/>
      <c r="L45" s="180"/>
      <c r="M45" s="180"/>
      <c r="N45" s="180"/>
      <c r="O45" s="180"/>
      <c r="P45" s="180"/>
      <c r="V45" s="180"/>
    </row>
    <row r="46" spans="1:26" ht="13.8">
      <c r="A46" s="3330" t="str">
        <f>IF(项目基本情况!E9="抵押净值",IF(A45="——","4.抵押净值","5.抵押净值"),"——")</f>
        <v>——</v>
      </c>
      <c r="B46" s="3331"/>
      <c r="C46" s="2159" t="str">
        <f>IF(A46="——","——",O79)</f>
        <v>——</v>
      </c>
      <c r="D46" s="2155" t="e">
        <f>ROUND(C46*10000/'数据-汇总表'!E3,0)</f>
        <v>#VALUE!</v>
      </c>
      <c r="E46" s="2155" t="e">
        <f>ROUND(C46*10000/'数据-汇总表'!D3,0)</f>
        <v>#VALUE!</v>
      </c>
      <c r="F46" s="2156" t="e">
        <f>ROUND(C46/('数据-汇总表'!D3/666.67),0)</f>
        <v>#VALUE!</v>
      </c>
      <c r="G46" s="115"/>
      <c r="H46" s="115"/>
      <c r="I46" s="2212"/>
      <c r="J46" s="2205"/>
      <c r="K46" s="180"/>
      <c r="L46" s="180"/>
      <c r="M46" s="180"/>
      <c r="N46" s="180"/>
      <c r="O46" s="180"/>
      <c r="P46" s="180"/>
      <c r="Q46" s="180"/>
      <c r="R46" s="180"/>
      <c r="S46" s="180"/>
      <c r="T46" s="180"/>
      <c r="U46" s="180"/>
      <c r="V46" s="180"/>
    </row>
    <row r="47" spans="1:26" ht="15.6">
      <c r="A47" s="2160" t="s">
        <v>786</v>
      </c>
      <c r="B47" s="2161"/>
      <c r="C47" s="2162" t="s">
        <v>787</v>
      </c>
      <c r="D47" s="2163"/>
      <c r="E47" s="2163"/>
      <c r="F47" s="2163"/>
      <c r="G47" s="2164"/>
      <c r="H47" s="2165"/>
      <c r="I47" s="2228"/>
      <c r="J47" s="220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3.2">
      <c r="A48" s="2166">
        <v>1</v>
      </c>
      <c r="B48" s="2167"/>
      <c r="C48" s="2167"/>
      <c r="D48" s="2163"/>
      <c r="E48" s="2163"/>
      <c r="F48" s="2163"/>
      <c r="G48" s="2163"/>
      <c r="H48" s="2168"/>
      <c r="I48" s="2229"/>
      <c r="J48" s="2205"/>
      <c r="K48" s="180"/>
      <c r="L48" s="180"/>
      <c r="M48" s="180"/>
      <c r="N48" s="180"/>
      <c r="O48" s="180"/>
      <c r="P48" s="180"/>
      <c r="Q48" s="180"/>
      <c r="R48" s="180"/>
      <c r="S48" s="180"/>
      <c r="T48" s="180"/>
      <c r="U48" s="180"/>
      <c r="V48" s="180"/>
    </row>
    <row r="49" spans="1:22" ht="13.2">
      <c r="A49" s="2166">
        <v>2</v>
      </c>
      <c r="B49" s="2167"/>
      <c r="C49" s="2167"/>
      <c r="D49" s="2163"/>
      <c r="E49" s="2163"/>
      <c r="F49" s="2163"/>
      <c r="G49" s="2163"/>
      <c r="H49" s="2168"/>
      <c r="I49" s="2229"/>
      <c r="J49" s="2230"/>
      <c r="K49" s="180"/>
      <c r="L49" s="180"/>
      <c r="M49" s="180"/>
      <c r="N49" s="180"/>
      <c r="O49" s="180"/>
      <c r="P49" s="180"/>
      <c r="Q49" s="180"/>
      <c r="R49" s="180"/>
      <c r="S49" s="180"/>
      <c r="T49" s="180"/>
      <c r="U49" s="180"/>
      <c r="V49" s="180"/>
    </row>
    <row r="50" spans="1:22" ht="13.2">
      <c r="A50" s="2166">
        <v>3</v>
      </c>
      <c r="B50" s="2167"/>
      <c r="C50" s="2167"/>
      <c r="D50" s="2163"/>
      <c r="E50" s="2163"/>
      <c r="F50" s="2163"/>
      <c r="G50" s="2163"/>
      <c r="H50" s="2168"/>
      <c r="I50" s="2229"/>
      <c r="J50" s="2230"/>
      <c r="K50" s="180"/>
      <c r="L50" s="180"/>
      <c r="M50" s="180"/>
      <c r="N50" s="180"/>
      <c r="O50" s="180"/>
      <c r="P50" s="180"/>
      <c r="Q50" s="180"/>
      <c r="R50" s="180"/>
      <c r="S50" s="180"/>
      <c r="T50" s="180"/>
      <c r="U50" s="180"/>
      <c r="V50" s="180"/>
    </row>
    <row r="51" spans="1:22" ht="13.2">
      <c r="A51" s="2169"/>
      <c r="B51" s="2170"/>
      <c r="C51" s="2170"/>
      <c r="D51" s="2171"/>
      <c r="E51" s="2171"/>
      <c r="F51" s="2171"/>
      <c r="G51" s="2171"/>
      <c r="H51" s="2172"/>
      <c r="I51" s="2231"/>
      <c r="J51" s="2230"/>
      <c r="K51" s="180"/>
      <c r="L51" s="180"/>
      <c r="M51" s="180"/>
      <c r="N51" s="180"/>
      <c r="O51" s="180"/>
      <c r="P51" s="180"/>
      <c r="Q51" s="180"/>
      <c r="R51" s="180"/>
      <c r="S51" s="180"/>
      <c r="T51" s="180"/>
      <c r="U51" s="180"/>
      <c r="V51" s="180"/>
    </row>
    <row r="52" spans="1:22" ht="13.2">
      <c r="A52" s="2167"/>
      <c r="B52" s="2167"/>
      <c r="C52" s="2167"/>
      <c r="D52" s="2163"/>
      <c r="E52" s="2163"/>
      <c r="F52" s="2163"/>
      <c r="G52" s="2163"/>
      <c r="H52" s="2168"/>
      <c r="I52" s="69"/>
      <c r="J52" s="2230"/>
      <c r="K52" s="180"/>
      <c r="L52" s="180"/>
      <c r="M52" s="180"/>
      <c r="N52" s="180"/>
      <c r="O52" s="180"/>
      <c r="P52" s="180"/>
      <c r="Q52" s="180"/>
      <c r="R52" s="180"/>
      <c r="S52" s="180"/>
      <c r="T52" s="180"/>
      <c r="U52" s="180"/>
      <c r="V52" s="180"/>
    </row>
    <row r="53" spans="1:22" ht="13.2">
      <c r="A53" s="69"/>
      <c r="B53" s="69"/>
      <c r="C53" s="69"/>
      <c r="D53" s="69"/>
      <c r="E53" s="69"/>
      <c r="F53" s="2173" t="s">
        <v>788</v>
      </c>
      <c r="G53" s="2174"/>
      <c r="H53" s="2174"/>
      <c r="I53" s="2232" t="s">
        <v>789</v>
      </c>
      <c r="J53" s="2230"/>
      <c r="K53" s="180"/>
      <c r="L53" s="180"/>
      <c r="M53" s="180"/>
      <c r="N53" s="180"/>
      <c r="O53" s="180"/>
      <c r="P53" s="180"/>
      <c r="Q53" s="180"/>
      <c r="R53" s="180"/>
      <c r="S53" s="180"/>
      <c r="T53" s="180"/>
      <c r="U53" s="180"/>
      <c r="V53" s="180"/>
    </row>
    <row r="54" spans="1:22" ht="13.2">
      <c r="A54" s="69"/>
      <c r="B54" s="2175" t="s">
        <v>790</v>
      </c>
      <c r="C54" s="69"/>
      <c r="D54" s="69"/>
      <c r="E54" s="69"/>
      <c r="F54" s="69"/>
      <c r="G54" s="69"/>
      <c r="H54" s="69"/>
      <c r="I54" s="69"/>
      <c r="J54" s="2230"/>
      <c r="K54" s="180"/>
      <c r="L54" s="180"/>
      <c r="M54" s="180"/>
      <c r="N54" s="180"/>
      <c r="O54" s="180"/>
      <c r="P54" s="180"/>
      <c r="Q54" s="180"/>
      <c r="R54" s="180"/>
      <c r="S54" s="180"/>
      <c r="T54" s="180"/>
      <c r="U54" s="180"/>
      <c r="V54" s="180"/>
    </row>
    <row r="55" spans="1:22" ht="13.2">
      <c r="A55" s="69"/>
      <c r="B55" s="69"/>
      <c r="C55" s="69"/>
      <c r="D55" s="69"/>
      <c r="E55" s="69"/>
      <c r="F55" s="69"/>
      <c r="G55" s="69"/>
      <c r="H55" s="69"/>
      <c r="I55" s="69"/>
      <c r="J55" s="2230"/>
      <c r="K55" s="180"/>
      <c r="L55" s="180"/>
      <c r="M55" s="180"/>
      <c r="N55" s="180"/>
      <c r="O55" s="180"/>
      <c r="P55" s="180"/>
      <c r="Q55" s="180"/>
      <c r="R55" s="180"/>
      <c r="S55" s="180"/>
      <c r="T55" s="180"/>
      <c r="U55" s="180"/>
      <c r="V55" s="180"/>
    </row>
    <row r="56" spans="1:22" ht="13.2">
      <c r="A56" s="69"/>
      <c r="B56" s="2174"/>
      <c r="C56" s="2174"/>
      <c r="D56" s="2174"/>
      <c r="E56" s="2174"/>
      <c r="F56" s="2174"/>
      <c r="G56" s="2174"/>
      <c r="H56" s="2174"/>
      <c r="I56" s="2232" t="s">
        <v>791</v>
      </c>
      <c r="J56" s="2230"/>
      <c r="K56" s="180"/>
      <c r="L56" s="180"/>
      <c r="M56" s="180"/>
      <c r="N56" s="180"/>
      <c r="O56" s="180"/>
      <c r="P56" s="180"/>
      <c r="Q56" s="180"/>
      <c r="R56" s="180"/>
      <c r="S56" s="180"/>
      <c r="T56" s="180"/>
      <c r="U56" s="180"/>
      <c r="V56" s="180"/>
    </row>
    <row r="57" spans="1:22" ht="13.2">
      <c r="A57" s="69"/>
      <c r="B57" s="2175" t="s">
        <v>792</v>
      </c>
      <c r="C57" s="69"/>
      <c r="D57" s="69"/>
      <c r="E57" s="69"/>
      <c r="F57" s="69"/>
      <c r="G57" s="69"/>
      <c r="H57" s="69"/>
      <c r="I57" s="69"/>
      <c r="J57" s="2230"/>
      <c r="K57" s="180"/>
      <c r="L57" s="180"/>
      <c r="M57" s="180"/>
      <c r="N57" s="180"/>
      <c r="O57" s="180"/>
      <c r="P57" s="180"/>
      <c r="Q57" s="180"/>
      <c r="R57" s="180"/>
      <c r="S57" s="180"/>
      <c r="T57" s="180"/>
      <c r="U57" s="180"/>
      <c r="V57" s="180"/>
    </row>
    <row r="58" spans="1:22" ht="13.2">
      <c r="A58" s="69"/>
      <c r="B58" s="2175"/>
      <c r="C58" s="69"/>
      <c r="D58" s="69"/>
      <c r="E58" s="69"/>
      <c r="F58" s="69"/>
      <c r="G58" s="69"/>
      <c r="H58" s="69"/>
      <c r="I58" s="69"/>
      <c r="J58" s="2230"/>
      <c r="K58" s="180"/>
      <c r="L58" s="180"/>
      <c r="M58" s="180"/>
      <c r="N58" s="180"/>
      <c r="O58" s="180"/>
      <c r="P58" s="180"/>
      <c r="Q58" s="180"/>
      <c r="R58" s="180"/>
      <c r="S58" s="180"/>
      <c r="T58" s="180"/>
      <c r="U58" s="180"/>
      <c r="V58" s="180"/>
    </row>
    <row r="59" spans="1:22" ht="13.2">
      <c r="A59" s="69"/>
      <c r="B59" s="2174"/>
      <c r="C59" s="2174"/>
      <c r="D59" s="2174"/>
      <c r="E59" s="2174"/>
      <c r="F59" s="2174"/>
      <c r="G59" s="2174"/>
      <c r="H59" s="2174"/>
      <c r="I59" s="2232" t="s">
        <v>791</v>
      </c>
      <c r="J59" s="2230"/>
      <c r="K59" s="180"/>
      <c r="L59" s="180"/>
      <c r="M59" s="180"/>
      <c r="N59" s="180"/>
      <c r="O59" s="180"/>
      <c r="P59" s="180"/>
      <c r="Q59" s="180"/>
      <c r="R59" s="180"/>
      <c r="S59" s="180"/>
      <c r="T59" s="180"/>
      <c r="U59" s="180"/>
      <c r="V59" s="180"/>
    </row>
    <row r="60" spans="1:22" ht="13.2">
      <c r="A60" s="69"/>
      <c r="B60" s="69"/>
      <c r="C60" s="69"/>
      <c r="D60" s="69"/>
      <c r="E60" s="69"/>
      <c r="F60" s="69"/>
      <c r="G60" s="69"/>
      <c r="H60" s="69"/>
      <c r="I60" s="69"/>
      <c r="J60" s="2230"/>
      <c r="K60" s="180"/>
      <c r="L60" s="180"/>
      <c r="M60" s="180"/>
      <c r="N60" s="180"/>
      <c r="O60" s="180"/>
      <c r="P60" s="180"/>
      <c r="Q60" s="180"/>
      <c r="R60" s="180"/>
      <c r="S60" s="180"/>
      <c r="T60" s="180"/>
      <c r="U60" s="180"/>
      <c r="V60" s="180"/>
    </row>
    <row r="61" spans="1:22" ht="13.2">
      <c r="A61" s="69"/>
      <c r="B61" s="2175"/>
      <c r="C61" s="2176"/>
      <c r="D61" s="2177"/>
      <c r="E61" s="2177"/>
      <c r="F61" s="2178"/>
      <c r="G61" s="69"/>
      <c r="H61" s="69"/>
      <c r="I61" s="69"/>
      <c r="J61" s="2230"/>
      <c r="K61" s="180"/>
      <c r="L61" s="180"/>
      <c r="M61" s="180"/>
      <c r="N61" s="180"/>
      <c r="O61" s="180"/>
      <c r="P61" s="180"/>
      <c r="Q61" s="180"/>
      <c r="R61" s="180"/>
      <c r="S61" s="180"/>
      <c r="T61" s="180"/>
      <c r="U61" s="180"/>
      <c r="V61" s="180"/>
    </row>
    <row r="62" spans="1:22" ht="17.399999999999999">
      <c r="A62" s="2179" t="s">
        <v>793</v>
      </c>
      <c r="B62" s="2180"/>
      <c r="C62" s="2180"/>
      <c r="D62" s="2181"/>
      <c r="E62" s="2181"/>
      <c r="F62" s="2182"/>
      <c r="G62" s="2182"/>
      <c r="H62" s="2182"/>
      <c r="I62" s="2182"/>
      <c r="J62" s="2233"/>
      <c r="K62" s="180"/>
      <c r="L62" s="180"/>
      <c r="M62" s="180"/>
      <c r="N62" s="180"/>
      <c r="O62" s="180"/>
      <c r="P62" s="180"/>
      <c r="Q62" s="180"/>
      <c r="R62" s="180"/>
      <c r="S62" s="180"/>
      <c r="T62" s="180"/>
      <c r="U62" s="180"/>
      <c r="V62" s="180"/>
    </row>
    <row r="63" spans="1:22" ht="14.25" customHeight="1">
      <c r="A63" s="3332" t="s">
        <v>794</v>
      </c>
      <c r="B63" s="3333"/>
      <c r="C63" s="3334"/>
      <c r="D63" s="954">
        <f ca="1">ROUND(C42*F63,0)</f>
        <v>99091</v>
      </c>
      <c r="E63" s="2183" t="s">
        <v>795</v>
      </c>
      <c r="F63" s="2184">
        <v>0.6</v>
      </c>
      <c r="G63" s="2185" t="s">
        <v>796</v>
      </c>
      <c r="H63" s="115"/>
      <c r="I63" s="115"/>
      <c r="J63" s="180"/>
      <c r="K63" s="180"/>
      <c r="L63" s="180"/>
      <c r="M63" s="180"/>
      <c r="N63" s="180"/>
      <c r="O63" s="180"/>
      <c r="P63" s="115"/>
      <c r="Q63" s="180"/>
      <c r="R63" s="180"/>
      <c r="S63" s="180"/>
      <c r="T63" s="180"/>
      <c r="U63" s="180"/>
      <c r="V63" s="180"/>
    </row>
    <row r="64" spans="1:22" ht="14.25" customHeight="1">
      <c r="A64" s="3335" t="s">
        <v>797</v>
      </c>
      <c r="B64" s="3336"/>
      <c r="C64" s="3336"/>
      <c r="D64" s="3336"/>
      <c r="E64" s="3336"/>
      <c r="F64" s="3336"/>
      <c r="G64" s="3337"/>
      <c r="H64" s="2186"/>
      <c r="I64" s="116"/>
      <c r="J64" s="117"/>
      <c r="K64" s="2234" t="s">
        <v>798</v>
      </c>
      <c r="L64" s="2235"/>
      <c r="M64" s="2235"/>
      <c r="N64" s="2235"/>
      <c r="O64" s="2235"/>
      <c r="P64" s="115"/>
      <c r="Q64" s="180"/>
      <c r="R64" s="180"/>
      <c r="S64" s="180"/>
      <c r="T64" s="180"/>
      <c r="U64" s="180"/>
      <c r="V64" s="180"/>
    </row>
    <row r="65" spans="1:22" ht="12" customHeight="1">
      <c r="A65" s="2237" t="s">
        <v>799</v>
      </c>
      <c r="B65" s="2238"/>
      <c r="C65" s="2239"/>
      <c r="D65" s="2240" t="s">
        <v>800</v>
      </c>
      <c r="E65" s="121" t="s">
        <v>801</v>
      </c>
      <c r="F65" s="2241" t="s">
        <v>802</v>
      </c>
      <c r="G65" s="2242" t="s">
        <v>803</v>
      </c>
      <c r="H65" s="2186"/>
      <c r="I65" s="116"/>
      <c r="J65" s="117"/>
      <c r="K65" s="2340"/>
      <c r="L65" s="2341"/>
      <c r="M65" s="2341"/>
      <c r="N65" s="2342" t="s">
        <v>804</v>
      </c>
      <c r="O65" s="2343"/>
      <c r="P65" s="2344"/>
      <c r="Q65" s="180"/>
      <c r="R65" s="180"/>
      <c r="S65" s="180"/>
      <c r="T65" s="180"/>
      <c r="U65" s="180"/>
      <c r="V65" s="180"/>
    </row>
    <row r="66" spans="1:22" ht="26.4">
      <c r="A66" s="3338" t="s">
        <v>805</v>
      </c>
      <c r="B66" s="3307"/>
      <c r="C66" s="3307"/>
      <c r="D66" s="929">
        <f ca="1">IF(H66="情况1",0,IF(H66="情况2",D70,IF(H66="情况3",D71,IF(H66="情况4",D72))))</f>
        <v>5285</v>
      </c>
      <c r="E66" s="948" t="str">
        <f>IF(H66="情况4","(销售额-原购置价)×税（费）率","销售额×税（费）率")</f>
        <v>销售额×税（费）率</v>
      </c>
      <c r="F66" s="2243">
        <f>IF(H66="情况1","免征",'数据-取费表'!B41)</f>
        <v>5.6000000000000001E-2</v>
      </c>
      <c r="G66" s="2244" t="s">
        <v>806</v>
      </c>
      <c r="H66" s="2245" t="s">
        <v>807</v>
      </c>
      <c r="I66" s="2186"/>
      <c r="J66" s="2345"/>
      <c r="K66" s="2346">
        <v>1</v>
      </c>
      <c r="L66" s="3287" t="s">
        <v>808</v>
      </c>
      <c r="M66" s="3288"/>
      <c r="N66" s="2347"/>
      <c r="O66" s="2348"/>
      <c r="P66" s="2349"/>
      <c r="Q66" s="180"/>
      <c r="R66" s="180"/>
      <c r="S66" s="180"/>
      <c r="T66" s="180"/>
      <c r="U66" s="180"/>
      <c r="V66" s="180"/>
    </row>
    <row r="67" spans="1:22" ht="25.5" customHeight="1">
      <c r="A67" s="2246" t="s">
        <v>809</v>
      </c>
      <c r="B67" s="3299" t="s">
        <v>810</v>
      </c>
      <c r="C67" s="3299"/>
      <c r="D67" s="2247">
        <v>0</v>
      </c>
      <c r="E67" s="2248" t="s">
        <v>811</v>
      </c>
      <c r="F67" s="2249" t="s">
        <v>138</v>
      </c>
      <c r="G67" s="3303"/>
      <c r="H67" s="115"/>
      <c r="I67" s="2350"/>
      <c r="J67" s="2351"/>
      <c r="K67" s="2352">
        <v>2</v>
      </c>
      <c r="L67" s="3300" t="s">
        <v>812</v>
      </c>
      <c r="M67" s="3300"/>
      <c r="N67" s="2353">
        <f>'数据-取费表'!B2</f>
        <v>43654</v>
      </c>
      <c r="O67" s="2353"/>
      <c r="P67" s="2353"/>
      <c r="Q67" s="180"/>
      <c r="R67" s="180"/>
      <c r="S67" s="180"/>
      <c r="T67" s="180"/>
      <c r="U67" s="180"/>
      <c r="V67" s="180"/>
    </row>
    <row r="68" spans="1:22" ht="25.5" customHeight="1">
      <c r="A68" s="2251"/>
      <c r="B68" s="3299" t="s">
        <v>813</v>
      </c>
      <c r="C68" s="3299"/>
      <c r="D68" s="2252"/>
      <c r="E68" s="2253"/>
      <c r="F68" s="2254"/>
      <c r="G68" s="3304"/>
      <c r="H68" s="115"/>
      <c r="I68" s="2350"/>
      <c r="J68" s="2351"/>
      <c r="K68" s="2352">
        <v>3</v>
      </c>
      <c r="L68" s="3300" t="s">
        <v>814</v>
      </c>
      <c r="M68" s="3300"/>
      <c r="N68" s="2354">
        <f ca="1">C42</f>
        <v>165151</v>
      </c>
      <c r="O68" s="2354"/>
      <c r="P68" s="2354"/>
      <c r="Q68" s="180"/>
      <c r="R68" s="180"/>
      <c r="S68" s="180"/>
      <c r="T68" s="180"/>
      <c r="U68" s="180"/>
      <c r="V68" s="180"/>
    </row>
    <row r="69" spans="1:22" ht="12" customHeight="1">
      <c r="A69" s="2255"/>
      <c r="B69" s="3299" t="s">
        <v>815</v>
      </c>
      <c r="C69" s="3299"/>
      <c r="D69" s="2256"/>
      <c r="E69" s="2257"/>
      <c r="F69" s="2254"/>
      <c r="G69" s="3305"/>
      <c r="H69" s="115"/>
      <c r="I69" s="2350"/>
      <c r="J69" s="2351"/>
      <c r="K69" s="2355">
        <v>4</v>
      </c>
      <c r="L69" s="3301" t="s">
        <v>816</v>
      </c>
      <c r="M69" s="3302"/>
      <c r="N69" s="2356">
        <f ca="1">C44</f>
        <v>165151</v>
      </c>
      <c r="O69" s="2356"/>
      <c r="P69" s="2356"/>
      <c r="Q69" s="180"/>
      <c r="R69" s="180"/>
      <c r="S69" s="180"/>
      <c r="T69" s="180"/>
      <c r="U69" s="180"/>
      <c r="V69" s="180"/>
    </row>
    <row r="70" spans="1:22" ht="24" customHeight="1">
      <c r="A70" s="2259" t="s">
        <v>817</v>
      </c>
      <c r="B70" s="3299" t="s">
        <v>818</v>
      </c>
      <c r="C70" s="3299"/>
      <c r="D70" s="2256">
        <f ca="1">ROUND(D63*'数据-取费表'!B41/(1+'数据-取费表'!C42),0)</f>
        <v>5285</v>
      </c>
      <c r="E70" s="124" t="s">
        <v>819</v>
      </c>
      <c r="F70" s="2260">
        <f>'数据-取费表'!B41</f>
        <v>5.6000000000000001E-2</v>
      </c>
      <c r="G70" s="2261"/>
      <c r="H70" s="115"/>
      <c r="I70" s="2350"/>
      <c r="J70" s="2351"/>
      <c r="K70" s="2357"/>
      <c r="L70" s="2358"/>
      <c r="M70" s="2358"/>
      <c r="N70" s="2359" t="s">
        <v>797</v>
      </c>
      <c r="O70" s="2358"/>
      <c r="P70" s="2360"/>
      <c r="Q70" s="180"/>
      <c r="R70" s="180"/>
      <c r="S70" s="180"/>
      <c r="T70" s="180"/>
      <c r="U70" s="180"/>
      <c r="V70" s="180"/>
    </row>
    <row r="71" spans="1:22" ht="12" customHeight="1">
      <c r="A71" s="2259" t="s">
        <v>820</v>
      </c>
      <c r="B71" s="3296" t="s">
        <v>821</v>
      </c>
      <c r="C71" s="3297"/>
      <c r="D71" s="2256">
        <f ca="1">ROUND(D63*'数据-取费表'!B41/(1+'数据-取费表'!C42),0)</f>
        <v>5285</v>
      </c>
      <c r="E71" s="124" t="s">
        <v>819</v>
      </c>
      <c r="F71" s="2260">
        <f>'数据-取费表'!B41</f>
        <v>5.6000000000000001E-2</v>
      </c>
      <c r="G71" s="2261"/>
      <c r="H71" s="115"/>
      <c r="I71" s="2350"/>
      <c r="J71" s="2351"/>
      <c r="K71" s="2361" t="s">
        <v>822</v>
      </c>
      <c r="L71" s="3295" t="s">
        <v>799</v>
      </c>
      <c r="M71" s="3295"/>
      <c r="N71" s="2361" t="s">
        <v>823</v>
      </c>
      <c r="O71" s="2361" t="s">
        <v>824</v>
      </c>
      <c r="P71" s="2361" t="s">
        <v>802</v>
      </c>
      <c r="Q71" s="180"/>
      <c r="R71" s="180"/>
      <c r="S71" s="180"/>
      <c r="T71" s="180"/>
      <c r="U71" s="180"/>
      <c r="V71" s="180"/>
    </row>
    <row r="72" spans="1:22" ht="12" customHeight="1">
      <c r="A72" s="2259" t="s">
        <v>825</v>
      </c>
      <c r="B72" s="3296" t="s">
        <v>826</v>
      </c>
      <c r="C72" s="3297"/>
      <c r="D72" s="2256">
        <f ca="1">C86</f>
        <v>5173</v>
      </c>
      <c r="E72" s="2257" t="s">
        <v>827</v>
      </c>
      <c r="F72" s="2260">
        <f>'数据-取费表'!B41</f>
        <v>5.6000000000000001E-2</v>
      </c>
      <c r="G72" s="2261"/>
      <c r="H72" s="2262"/>
      <c r="I72" s="2350"/>
      <c r="J72" s="2351"/>
      <c r="K72" s="2352">
        <v>1</v>
      </c>
      <c r="L72" s="3298" t="s">
        <v>828</v>
      </c>
      <c r="M72" s="3298"/>
      <c r="N72" s="2362">
        <f ca="1">D66</f>
        <v>5285</v>
      </c>
      <c r="O72" s="1127" t="str">
        <f>E66</f>
        <v>销售额×税（费）率</v>
      </c>
      <c r="P72" s="2363">
        <f>F66</f>
        <v>5.6000000000000001E-2</v>
      </c>
      <c r="Q72" s="180"/>
      <c r="R72" s="180"/>
      <c r="S72" s="180"/>
      <c r="T72" s="180"/>
      <c r="U72" s="180"/>
      <c r="V72" s="180"/>
    </row>
    <row r="73" spans="1:22" ht="24" customHeight="1">
      <c r="A73" s="3306" t="s">
        <v>829</v>
      </c>
      <c r="B73" s="3307"/>
      <c r="C73" s="3307"/>
      <c r="D73" s="2263">
        <f>IF(H73="个人住宅",0,ROUND(D63*I73,0))</f>
        <v>0</v>
      </c>
      <c r="E73" s="124" t="s">
        <v>830</v>
      </c>
      <c r="F73" s="2260" t="str">
        <f>IF(H73="正常",I73,"免征")</f>
        <v>免征</v>
      </c>
      <c r="G73" s="2261"/>
      <c r="H73" s="2245" t="s">
        <v>831</v>
      </c>
      <c r="I73" s="2260">
        <f>'数据-取费表'!B49</f>
        <v>5.0000000000000001E-4</v>
      </c>
      <c r="J73" s="2351"/>
      <c r="K73" s="2352">
        <v>2</v>
      </c>
      <c r="L73" s="3298" t="s">
        <v>832</v>
      </c>
      <c r="M73" s="3298"/>
      <c r="N73" s="2362">
        <f t="shared" ref="N73:P74" si="1">D73</f>
        <v>0</v>
      </c>
      <c r="O73" s="1127" t="str">
        <f t="shared" si="1"/>
        <v>销售额×税（费）率</v>
      </c>
      <c r="P73" s="2363" t="str">
        <f t="shared" si="1"/>
        <v>免征</v>
      </c>
      <c r="Q73" s="180"/>
      <c r="R73" s="180"/>
      <c r="S73" s="180"/>
      <c r="T73" s="180"/>
      <c r="U73" s="180"/>
      <c r="V73" s="180"/>
    </row>
    <row r="74" spans="1:22" ht="25.2">
      <c r="A74" s="3306" t="s">
        <v>833</v>
      </c>
      <c r="B74" s="3307"/>
      <c r="C74" s="3307"/>
      <c r="D74" s="2263">
        <f ca="1">IF(H74="个人住宅",D75,D76)</f>
        <v>55430</v>
      </c>
      <c r="E74" s="124" t="s">
        <v>834</v>
      </c>
      <c r="F74" s="2260" t="str">
        <f>IF(H74="正常",F76,"免征")</f>
        <v>——</v>
      </c>
      <c r="G74" s="2264" t="s">
        <v>806</v>
      </c>
      <c r="H74" s="2265" t="s">
        <v>835</v>
      </c>
      <c r="I74" s="2267"/>
      <c r="J74" s="2351"/>
      <c r="K74" s="2352">
        <v>3</v>
      </c>
      <c r="L74" s="3298" t="s">
        <v>836</v>
      </c>
      <c r="M74" s="3298"/>
      <c r="N74" s="2362">
        <f t="shared" ca="1" si="1"/>
        <v>55430</v>
      </c>
      <c r="O74" s="1127" t="str">
        <f t="shared" si="1"/>
        <v>增值额×税（费）率</v>
      </c>
      <c r="P74" s="2364" t="str">
        <f t="shared" si="1"/>
        <v>——</v>
      </c>
      <c r="Q74" s="180"/>
      <c r="R74" s="180"/>
      <c r="S74" s="180"/>
      <c r="T74" s="180"/>
      <c r="U74" s="180"/>
      <c r="V74" s="180"/>
    </row>
    <row r="75" spans="1:22" ht="24">
      <c r="A75" s="2259" t="s">
        <v>809</v>
      </c>
      <c r="B75" s="3271" t="s">
        <v>837</v>
      </c>
      <c r="C75" s="3273"/>
      <c r="D75" s="2266">
        <v>0</v>
      </c>
      <c r="E75" s="2248" t="s">
        <v>811</v>
      </c>
      <c r="F75" s="78"/>
      <c r="G75" s="2261"/>
      <c r="H75" s="2267"/>
      <c r="I75" s="2267"/>
      <c r="J75" s="2351"/>
      <c r="K75" s="2352">
        <f>IF(H77="非个人房产","",4)</f>
        <v>4</v>
      </c>
      <c r="L75" s="3298" t="str">
        <f>IF(H77="非个人房产","——","个人所得税")</f>
        <v>个人所得税</v>
      </c>
      <c r="M75" s="3298"/>
      <c r="N75" s="2365">
        <f ca="1">D77</f>
        <v>991</v>
      </c>
      <c r="O75" s="1140" t="str">
        <f>E77</f>
        <v>销售额×税（费）率</v>
      </c>
      <c r="P75" s="2366">
        <f>F77</f>
        <v>0.01</v>
      </c>
      <c r="Q75" s="180"/>
      <c r="R75" s="180"/>
      <c r="S75" s="180"/>
      <c r="T75" s="180"/>
      <c r="U75" s="180"/>
      <c r="V75" s="180"/>
    </row>
    <row r="76" spans="1:22" ht="25.2">
      <c r="A76" s="2259" t="s">
        <v>817</v>
      </c>
      <c r="B76" s="3271" t="s">
        <v>838</v>
      </c>
      <c r="C76" s="3272"/>
      <c r="D76" s="2263">
        <f ca="1">IF(H76="转让取得",C99,C115)</f>
        <v>55430</v>
      </c>
      <c r="E76" s="124" t="s">
        <v>834</v>
      </c>
      <c r="F76" s="121" t="s">
        <v>138</v>
      </c>
      <c r="G76" s="2261"/>
      <c r="H76" s="2265" t="s">
        <v>839</v>
      </c>
      <c r="I76" s="2267"/>
      <c r="J76" s="2351"/>
      <c r="K76" s="2352" t="str">
        <f>IF(项目基本情况!K6="上海银行",IF(K75="",4,K75+1),"")</f>
        <v/>
      </c>
      <c r="L76" s="3308" t="str">
        <f>IF(项目基本情况!K6="上海银行","其他处置费用","")</f>
        <v/>
      </c>
      <c r="M76" s="3309"/>
      <c r="N76" s="2362" t="str">
        <f>IF(项目基本情况!K6="上海银行",N89,"")</f>
        <v/>
      </c>
      <c r="O76" s="3310" t="str">
        <f>IF(项目基本情况!K6="上海银行","包含处置中涉及的律师、诉讼、拍卖、评估等费用","")</f>
        <v/>
      </c>
      <c r="P76" s="3311"/>
      <c r="Q76" s="180"/>
      <c r="R76" s="180"/>
      <c r="S76" s="180"/>
      <c r="T76" s="180"/>
      <c r="U76" s="180"/>
      <c r="V76" s="180"/>
    </row>
    <row r="77" spans="1:22" ht="26.4">
      <c r="A77" s="3312" t="s">
        <v>840</v>
      </c>
      <c r="B77" s="3313"/>
      <c r="C77" s="3313"/>
      <c r="D77" s="2268">
        <f ca="1">IF(H77="非个人房产","——",IF(H77="个人住宅",0,ROUND(D63*I77,0)))</f>
        <v>991</v>
      </c>
      <c r="E77" s="2269" t="str">
        <f>IF(H77="非个人房产","——","销售额×税（费）率")</f>
        <v>销售额×税（费）率</v>
      </c>
      <c r="F77" s="2270">
        <f>IF(H77="非个人房产","——",IF(H77="个人住宅","免征",I77))</f>
        <v>0.01</v>
      </c>
      <c r="G77" s="2271" t="s">
        <v>806</v>
      </c>
      <c r="H77" s="2265" t="s">
        <v>841</v>
      </c>
      <c r="I77" s="2368">
        <v>0.01</v>
      </c>
      <c r="J77" s="2351"/>
      <c r="K77" s="3315">
        <f>IF(AND(K75="",K76=""),4,IF(项目基本情况!K6="上海银行",K76+1,K75+1))</f>
        <v>5</v>
      </c>
      <c r="L77" s="3298" t="s">
        <v>468</v>
      </c>
      <c r="M77" s="2369" t="s">
        <v>842</v>
      </c>
      <c r="N77" s="2370"/>
      <c r="O77" s="2371">
        <f ca="1">SUMIF(N72:N76,"&lt;9e307")</f>
        <v>61706</v>
      </c>
      <c r="P77" s="2372"/>
      <c r="Q77" s="2391">
        <f ca="1">O77/N69</f>
        <v>0.37363382601376921</v>
      </c>
      <c r="R77" s="180"/>
      <c r="S77" s="180"/>
      <c r="T77" s="180"/>
      <c r="U77" s="180"/>
      <c r="V77" s="180"/>
    </row>
    <row r="78" spans="1:22" ht="12" customHeight="1">
      <c r="A78" s="2272"/>
      <c r="B78" s="115"/>
      <c r="C78" s="115"/>
      <c r="D78" s="115"/>
      <c r="E78" s="2267"/>
      <c r="F78" s="2267"/>
      <c r="G78" s="2267"/>
      <c r="H78" s="2273"/>
      <c r="I78" s="115"/>
      <c r="J78" s="2351"/>
      <c r="K78" s="3315"/>
      <c r="L78" s="3298"/>
      <c r="M78" s="2369" t="s">
        <v>843</v>
      </c>
      <c r="N78" s="2370"/>
      <c r="O78" s="2371" t="str">
        <f ca="1">NUMBERSTRING(INT(O77*10000),2)&amp;"元整"</f>
        <v>陆亿壹仟柒佰零陆万元整</v>
      </c>
      <c r="P78" s="2372"/>
      <c r="Q78" s="180"/>
      <c r="R78" s="180"/>
      <c r="S78" s="180"/>
      <c r="T78" s="180"/>
      <c r="U78" s="180"/>
      <c r="V78" s="180"/>
    </row>
    <row r="79" spans="1:22" ht="13.2">
      <c r="A79" s="3314" t="s">
        <v>844</v>
      </c>
      <c r="B79" s="3314"/>
      <c r="C79" s="3314"/>
      <c r="D79" s="3314"/>
      <c r="E79" s="3314"/>
      <c r="F79" s="2267"/>
      <c r="G79" s="2267"/>
      <c r="H79" s="2273"/>
      <c r="I79" s="115"/>
      <c r="J79" s="2351"/>
      <c r="K79" s="3326">
        <f>K77+1</f>
        <v>6</v>
      </c>
      <c r="L79" s="3298" t="s">
        <v>845</v>
      </c>
      <c r="M79" s="2369" t="s">
        <v>842</v>
      </c>
      <c r="N79" s="2370"/>
      <c r="O79" s="2371">
        <f ca="1">N69-O77</f>
        <v>103445</v>
      </c>
      <c r="P79" s="2372"/>
      <c r="Q79" s="180"/>
      <c r="R79" s="180"/>
      <c r="S79" s="180"/>
      <c r="T79" s="180"/>
      <c r="U79" s="180"/>
      <c r="V79" s="180"/>
    </row>
    <row r="80" spans="1:22" ht="39.6">
      <c r="A80" s="3319" t="s">
        <v>846</v>
      </c>
      <c r="B80" s="3320"/>
      <c r="C80" s="2274"/>
      <c r="D80" s="2274" t="s">
        <v>847</v>
      </c>
      <c r="E80" s="2275" t="s">
        <v>803</v>
      </c>
      <c r="F80" s="2267"/>
      <c r="G80" s="2267"/>
      <c r="H80" s="2273"/>
      <c r="I80" s="115"/>
      <c r="J80" s="180"/>
      <c r="K80" s="3327"/>
      <c r="L80" s="3298"/>
      <c r="M80" s="2369" t="s">
        <v>843</v>
      </c>
      <c r="N80" s="2370"/>
      <c r="O80" s="2371" t="str">
        <f ca="1">NUMBERSTRING(INT(O79*10000),2)&amp;"元整"</f>
        <v>壹拾亿叁仟肆佰肆拾伍万元整</v>
      </c>
      <c r="P80" s="2372"/>
      <c r="Q80" s="180"/>
      <c r="R80" s="180"/>
      <c r="S80" s="180"/>
      <c r="T80" s="180"/>
      <c r="U80" s="180"/>
      <c r="V80" s="180"/>
    </row>
    <row r="81" spans="1:26" ht="13.2">
      <c r="A81" s="2276" t="s">
        <v>848</v>
      </c>
      <c r="B81" s="2277" t="s">
        <v>849</v>
      </c>
      <c r="C81" s="2278">
        <f ca="1">ROUND((C82+C83)/(1+'数据-取费表'!C42),0)</f>
        <v>94372</v>
      </c>
      <c r="D81" s="2279"/>
      <c r="E81" s="2280"/>
      <c r="F81" s="2267"/>
      <c r="G81" s="2267"/>
      <c r="H81" s="2273"/>
      <c r="I81" s="115"/>
      <c r="J81" s="180"/>
      <c r="K81" s="2352">
        <f>K79+1</f>
        <v>7</v>
      </c>
      <c r="L81" s="3321" t="s">
        <v>850</v>
      </c>
      <c r="M81" s="3322"/>
      <c r="N81" s="2373"/>
      <c r="O81" s="2374">
        <f ca="1">ROUND(O79*10000/'数据-汇总表'!E3,0)</f>
        <v>8294</v>
      </c>
      <c r="P81" s="2375"/>
      <c r="Q81" s="180"/>
      <c r="R81" s="180"/>
      <c r="S81" s="180"/>
      <c r="T81" s="180"/>
      <c r="U81" s="180"/>
      <c r="V81" s="180"/>
    </row>
    <row r="82" spans="1:26" ht="13.2">
      <c r="A82" s="2004" t="s">
        <v>851</v>
      </c>
      <c r="B82" s="2281" t="s">
        <v>852</v>
      </c>
      <c r="C82" s="2282">
        <f ca="1">D63</f>
        <v>99091</v>
      </c>
      <c r="D82" s="1555" t="s">
        <v>138</v>
      </c>
      <c r="E82" s="2283"/>
      <c r="F82" s="2267"/>
      <c r="G82" s="2267"/>
      <c r="H82" s="2273"/>
      <c r="I82" s="115"/>
      <c r="J82" s="180"/>
      <c r="K82" s="180"/>
      <c r="L82" s="180"/>
      <c r="M82" s="180"/>
      <c r="N82" s="180"/>
      <c r="O82" s="180"/>
      <c r="P82" s="180"/>
      <c r="Q82" s="180"/>
      <c r="R82" s="180"/>
      <c r="S82" s="180"/>
      <c r="T82" s="180"/>
      <c r="U82" s="180"/>
      <c r="V82" s="180"/>
    </row>
    <row r="83" spans="1:26" ht="13.2">
      <c r="A83" s="2004" t="s">
        <v>853</v>
      </c>
      <c r="B83" s="2281" t="s">
        <v>854</v>
      </c>
      <c r="C83" s="2284">
        <v>0</v>
      </c>
      <c r="D83" s="1555"/>
      <c r="E83" s="2283"/>
      <c r="F83" s="2267"/>
      <c r="G83" s="2267"/>
      <c r="H83" s="2273"/>
      <c r="I83" s="115"/>
      <c r="J83" s="180"/>
      <c r="K83" s="3328" t="s">
        <v>855</v>
      </c>
      <c r="L83" s="2376" t="s">
        <v>856</v>
      </c>
      <c r="M83" s="2377">
        <f ca="1">IF(N69&gt;10000,N69*0.5%,IF(AND(N69&gt;1000,N69&lt;=10000),N69*1%,IF(AND(N69&gt;100,N69&lt;=1000),N69*3%,IF(AND(N69&gt;10,N69&lt;=100),N69*5%,N69*8%))))</f>
        <v>825.755</v>
      </c>
      <c r="N83" s="121">
        <f ca="1">ROUND(M83,1)</f>
        <v>825.8</v>
      </c>
      <c r="O83" s="2378"/>
      <c r="P83" s="180"/>
      <c r="Q83" s="180"/>
      <c r="R83" s="180"/>
      <c r="S83" s="180"/>
      <c r="T83" s="180"/>
      <c r="U83" s="180"/>
      <c r="V83" s="180"/>
    </row>
    <row r="84" spans="1:26" ht="25.2">
      <c r="A84" s="2276" t="s">
        <v>857</v>
      </c>
      <c r="B84" s="2285" t="s">
        <v>858</v>
      </c>
      <c r="C84" s="2286">
        <v>2000</v>
      </c>
      <c r="D84" s="2287" t="s">
        <v>138</v>
      </c>
      <c r="E84" s="2288" t="s">
        <v>859</v>
      </c>
      <c r="F84" s="2267"/>
      <c r="G84" s="2267"/>
      <c r="H84" s="2273"/>
      <c r="I84" s="115"/>
      <c r="J84" s="180"/>
      <c r="K84" s="3328"/>
      <c r="L84" s="2376" t="s">
        <v>860</v>
      </c>
      <c r="M84" s="2377">
        <f ca="1">IF(N69&gt;2000,N69*0.5%,IF(AND(N69&gt;1000,N69&lt;=2000),N69*0.6%,IF(AND(N69&gt;500,N69&lt;=1000),N69*0.7%,IF(AND(N69&gt;200,N69&lt;=500),N69*0.8%,IF(AND(N69&gt;100,N69&lt;=200),N69*0.9%,IF(AND(N69&gt;50,N69&lt;=100),N69*1%,IF(AND(N69&gt;20,N69&lt;=50),N69*1.5%,IF(AND(N69&gt;10,N69&lt;=20),N69*2%,IF(AND(N69&gt;1,N69&lt;=10),N69*2.5%)))))))))</f>
        <v>825.755</v>
      </c>
      <c r="N84" s="121">
        <f t="shared" ref="N84:N85" ca="1" si="2">ROUND(M84,1)</f>
        <v>825.8</v>
      </c>
      <c r="O84" s="180" t="s">
        <v>861</v>
      </c>
      <c r="P84" s="180"/>
      <c r="Q84" s="180"/>
      <c r="R84" s="180"/>
      <c r="S84" s="180"/>
      <c r="T84" s="180"/>
      <c r="U84" s="180"/>
      <c r="V84" s="180"/>
    </row>
    <row r="85" spans="1:26" ht="13.2">
      <c r="A85" s="2276" t="s">
        <v>862</v>
      </c>
      <c r="B85" s="2285" t="s">
        <v>863</v>
      </c>
      <c r="C85" s="2289">
        <f ca="1">C81-C84</f>
        <v>92372</v>
      </c>
      <c r="D85" s="1555" t="s">
        <v>138</v>
      </c>
      <c r="E85" s="2283"/>
      <c r="F85" s="2267"/>
      <c r="G85" s="2267"/>
      <c r="H85" s="2273"/>
      <c r="I85" s="115"/>
      <c r="J85" s="180"/>
      <c r="K85" s="3328"/>
      <c r="L85" s="2376" t="s">
        <v>864</v>
      </c>
      <c r="M85" s="2377">
        <f ca="1">IF(N69&gt;1000,N69*0.1%,IF(AND(N69&gt;500,N69&lt;=1000),N69*0.5%,IF(AND(N69&gt;50,N69&lt;=500),N69*1%,IF(AND(N69&gt;1,N69&lt;=50),N69*1.5%))))</f>
        <v>165.15100000000001</v>
      </c>
      <c r="N85" s="121">
        <f t="shared" ca="1" si="2"/>
        <v>165.2</v>
      </c>
      <c r="O85" s="180" t="s">
        <v>861</v>
      </c>
      <c r="P85" s="180"/>
      <c r="Q85" s="180"/>
      <c r="R85" s="180"/>
      <c r="S85" s="180"/>
      <c r="T85" s="180"/>
      <c r="U85" s="180"/>
      <c r="V85" s="180"/>
    </row>
    <row r="86" spans="1:26" ht="13.2">
      <c r="A86" s="2290" t="s">
        <v>865</v>
      </c>
      <c r="B86" s="2291" t="s">
        <v>866</v>
      </c>
      <c r="C86" s="2292">
        <f ca="1">IF(C85&lt;=0,0,ROUND(C85*D86,0))</f>
        <v>5173</v>
      </c>
      <c r="D86" s="2293">
        <f>'数据-取费表'!B41</f>
        <v>5.6000000000000001E-2</v>
      </c>
      <c r="E86" s="2294"/>
      <c r="F86" s="2267"/>
      <c r="G86" s="2267"/>
      <c r="H86" s="2273"/>
      <c r="I86" s="115"/>
      <c r="J86" s="180"/>
      <c r="K86" s="3328"/>
      <c r="L86" s="2376" t="s">
        <v>867</v>
      </c>
      <c r="M86" s="2377">
        <f ca="1">N69*0.5%</f>
        <v>825.755</v>
      </c>
      <c r="N86" s="121">
        <f ca="1">IF(M86&gt;0.5,0.5,ROUND(M86,0))</f>
        <v>0.5</v>
      </c>
      <c r="O86" s="180" t="s">
        <v>868</v>
      </c>
      <c r="P86" s="180"/>
      <c r="Q86" s="180"/>
      <c r="R86" s="180"/>
      <c r="S86" s="180"/>
      <c r="T86" s="180"/>
      <c r="U86" s="180"/>
      <c r="V86" s="180"/>
    </row>
    <row r="87" spans="1:26" s="2069" customFormat="1" ht="14.25" customHeight="1">
      <c r="A87" s="2295"/>
      <c r="B87" s="2296"/>
      <c r="C87" s="2297"/>
      <c r="D87" s="2298"/>
      <c r="E87" s="2299"/>
      <c r="F87" s="2267"/>
      <c r="G87" s="2267"/>
      <c r="H87" s="2273"/>
      <c r="I87" s="115"/>
      <c r="J87" s="180"/>
      <c r="K87" s="3328"/>
      <c r="L87" s="2376" t="s">
        <v>869</v>
      </c>
      <c r="M87" s="2377">
        <f ca="1">IF(N69&gt;=10000,(8.25+(N69-10000)*0.01%),IF(AND(N69&gt;=8000,N69&lt;10000),(7.85+(N69-8000)*0.02%),IF(AND(N69&gt;=5000,N69&lt;8000),(6.65+(N69-5000)*0.04%),IF(AND(N69&gt;=2000,N69&lt;5000),(4.25+(PN69-2000)*0.08%),IF(AND(N69&gt;=1000,N69&lt;2000),(2.75+(N69-1000)*0.15%),IF(AND(N69&gt;=100,N69&lt;1000),(0.5+(N69-100)*0.25%),IF(AND(N69&gt;0,N69&lt;100),N69*0.5%)))))))</f>
        <v>23.7651</v>
      </c>
      <c r="N87" s="121">
        <f ca="1">ROUND(M87*0.9,1)</f>
        <v>21.4</v>
      </c>
      <c r="O87" s="2378"/>
      <c r="P87" s="115"/>
      <c r="Q87" s="180"/>
      <c r="R87" s="180"/>
      <c r="S87" s="180"/>
      <c r="T87" s="180"/>
      <c r="U87" s="180"/>
      <c r="V87" s="180"/>
      <c r="W87" s="2236"/>
      <c r="X87" s="2236"/>
      <c r="Y87" s="2236"/>
      <c r="Z87" s="2236"/>
    </row>
    <row r="88" spans="1:26" s="2070" customFormat="1" ht="13.8">
      <c r="A88" s="3323" t="s">
        <v>870</v>
      </c>
      <c r="B88" s="3324"/>
      <c r="C88" s="3324"/>
      <c r="D88" s="3324"/>
      <c r="E88" s="3324"/>
      <c r="F88" s="3324"/>
      <c r="G88" s="3324"/>
      <c r="H88" s="3324"/>
      <c r="I88" s="2379"/>
      <c r="J88" s="2380"/>
      <c r="K88" s="3328"/>
      <c r="L88" s="2376" t="s">
        <v>871</v>
      </c>
      <c r="M88" s="2377">
        <f ca="1">IF(N69&gt;10000,N69*0.5%,IF(AND(N69&gt;5000,N69&lt;=10000),N69*1%,IF(AND(N69&gt;1000,N69&lt;=5000),N69*2%,IF(AND(N69&gt;200,N69&lt;=1000),N69*3%,N69*5%))))</f>
        <v>825.755</v>
      </c>
      <c r="N88" s="121">
        <f ca="1">ROUND(M88,1)</f>
        <v>825.8</v>
      </c>
      <c r="O88" s="2378"/>
      <c r="P88" s="2235"/>
      <c r="Q88" s="2385"/>
      <c r="R88" s="2385"/>
      <c r="S88" s="2385"/>
      <c r="T88" s="2385"/>
      <c r="U88" s="2385"/>
      <c r="V88" s="2385"/>
      <c r="W88" s="2392"/>
      <c r="X88" s="2392"/>
      <c r="Y88" s="2392"/>
      <c r="Z88" s="2392"/>
    </row>
    <row r="89" spans="1:26" s="2070" customFormat="1" ht="13.8">
      <c r="A89" s="3319" t="s">
        <v>846</v>
      </c>
      <c r="B89" s="3320"/>
      <c r="C89" s="2274"/>
      <c r="D89" s="2274" t="s">
        <v>847</v>
      </c>
      <c r="E89" s="2300" t="s">
        <v>803</v>
      </c>
      <c r="F89" s="2301"/>
      <c r="G89" s="2301"/>
      <c r="H89" s="2302"/>
      <c r="I89" s="2381"/>
      <c r="J89" s="2382"/>
      <c r="K89" s="3328"/>
      <c r="L89" s="2376" t="s">
        <v>500</v>
      </c>
      <c r="M89" s="2383"/>
      <c r="N89" s="121">
        <f ca="1">ROUND(SUM(N83:N88),0)</f>
        <v>2665</v>
      </c>
      <c r="O89" s="2384">
        <f ca="1">N89/N69</f>
        <v>1.6136747582515393E-2</v>
      </c>
      <c r="P89" s="2385"/>
      <c r="Q89" s="2385"/>
      <c r="R89" s="2385"/>
      <c r="S89" s="2385"/>
      <c r="T89" s="2385"/>
      <c r="U89" s="2385"/>
      <c r="V89" s="2385"/>
      <c r="W89" s="2392"/>
      <c r="X89" s="2392"/>
      <c r="Y89" s="2392"/>
      <c r="Z89" s="2392"/>
    </row>
    <row r="90" spans="1:26" s="2070" customFormat="1" ht="13.8">
      <c r="A90" s="2276" t="s">
        <v>848</v>
      </c>
      <c r="B90" s="2285" t="s">
        <v>872</v>
      </c>
      <c r="C90" s="2289">
        <f ca="1">ROUND(D63/(1+'数据-取费表'!C42),0)</f>
        <v>94372</v>
      </c>
      <c r="D90" s="1555" t="s">
        <v>138</v>
      </c>
      <c r="E90" s="920"/>
      <c r="F90" s="921"/>
      <c r="G90" s="921"/>
      <c r="H90" s="2303"/>
      <c r="I90" s="2381"/>
      <c r="J90" s="2382"/>
      <c r="K90" s="2385"/>
      <c r="L90" s="2385"/>
      <c r="M90" s="2385"/>
      <c r="N90" s="2385"/>
      <c r="O90" s="2385"/>
      <c r="P90" s="2385"/>
      <c r="Q90" s="2385"/>
      <c r="R90" s="2385"/>
      <c r="S90" s="2385"/>
      <c r="T90" s="2385"/>
      <c r="U90" s="2385"/>
      <c r="V90" s="2385"/>
      <c r="W90" s="2392"/>
      <c r="X90" s="2392"/>
      <c r="Y90" s="2392"/>
      <c r="Z90" s="2392"/>
    </row>
    <row r="91" spans="1:26" s="2070" customFormat="1" ht="13.8">
      <c r="A91" s="2276" t="s">
        <v>857</v>
      </c>
      <c r="B91" s="2241" t="s">
        <v>873</v>
      </c>
      <c r="C91" s="2289">
        <f ca="1">C92+C96</f>
        <v>3127</v>
      </c>
      <c r="D91" s="1555" t="s">
        <v>138</v>
      </c>
      <c r="E91" s="920"/>
      <c r="F91" s="921"/>
      <c r="G91" s="921"/>
      <c r="H91" s="2303"/>
      <c r="I91" s="2381"/>
      <c r="J91" s="2382"/>
      <c r="K91" s="2385"/>
      <c r="L91" s="2385"/>
      <c r="M91" s="2385"/>
      <c r="N91" s="2385"/>
      <c r="O91" s="2385"/>
      <c r="P91" s="2385"/>
      <c r="Q91" s="2385"/>
      <c r="R91" s="2385"/>
      <c r="S91" s="2385"/>
      <c r="T91" s="2385"/>
      <c r="U91" s="2385"/>
      <c r="V91" s="2385"/>
      <c r="W91" s="2392"/>
      <c r="X91" s="2392"/>
      <c r="Y91" s="2392"/>
      <c r="Z91" s="2392"/>
    </row>
    <row r="92" spans="1:26" s="2070" customFormat="1" ht="24">
      <c r="A92" s="2304" t="s">
        <v>851</v>
      </c>
      <c r="B92" s="2281" t="s">
        <v>874</v>
      </c>
      <c r="C92" s="1555">
        <f>ROUND(IF(G95="2016年5月1日后购买",C93/(1+'数据-取费表'!C30)+C94+C95,C93+C94+C95),0)</f>
        <v>2561</v>
      </c>
      <c r="D92" s="1555" t="s">
        <v>138</v>
      </c>
      <c r="E92" s="920"/>
      <c r="F92" s="921"/>
      <c r="G92" s="921"/>
      <c r="H92" s="2303"/>
      <c r="I92" s="2381"/>
      <c r="J92" s="2382"/>
      <c r="K92" s="2385"/>
      <c r="L92" s="2385"/>
      <c r="M92" s="2385"/>
      <c r="N92" s="2385"/>
      <c r="O92" s="2385"/>
      <c r="P92" s="2385"/>
      <c r="Q92" s="2385"/>
      <c r="R92" s="2385"/>
      <c r="S92" s="2385"/>
      <c r="T92" s="2385"/>
      <c r="U92" s="2385"/>
      <c r="V92" s="2385"/>
      <c r="W92" s="2392"/>
      <c r="X92" s="2392"/>
      <c r="Y92" s="2392"/>
      <c r="Z92" s="2392"/>
    </row>
    <row r="93" spans="1:26" s="2070" customFormat="1" ht="14.4">
      <c r="A93" s="2304" t="s">
        <v>875</v>
      </c>
      <c r="B93" s="2281" t="s">
        <v>876</v>
      </c>
      <c r="C93" s="1557">
        <v>2000</v>
      </c>
      <c r="D93" s="1555" t="s">
        <v>138</v>
      </c>
      <c r="E93" s="2305" t="s">
        <v>877</v>
      </c>
      <c r="F93" s="2306" t="s">
        <v>878</v>
      </c>
      <c r="G93" s="2305" t="s">
        <v>879</v>
      </c>
      <c r="H93" s="2307">
        <v>5</v>
      </c>
      <c r="I93" s="2235"/>
      <c r="J93" s="2385"/>
      <c r="K93" s="2385"/>
      <c r="L93" s="2385"/>
      <c r="M93" s="2385"/>
      <c r="N93" s="2385"/>
      <c r="O93" s="2385"/>
      <c r="P93" s="2385"/>
      <c r="Q93" s="2385"/>
      <c r="R93" s="2385"/>
      <c r="S93" s="2385"/>
      <c r="T93" s="2385"/>
      <c r="U93" s="2385"/>
      <c r="V93" s="2385"/>
      <c r="W93" s="2392"/>
      <c r="X93" s="2392"/>
      <c r="Y93" s="2392"/>
      <c r="Z93" s="2392"/>
    </row>
    <row r="94" spans="1:26" s="2070" customFormat="1" ht="24.75" customHeight="1">
      <c r="A94" s="2304" t="s">
        <v>880</v>
      </c>
      <c r="B94" s="2308" t="s">
        <v>881</v>
      </c>
      <c r="C94" s="1555">
        <f>IF(F93="购房发票",ROUND(C93*H93*5%,0),0)</f>
        <v>500</v>
      </c>
      <c r="D94" s="2309">
        <v>0.05</v>
      </c>
      <c r="E94" s="3296" t="s">
        <v>882</v>
      </c>
      <c r="F94" s="3299"/>
      <c r="G94" s="3299"/>
      <c r="H94" s="3325"/>
      <c r="I94" s="2381"/>
      <c r="J94" s="2382"/>
      <c r="K94" s="2385"/>
      <c r="L94" s="2385"/>
      <c r="M94" s="2385"/>
      <c r="N94" s="2385"/>
      <c r="O94" s="2385"/>
      <c r="P94" s="2385"/>
      <c r="Q94" s="2385"/>
      <c r="R94" s="2385"/>
      <c r="S94" s="2385"/>
      <c r="T94" s="2385"/>
      <c r="U94" s="2385"/>
      <c r="V94" s="2385"/>
      <c r="W94" s="2392"/>
      <c r="X94" s="2392"/>
      <c r="Y94" s="2392"/>
      <c r="Z94" s="2392"/>
    </row>
    <row r="95" spans="1:26" s="2070" customFormat="1" ht="24.75" customHeight="1">
      <c r="A95" s="2304" t="s">
        <v>883</v>
      </c>
      <c r="B95" s="2281" t="s">
        <v>884</v>
      </c>
      <c r="C95" s="1555">
        <f>ROUND(IF(G95="个人买卖住房",0,IF(G95="2016年5月1日前购买",C93*D95,C93*D95/(1+'数据-取费表'!C42))),0)</f>
        <v>61</v>
      </c>
      <c r="D95" s="2311">
        <f>'数据-取费表'!B48+'数据-取费表'!B49</f>
        <v>3.0499999999999999E-2</v>
      </c>
      <c r="E95" s="1017" t="s">
        <v>885</v>
      </c>
      <c r="F95" s="2312"/>
      <c r="G95" s="2313" t="s">
        <v>886</v>
      </c>
      <c r="H95" s="2310" t="str">
        <f>IF(G95="个人买卖住房","免征印花税"," ")</f>
        <v xml:space="preserve"> </v>
      </c>
      <c r="I95" s="2381"/>
      <c r="J95" s="2382"/>
      <c r="K95" s="2385"/>
      <c r="L95" s="2385"/>
      <c r="M95" s="2385"/>
      <c r="N95" s="2385"/>
      <c r="O95" s="2385"/>
      <c r="P95" s="2385"/>
      <c r="Q95" s="2385"/>
      <c r="R95" s="2385"/>
      <c r="S95" s="2385"/>
      <c r="T95" s="2385"/>
      <c r="U95" s="2385"/>
      <c r="V95" s="2385"/>
      <c r="W95" s="2392"/>
      <c r="X95" s="2392"/>
      <c r="Y95" s="2392"/>
      <c r="Z95" s="2392"/>
    </row>
    <row r="96" spans="1:26" s="2070" customFormat="1" ht="24.75" customHeight="1">
      <c r="A96" s="2304" t="s">
        <v>853</v>
      </c>
      <c r="B96" s="2281" t="s">
        <v>887</v>
      </c>
      <c r="C96" s="2314">
        <f ca="1">ROUND(D63*D96/(1+'数据-取费表'!C42),0)</f>
        <v>566</v>
      </c>
      <c r="D96" s="2315">
        <f>'数据-取费表'!B43</f>
        <v>6.000000000000001E-3</v>
      </c>
      <c r="E96" s="3329" t="s">
        <v>888</v>
      </c>
      <c r="F96" s="3317"/>
      <c r="G96" s="3317"/>
      <c r="H96" s="3318"/>
      <c r="I96" s="2386"/>
      <c r="J96" s="2387"/>
      <c r="K96" s="2385"/>
      <c r="L96" s="2385"/>
      <c r="M96" s="2385"/>
      <c r="N96" s="2385"/>
      <c r="O96" s="2385"/>
      <c r="P96" s="2385"/>
      <c r="Q96" s="2385"/>
      <c r="R96" s="2385"/>
      <c r="S96" s="2385"/>
      <c r="T96" s="2385"/>
      <c r="U96" s="2385"/>
      <c r="V96" s="2385"/>
      <c r="W96" s="2392"/>
      <c r="X96" s="2392"/>
      <c r="Y96" s="2392"/>
      <c r="Z96" s="2392"/>
    </row>
    <row r="97" spans="1:26" s="2070" customFormat="1" ht="13.8">
      <c r="A97" s="2318" t="s">
        <v>862</v>
      </c>
      <c r="B97" s="2285" t="s">
        <v>889</v>
      </c>
      <c r="C97" s="2289">
        <f ca="1">C90-C91</f>
        <v>91245</v>
      </c>
      <c r="D97" s="1555" t="s">
        <v>138</v>
      </c>
      <c r="E97" s="920"/>
      <c r="F97" s="921"/>
      <c r="G97" s="921"/>
      <c r="H97" s="2303"/>
      <c r="I97" s="2381"/>
      <c r="J97" s="2382"/>
      <c r="K97" s="2385"/>
      <c r="L97" s="2385"/>
      <c r="M97" s="2385"/>
      <c r="N97" s="2385"/>
      <c r="O97" s="2385"/>
      <c r="P97" s="2385"/>
      <c r="Q97" s="2385"/>
      <c r="R97" s="2385"/>
      <c r="S97" s="2385"/>
      <c r="T97" s="2385"/>
      <c r="U97" s="2385"/>
      <c r="V97" s="2385"/>
      <c r="W97" s="2392"/>
      <c r="X97" s="2392"/>
      <c r="Y97" s="2392"/>
      <c r="Z97" s="2392"/>
    </row>
    <row r="98" spans="1:26" s="2070" customFormat="1" ht="24">
      <c r="A98" s="2318" t="s">
        <v>865</v>
      </c>
      <c r="B98" s="2285" t="s">
        <v>890</v>
      </c>
      <c r="C98" s="2319">
        <f ca="1">IF(C97&lt;=0,0,C97/C91)</f>
        <v>29.179724976015351</v>
      </c>
      <c r="D98" s="1555" t="s">
        <v>138</v>
      </c>
      <c r="E98" s="1017" t="str">
        <f ca="1">IF(C98&gt;=200%,"增值额超过扣除项目金额200%",IF(C98&gt;=100%,"增值额超过扣除项目金额100%，未超过200%",IF(C98&gt;=50%,"增值额超过扣除项目金额50%，未超过100%",IF(C98&lt;50%,"增值额未超过扣除项目金额50%"))))</f>
        <v>增值额超过扣除项目金额200%</v>
      </c>
      <c r="F98" s="921"/>
      <c r="G98" s="921"/>
      <c r="H98" s="2303"/>
      <c r="I98" s="2381"/>
      <c r="J98" s="2382"/>
      <c r="K98" s="2385"/>
      <c r="L98" s="2385"/>
      <c r="M98" s="2385"/>
      <c r="N98" s="2385"/>
      <c r="O98" s="2385"/>
      <c r="P98" s="2385"/>
      <c r="Q98" s="2385"/>
      <c r="R98" s="2385"/>
      <c r="S98" s="2385"/>
      <c r="T98" s="2385"/>
      <c r="U98" s="2385"/>
      <c r="V98" s="2385"/>
      <c r="W98" s="2392"/>
      <c r="X98" s="2392"/>
      <c r="Y98" s="2392"/>
      <c r="Z98" s="2392"/>
    </row>
    <row r="99" spans="1:26" s="2070" customFormat="1" ht="24">
      <c r="A99" s="2320" t="s">
        <v>891</v>
      </c>
      <c r="B99" s="2291" t="s">
        <v>892</v>
      </c>
      <c r="C99" s="2321">
        <f ca="1">ROUND(IF(C97&lt;=0,0,IF(C98&gt;=200%,C97*60%-C91*35%,IF(C98&gt;=100%,C97*50%-C91*15%,IF(C98&gt;=50%,C97*40%-C91*5%,IF(C98&lt;50%,C97*30%,0))))),0)</f>
        <v>53653</v>
      </c>
      <c r="D99" s="2322" t="s">
        <v>138</v>
      </c>
      <c r="E99" s="23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4"/>
      <c r="G99" s="2324"/>
      <c r="H99" s="2325"/>
      <c r="I99" s="2381"/>
      <c r="J99" s="2382"/>
      <c r="K99" s="2385"/>
      <c r="L99" s="2385"/>
      <c r="M99" s="2385"/>
      <c r="N99" s="2385"/>
      <c r="O99" s="2385"/>
      <c r="P99" s="2385"/>
      <c r="Q99" s="2385"/>
      <c r="R99" s="2385"/>
      <c r="S99" s="2385"/>
      <c r="T99" s="2385"/>
      <c r="U99" s="2385"/>
      <c r="V99" s="2385"/>
      <c r="W99" s="2392"/>
      <c r="X99" s="2392"/>
      <c r="Y99" s="2392"/>
      <c r="Z99" s="2392"/>
    </row>
    <row r="100" spans="1:26" s="2070" customFormat="1" ht="7.5" customHeight="1">
      <c r="A100" s="2326"/>
      <c r="B100" s="2327"/>
      <c r="C100" s="2235"/>
      <c r="D100" s="2235"/>
      <c r="E100" s="2327"/>
      <c r="F100" s="2327"/>
      <c r="G100" s="2327"/>
      <c r="H100" s="2328"/>
      <c r="I100" s="2386"/>
      <c r="J100" s="2387"/>
      <c r="K100" s="2385"/>
      <c r="L100" s="2385"/>
      <c r="M100" s="2385"/>
      <c r="N100" s="2385"/>
      <c r="O100" s="2385"/>
      <c r="P100" s="2385"/>
      <c r="Q100" s="2385"/>
      <c r="R100" s="2385"/>
      <c r="S100" s="2385"/>
      <c r="T100" s="2385"/>
      <c r="U100" s="2385"/>
      <c r="V100" s="2385"/>
      <c r="W100" s="2392"/>
      <c r="X100" s="2392"/>
      <c r="Y100" s="2392"/>
      <c r="Z100" s="2392"/>
    </row>
    <row r="101" spans="1:26" s="2070" customFormat="1" ht="13.8">
      <c r="A101" s="3323" t="s">
        <v>893</v>
      </c>
      <c r="B101" s="3324"/>
      <c r="C101" s="3324"/>
      <c r="D101" s="3324"/>
      <c r="E101" s="3324"/>
      <c r="F101" s="3324"/>
      <c r="G101" s="3324"/>
      <c r="H101" s="3324"/>
      <c r="I101" s="2235"/>
      <c r="J101" s="2385"/>
      <c r="K101" s="2385"/>
      <c r="L101" s="2385"/>
      <c r="M101" s="2385"/>
      <c r="N101" s="2385"/>
      <c r="O101" s="2385"/>
      <c r="P101" s="2385"/>
      <c r="Q101" s="2385"/>
      <c r="R101" s="2385"/>
      <c r="S101" s="2385"/>
      <c r="T101" s="2385"/>
      <c r="U101" s="2385"/>
      <c r="V101" s="2385"/>
      <c r="W101" s="2392"/>
      <c r="X101" s="2392"/>
      <c r="Y101" s="2392"/>
      <c r="Z101" s="2392"/>
    </row>
    <row r="102" spans="1:26" s="2070" customFormat="1" ht="13.8">
      <c r="A102" s="3319" t="s">
        <v>846</v>
      </c>
      <c r="B102" s="3320"/>
      <c r="C102" s="2274"/>
      <c r="D102" s="2274" t="s">
        <v>847</v>
      </c>
      <c r="E102" s="2300" t="s">
        <v>803</v>
      </c>
      <c r="F102" s="2301"/>
      <c r="G102" s="2301"/>
      <c r="H102" s="2329"/>
      <c r="I102" s="2235"/>
      <c r="J102" s="2385"/>
      <c r="K102" s="2385"/>
      <c r="L102" s="2385"/>
      <c r="M102" s="2385"/>
      <c r="N102" s="2385"/>
      <c r="O102" s="2385"/>
      <c r="P102" s="2385"/>
      <c r="Q102" s="2385"/>
      <c r="R102" s="2385"/>
      <c r="S102" s="2385"/>
      <c r="T102" s="2385"/>
      <c r="U102" s="2385"/>
      <c r="V102" s="2385"/>
      <c r="W102" s="2392"/>
      <c r="X102" s="2392"/>
      <c r="Y102" s="2392"/>
      <c r="Z102" s="2392"/>
    </row>
    <row r="103" spans="1:26" s="2070" customFormat="1" ht="13.8">
      <c r="A103" s="2276" t="s">
        <v>848</v>
      </c>
      <c r="B103" s="2285" t="s">
        <v>872</v>
      </c>
      <c r="C103" s="2289">
        <f ca="1">ROUND(D63/(1+'数据-取费表'!C42),0)</f>
        <v>94372</v>
      </c>
      <c r="D103" s="1555" t="s">
        <v>138</v>
      </c>
      <c r="E103" s="920"/>
      <c r="F103" s="921"/>
      <c r="G103" s="921"/>
      <c r="H103" s="2330"/>
      <c r="I103" s="2235"/>
      <c r="J103" s="2385"/>
      <c r="K103" s="2385"/>
      <c r="L103" s="2385"/>
      <c r="M103" s="2385"/>
      <c r="N103" s="2385"/>
      <c r="O103" s="2385"/>
      <c r="P103" s="2385"/>
      <c r="Q103" s="2385"/>
      <c r="R103" s="2385"/>
      <c r="S103" s="2385"/>
      <c r="T103" s="2385"/>
      <c r="U103" s="2385"/>
      <c r="V103" s="2385"/>
      <c r="W103" s="2392"/>
      <c r="X103" s="2392"/>
      <c r="Y103" s="2392"/>
      <c r="Z103" s="2392"/>
    </row>
    <row r="104" spans="1:26" s="2070" customFormat="1" ht="13.8">
      <c r="A104" s="2276" t="s">
        <v>857</v>
      </c>
      <c r="B104" s="2241" t="s">
        <v>873</v>
      </c>
      <c r="C104" s="2289">
        <f ca="1">IF(H106="仅含出让金",C105+C108+C109+C110+C111+C112,C105+C109+C110+C111+C112)</f>
        <v>1256</v>
      </c>
      <c r="D104" s="2331"/>
      <c r="E104" s="920"/>
      <c r="F104" s="921"/>
      <c r="G104" s="921"/>
      <c r="H104" s="2330"/>
      <c r="I104" s="2235"/>
      <c r="J104" s="2385"/>
      <c r="K104" s="2385"/>
      <c r="L104" s="2385"/>
      <c r="M104" s="2385"/>
      <c r="N104" s="2385"/>
      <c r="O104" s="2385"/>
      <c r="P104" s="2385"/>
      <c r="Q104" s="2385"/>
      <c r="R104" s="2385"/>
      <c r="S104" s="2385"/>
      <c r="T104" s="2385"/>
      <c r="U104" s="2385"/>
      <c r="V104" s="2385"/>
      <c r="W104" s="2392"/>
      <c r="X104" s="2392"/>
      <c r="Y104" s="2392"/>
      <c r="Z104" s="2392"/>
    </row>
    <row r="105" spans="1:26" s="2070" customFormat="1" ht="13.8">
      <c r="A105" s="2304" t="s">
        <v>851</v>
      </c>
      <c r="B105" s="2281" t="s">
        <v>894</v>
      </c>
      <c r="C105" s="2314">
        <f>C106+C107</f>
        <v>572</v>
      </c>
      <c r="D105" s="2315"/>
      <c r="E105" s="2332"/>
      <c r="F105" s="2316"/>
      <c r="G105" s="2316"/>
      <c r="H105" s="2317"/>
      <c r="I105" s="2235"/>
      <c r="J105" s="2385"/>
      <c r="K105" s="2385"/>
      <c r="L105" s="2385"/>
      <c r="M105" s="2385"/>
      <c r="N105" s="2385"/>
      <c r="O105" s="2385"/>
      <c r="P105" s="2385"/>
      <c r="Q105" s="2385"/>
      <c r="R105" s="2385"/>
      <c r="S105" s="2385"/>
      <c r="T105" s="2385"/>
      <c r="U105" s="2385"/>
      <c r="V105" s="2385"/>
      <c r="W105" s="2392"/>
      <c r="X105" s="2392"/>
      <c r="Y105" s="2392"/>
      <c r="Z105" s="2392"/>
    </row>
    <row r="106" spans="1:26" s="2070" customFormat="1" ht="26.4">
      <c r="A106" s="2304" t="s">
        <v>875</v>
      </c>
      <c r="B106" s="2281" t="s">
        <v>895</v>
      </c>
      <c r="C106" s="2333">
        <v>555</v>
      </c>
      <c r="D106" s="2315"/>
      <c r="E106" s="2334" t="s">
        <v>896</v>
      </c>
      <c r="F106" s="2316"/>
      <c r="G106" s="2335" t="s">
        <v>897</v>
      </c>
      <c r="H106" s="2336" t="s">
        <v>898</v>
      </c>
      <c r="I106" s="2235"/>
      <c r="J106" s="2385"/>
      <c r="K106" s="2385"/>
      <c r="L106" s="2385"/>
      <c r="M106" s="2385"/>
      <c r="N106" s="2385"/>
      <c r="O106" s="2385"/>
      <c r="P106" s="2385"/>
      <c r="Q106" s="2385"/>
      <c r="R106" s="2385"/>
      <c r="S106" s="2385"/>
      <c r="T106" s="2385"/>
      <c r="U106" s="2385"/>
      <c r="V106" s="2385"/>
      <c r="W106" s="2392"/>
      <c r="X106" s="2392"/>
      <c r="Y106" s="2392"/>
      <c r="Z106" s="2392"/>
    </row>
    <row r="107" spans="1:26" s="2070" customFormat="1" ht="13.8">
      <c r="A107" s="2304" t="s">
        <v>880</v>
      </c>
      <c r="B107" s="2281" t="s">
        <v>884</v>
      </c>
      <c r="C107" s="2314">
        <f>ROUND(C106*D107,0)</f>
        <v>17</v>
      </c>
      <c r="D107" s="2315">
        <f>'数据-取费表'!B48+'数据-取费表'!B49</f>
        <v>3.0499999999999999E-2</v>
      </c>
      <c r="E107" s="2334" t="s">
        <v>899</v>
      </c>
      <c r="F107" s="2316"/>
      <c r="G107" s="2316"/>
      <c r="H107" s="2317"/>
      <c r="I107" s="2235"/>
      <c r="J107" s="2385"/>
      <c r="K107" s="2385"/>
      <c r="L107" s="2385"/>
      <c r="M107" s="2385"/>
      <c r="N107" s="2385"/>
      <c r="O107" s="2385"/>
      <c r="P107" s="2385"/>
      <c r="Q107" s="2385"/>
      <c r="R107" s="2385"/>
      <c r="S107" s="2385"/>
      <c r="T107" s="2385"/>
      <c r="U107" s="2385"/>
      <c r="V107" s="2385"/>
      <c r="W107" s="2392"/>
      <c r="X107" s="2392"/>
      <c r="Y107" s="2392"/>
      <c r="Z107" s="2392"/>
    </row>
    <row r="108" spans="1:26" s="2070" customFormat="1" ht="13.8">
      <c r="A108" s="2304" t="s">
        <v>853</v>
      </c>
      <c r="B108" s="2281" t="s">
        <v>900</v>
      </c>
      <c r="C108" s="2333"/>
      <c r="D108" s="2315"/>
      <c r="E108" s="2334" t="str">
        <f>IF(H106="-","土地取得成本中已包含该笔费用"," ")</f>
        <v xml:space="preserve"> </v>
      </c>
      <c r="F108" s="2316"/>
      <c r="G108" s="2316"/>
      <c r="H108" s="2317"/>
      <c r="I108" s="2235"/>
      <c r="J108" s="2385"/>
      <c r="K108" s="2385"/>
      <c r="L108" s="2385"/>
      <c r="M108" s="2385"/>
      <c r="N108" s="2385"/>
      <c r="O108" s="2385"/>
      <c r="P108" s="2385"/>
      <c r="Q108" s="2385"/>
      <c r="R108" s="2385"/>
      <c r="S108" s="2385"/>
      <c r="T108" s="2385"/>
      <c r="U108" s="2385"/>
      <c r="V108" s="2385"/>
      <c r="W108" s="2392"/>
      <c r="X108" s="2392"/>
      <c r="Y108" s="2392"/>
      <c r="Z108" s="2392"/>
    </row>
    <row r="109" spans="1:26" s="2070" customFormat="1" ht="24" customHeight="1">
      <c r="A109" s="2337" t="s">
        <v>901</v>
      </c>
      <c r="B109" s="2281" t="s">
        <v>902</v>
      </c>
      <c r="C109" s="2314">
        <f>IF(H109="——",IF(F1="现房",'剩余法-现房'!C18,'剩余法-待开发'!C18),I109)</f>
        <v>55</v>
      </c>
      <c r="D109" s="2315"/>
      <c r="E109" s="3316" t="s">
        <v>903</v>
      </c>
      <c r="F109" s="3317"/>
      <c r="G109" s="3317"/>
      <c r="H109" s="2338" t="s">
        <v>904</v>
      </c>
      <c r="I109" s="2388">
        <v>55</v>
      </c>
      <c r="J109" s="2385"/>
      <c r="K109" s="2385"/>
      <c r="L109" s="2385"/>
      <c r="M109" s="2385"/>
      <c r="N109" s="2385"/>
      <c r="O109" s="2385"/>
      <c r="P109" s="2385"/>
      <c r="Q109" s="2385"/>
      <c r="R109" s="2385"/>
      <c r="S109" s="2385"/>
      <c r="T109" s="2385"/>
      <c r="U109" s="2385"/>
      <c r="V109" s="2385"/>
      <c r="W109" s="2392"/>
      <c r="X109" s="2392"/>
      <c r="Y109" s="2392"/>
      <c r="Z109" s="2392"/>
    </row>
    <row r="110" spans="1:26" s="2070" customFormat="1" ht="25.5" customHeight="1">
      <c r="A110" s="2337" t="s">
        <v>905</v>
      </c>
      <c r="B110" s="2281" t="s">
        <v>906</v>
      </c>
      <c r="C110" s="2314">
        <f>ROUND((C105+C108+C109)*D110,0)</f>
        <v>63</v>
      </c>
      <c r="D110" s="2315">
        <v>0.1</v>
      </c>
      <c r="E110" s="3316" t="s">
        <v>907</v>
      </c>
      <c r="F110" s="3317"/>
      <c r="G110" s="3317"/>
      <c r="H110" s="3318"/>
      <c r="I110" s="2235"/>
      <c r="J110" s="2385"/>
      <c r="K110" s="2385"/>
      <c r="L110" s="2385"/>
      <c r="M110" s="2385"/>
      <c r="N110" s="2385"/>
      <c r="O110" s="2385"/>
      <c r="P110" s="2385"/>
      <c r="Q110" s="2385"/>
      <c r="R110" s="2385"/>
      <c r="S110" s="2385"/>
      <c r="T110" s="2385"/>
      <c r="U110" s="2385"/>
      <c r="V110" s="2385"/>
      <c r="W110" s="2392"/>
      <c r="X110" s="2392"/>
      <c r="Y110" s="2392"/>
      <c r="Z110" s="2392"/>
    </row>
    <row r="111" spans="1:26" s="2070" customFormat="1" ht="25.5" customHeight="1">
      <c r="A111" s="2337" t="s">
        <v>908</v>
      </c>
      <c r="B111" s="2281" t="s">
        <v>887</v>
      </c>
      <c r="C111" s="2314">
        <f ca="1">ROUND(D63*D111/(1+'数据-取费表'!C42),0)</f>
        <v>566</v>
      </c>
      <c r="D111" s="2315">
        <f>'数据-取费表'!B43</f>
        <v>6.000000000000001E-3</v>
      </c>
      <c r="E111" s="3329" t="s">
        <v>888</v>
      </c>
      <c r="F111" s="3317"/>
      <c r="G111" s="3317"/>
      <c r="H111" s="3318"/>
      <c r="I111" s="2235"/>
      <c r="J111" s="2385"/>
      <c r="K111" s="2385"/>
      <c r="L111" s="2385"/>
      <c r="M111" s="2385"/>
      <c r="N111" s="2385"/>
      <c r="O111" s="2385"/>
      <c r="P111" s="2385"/>
      <c r="Q111" s="2385"/>
      <c r="R111" s="2385"/>
      <c r="S111" s="2385"/>
      <c r="T111" s="2385"/>
      <c r="U111" s="2385"/>
      <c r="V111" s="2385"/>
      <c r="W111" s="2392"/>
      <c r="X111" s="2392"/>
      <c r="Y111" s="2392"/>
      <c r="Z111" s="2392"/>
    </row>
    <row r="112" spans="1:26" s="2070" customFormat="1" ht="25.5" customHeight="1">
      <c r="A112" s="2337" t="s">
        <v>909</v>
      </c>
      <c r="B112" s="2281" t="s">
        <v>910</v>
      </c>
      <c r="C112" s="2314">
        <f>ROUND(C108*D112,0)</f>
        <v>0</v>
      </c>
      <c r="D112" s="2315">
        <v>0.2</v>
      </c>
      <c r="E112" s="3316" t="s">
        <v>911</v>
      </c>
      <c r="F112" s="3317"/>
      <c r="G112" s="3317"/>
      <c r="H112" s="3318"/>
      <c r="I112" s="2235"/>
      <c r="J112" s="2385"/>
      <c r="K112" s="2385"/>
      <c r="L112" s="2385"/>
      <c r="M112" s="2385"/>
      <c r="N112" s="2385"/>
      <c r="O112" s="2385"/>
      <c r="P112" s="2385"/>
      <c r="Q112" s="2385"/>
      <c r="R112" s="2385"/>
      <c r="S112" s="2385"/>
      <c r="T112" s="2385"/>
      <c r="U112" s="2385"/>
      <c r="V112" s="2385"/>
      <c r="W112" s="2392"/>
      <c r="X112" s="2392"/>
      <c r="Y112" s="2392"/>
      <c r="Z112" s="2392"/>
    </row>
    <row r="113" spans="1:26" s="2070" customFormat="1" ht="13.8">
      <c r="A113" s="2318" t="s">
        <v>862</v>
      </c>
      <c r="B113" s="2285" t="s">
        <v>889</v>
      </c>
      <c r="C113" s="2289">
        <f ca="1">ROUND(C103-C104,0)</f>
        <v>93116</v>
      </c>
      <c r="D113" s="1555" t="s">
        <v>138</v>
      </c>
      <c r="E113" s="920"/>
      <c r="F113" s="921"/>
      <c r="G113" s="921"/>
      <c r="H113" s="2330"/>
      <c r="I113" s="2235"/>
      <c r="J113" s="2385"/>
      <c r="K113" s="2385"/>
      <c r="L113" s="2385"/>
      <c r="M113" s="2385"/>
      <c r="N113" s="2385"/>
      <c r="O113" s="2385"/>
      <c r="P113" s="2385"/>
      <c r="Q113" s="2385"/>
      <c r="R113" s="2385"/>
      <c r="S113" s="2385"/>
      <c r="T113" s="2385"/>
      <c r="U113" s="2385"/>
      <c r="V113" s="2385"/>
      <c r="W113" s="2392"/>
      <c r="X113" s="2392"/>
      <c r="Y113" s="2392"/>
      <c r="Z113" s="2392"/>
    </row>
    <row r="114" spans="1:26" s="2070" customFormat="1" ht="24">
      <c r="A114" s="2318" t="s">
        <v>865</v>
      </c>
      <c r="B114" s="2285" t="s">
        <v>890</v>
      </c>
      <c r="C114" s="2319">
        <f ca="1">IF(C113&lt;=0,0,C113/C104)</f>
        <v>74.136942675159233</v>
      </c>
      <c r="D114" s="1555" t="s">
        <v>138</v>
      </c>
      <c r="E114" s="1017" t="str">
        <f ca="1">IF(C114&gt;=200%,"增值额超过扣除项目金额200%",IF(C114&gt;=100%,"增值额超过扣除项目金额100%，未超过200%",IF(C114&gt;=50%,"增值额超过扣除项目金额50%，未超过100%",IF(C114&lt;50%,"增值额未超过扣除项目金额50%"))))</f>
        <v>增值额超过扣除项目金额200%</v>
      </c>
      <c r="F114" s="921"/>
      <c r="G114" s="921"/>
      <c r="H114" s="2330"/>
      <c r="I114" s="2235"/>
      <c r="J114" s="2385"/>
      <c r="K114" s="2385"/>
      <c r="L114" s="2385"/>
      <c r="M114" s="2385"/>
      <c r="N114" s="2385"/>
      <c r="O114" s="2385"/>
      <c r="P114" s="2385"/>
      <c r="Q114" s="2385"/>
      <c r="R114" s="2385"/>
      <c r="S114" s="2385"/>
      <c r="T114" s="2385"/>
      <c r="U114" s="2385"/>
      <c r="V114" s="2385"/>
      <c r="W114" s="2392"/>
      <c r="X114" s="2392"/>
      <c r="Y114" s="2392"/>
      <c r="Z114" s="2392"/>
    </row>
    <row r="115" spans="1:26" s="2070" customFormat="1" ht="24">
      <c r="A115" s="2320" t="s">
        <v>891</v>
      </c>
      <c r="B115" s="2291" t="s">
        <v>892</v>
      </c>
      <c r="C115" s="2321">
        <f ca="1">ROUND(IF(C113&lt;=0,0,IF(C114&gt;=200%,C113*60%-C104*35%,IF(C114&gt;=100%,C113*50%-C104*15%,IF(C114&gt;=50%,C113*40%-C104*5%,IF(C114&lt;50%,C113*30%,0))))),0)</f>
        <v>55430</v>
      </c>
      <c r="D115" s="2322" t="s">
        <v>138</v>
      </c>
      <c r="E115" s="23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4"/>
      <c r="G115" s="2324"/>
      <c r="H115" s="2339"/>
      <c r="I115" s="2235"/>
      <c r="J115" s="2385"/>
      <c r="K115" s="2385"/>
      <c r="L115" s="2385"/>
      <c r="M115" s="2385"/>
      <c r="N115" s="2385"/>
      <c r="O115" s="2385"/>
      <c r="P115" s="2385"/>
      <c r="Q115" s="2385"/>
      <c r="R115" s="2385"/>
      <c r="S115" s="2385"/>
      <c r="T115" s="2385"/>
      <c r="U115" s="2385"/>
      <c r="V115" s="2385"/>
      <c r="W115" s="2392"/>
      <c r="X115" s="2392"/>
      <c r="Y115" s="2392"/>
      <c r="Z115" s="2392"/>
    </row>
    <row r="116" spans="1:26" s="153" customFormat="1" ht="21.75" customHeight="1">
      <c r="J116" s="2389"/>
      <c r="K116" s="180"/>
      <c r="L116" s="180"/>
      <c r="M116" s="180"/>
      <c r="N116" s="180"/>
      <c r="O116" s="180"/>
    </row>
    <row r="117" spans="1:26" s="153" customFormat="1" ht="21.75" customHeight="1">
      <c r="J117" s="2389"/>
    </row>
    <row r="118" spans="1:26" s="153" customFormat="1" ht="21.75" customHeight="1">
      <c r="J118" s="2389"/>
    </row>
    <row r="119" spans="1:26" s="153" customFormat="1" ht="21.75" customHeight="1">
      <c r="J119" s="2389"/>
    </row>
    <row r="120" spans="1:26" s="153" customFormat="1" ht="21.75" customHeight="1">
      <c r="J120" s="2389"/>
    </row>
    <row r="121" spans="1:26" s="153" customFormat="1" ht="21.75" customHeight="1"/>
    <row r="122" spans="1:26" s="153" customFormat="1" ht="21.75" customHeight="1">
      <c r="J122" s="2390"/>
    </row>
    <row r="123" spans="1:26" s="153" customFormat="1" ht="21.75" customHeight="1"/>
    <row r="124" spans="1:26" s="153" customFormat="1" ht="21.75" customHeight="1"/>
    <row r="125" spans="1:26" s="153" customFormat="1" ht="21.75" customHeight="1">
      <c r="J125" s="2390"/>
    </row>
    <row r="126" spans="1:26" s="153" customFormat="1" ht="21.75" customHeight="1"/>
    <row r="127" spans="1:26" s="153" customFormat="1" ht="21.75" customHeight="1"/>
    <row r="128" spans="1:26" s="153" customFormat="1" ht="21.75" customHeight="1">
      <c r="J128" s="2390"/>
    </row>
    <row r="129" spans="2:6" s="153" customFormat="1" ht="21.75" customHeight="1"/>
    <row r="130" spans="2:6" s="153" customFormat="1" ht="21.75" customHeight="1">
      <c r="B130" s="2393"/>
      <c r="C130" s="2394"/>
      <c r="D130" s="2395"/>
      <c r="E130" s="2395"/>
      <c r="F130" s="2396"/>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1"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3" zoomScale="80" zoomScaleNormal="95" zoomScaleSheetLayoutView="80" workbookViewId="0">
      <selection activeCell="E19" sqref="E19"/>
    </sheetView>
  </sheetViews>
  <sheetFormatPr defaultColWidth="9" defaultRowHeight="13.8"/>
  <cols>
    <col min="1" max="1" width="15.6640625" style="195" customWidth="1"/>
    <col min="2" max="2" width="15.77734375" style="195" customWidth="1"/>
    <col min="3" max="3" width="15.21875" style="195" customWidth="1"/>
    <col min="4" max="4" width="12.21875" style="195" customWidth="1"/>
    <col min="5" max="5" width="16.109375" style="195" customWidth="1"/>
    <col min="6" max="6" width="12.21875" style="195" customWidth="1"/>
    <col min="7" max="7" width="15.6640625" style="195" customWidth="1"/>
    <col min="8" max="8" width="12.21875" style="195" customWidth="1"/>
    <col min="9" max="9" width="15.66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30" s="189" customFormat="1" ht="28.5" customHeight="1">
      <c r="A1" s="198" t="s">
        <v>912</v>
      </c>
      <c r="B1" s="529"/>
      <c r="C1" s="200" t="s">
        <v>913</v>
      </c>
      <c r="D1" s="1737" t="s">
        <v>914</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1"/>
    </row>
    <row r="2" spans="1:30" s="189" customFormat="1" ht="28.5" customHeight="1">
      <c r="A2" s="205" t="s">
        <v>915</v>
      </c>
      <c r="B2" s="1739">
        <f>F68</f>
        <v>173710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1"/>
    </row>
    <row r="3" spans="1:30" s="189" customFormat="1" ht="28.5" customHeight="1">
      <c r="A3" s="621" t="s">
        <v>916</v>
      </c>
      <c r="B3" s="211">
        <f>ROUND(B2*10000/'数据-汇总表'!E3,0)</f>
        <v>13928</v>
      </c>
      <c r="C3" s="565"/>
      <c r="D3" s="2028"/>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41" t="s">
        <v>917</v>
      </c>
      <c r="B4" s="623">
        <f>IF(B48="单位面积地价",C50,ROUND(B2*10000/'数据-汇总表'!D3,0))</f>
        <v>168493</v>
      </c>
      <c r="C4" s="565"/>
      <c r="D4" s="2028"/>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11233</v>
      </c>
      <c r="C5" s="626" t="s">
        <v>918</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1">
      <c r="A6" s="214" t="s">
        <v>919</v>
      </c>
      <c r="B6" s="215"/>
      <c r="C6" s="3342" t="s">
        <v>920</v>
      </c>
      <c r="D6" s="3343"/>
      <c r="E6" s="3342" t="s">
        <v>921</v>
      </c>
      <c r="F6" s="3343"/>
      <c r="G6" s="3342" t="s">
        <v>922</v>
      </c>
      <c r="H6" s="3343"/>
      <c r="I6" s="3342" t="s">
        <v>923</v>
      </c>
      <c r="J6" s="3343"/>
      <c r="K6" s="376" t="s">
        <v>924</v>
      </c>
      <c r="L6" s="377"/>
      <c r="M6" s="375"/>
      <c r="N6" s="375"/>
      <c r="O6" s="378"/>
      <c r="P6" s="3370" t="s">
        <v>925</v>
      </c>
      <c r="Q6" s="3371"/>
      <c r="R6" s="3376" t="s">
        <v>921</v>
      </c>
      <c r="S6" s="3377"/>
      <c r="T6" s="3376" t="s">
        <v>922</v>
      </c>
      <c r="U6" s="3377"/>
      <c r="V6" s="3362" t="s">
        <v>923</v>
      </c>
      <c r="W6" s="3362"/>
      <c r="X6" s="443"/>
      <c r="Y6" s="3376" t="s">
        <v>925</v>
      </c>
      <c r="Z6" s="3377"/>
      <c r="AA6" s="3363" t="s">
        <v>921</v>
      </c>
      <c r="AB6" s="3364" t="s">
        <v>922</v>
      </c>
      <c r="AC6" s="3363" t="s">
        <v>923</v>
      </c>
    </row>
    <row r="7" spans="1:30" ht="21">
      <c r="A7" s="216"/>
      <c r="B7" s="217"/>
      <c r="C7" s="3344" t="s">
        <v>926</v>
      </c>
      <c r="D7" s="3345"/>
      <c r="E7" s="3344" t="str">
        <f>土地住宅案例!A2</f>
        <v>姑苏区彩香路东、金门路南</v>
      </c>
      <c r="F7" s="3345"/>
      <c r="G7" s="3344" t="str">
        <f>土地住宅案例!A7</f>
        <v>姑苏区缘园路西、倪家桥小区南</v>
      </c>
      <c r="H7" s="3345"/>
      <c r="I7" s="3344" t="str">
        <f>土地住宅案例!A17</f>
        <v>姑苏区劳动路以南、华亭路以西</v>
      </c>
      <c r="J7" s="3345"/>
      <c r="K7" s="376"/>
      <c r="L7" s="377"/>
      <c r="M7" s="375"/>
      <c r="N7" s="375"/>
      <c r="O7" s="378"/>
      <c r="P7" s="3372"/>
      <c r="Q7" s="3373"/>
      <c r="R7" s="3378"/>
      <c r="S7" s="3379"/>
      <c r="T7" s="3378"/>
      <c r="U7" s="3379"/>
      <c r="V7" s="3362"/>
      <c r="W7" s="3362"/>
      <c r="X7" s="443"/>
      <c r="Y7" s="3378"/>
      <c r="Z7" s="3379"/>
      <c r="AA7" s="3364"/>
      <c r="AB7" s="3364"/>
      <c r="AC7" s="3364"/>
    </row>
    <row r="8" spans="1:30" ht="21">
      <c r="A8" s="216"/>
      <c r="B8" s="217"/>
      <c r="C8" s="3346" t="s">
        <v>927</v>
      </c>
      <c r="D8" s="3347"/>
      <c r="E8" s="3346" t="s">
        <v>927</v>
      </c>
      <c r="F8" s="3347"/>
      <c r="G8" s="3348" t="s">
        <v>927</v>
      </c>
      <c r="H8" s="3349"/>
      <c r="I8" s="3348" t="s">
        <v>927</v>
      </c>
      <c r="J8" s="3349"/>
      <c r="K8" s="376" t="s">
        <v>928</v>
      </c>
      <c r="L8" s="377"/>
      <c r="M8" s="375"/>
      <c r="N8" s="375"/>
      <c r="O8" s="378"/>
      <c r="P8" s="3374"/>
      <c r="Q8" s="3375"/>
      <c r="R8" s="3378"/>
      <c r="S8" s="3379"/>
      <c r="T8" s="3380"/>
      <c r="U8" s="3381"/>
      <c r="V8" s="3362"/>
      <c r="W8" s="3362"/>
      <c r="X8" s="443"/>
      <c r="Y8" s="3380"/>
      <c r="Z8" s="3381"/>
      <c r="AA8" s="3365"/>
      <c r="AB8" s="3365"/>
      <c r="AC8" s="3365"/>
    </row>
    <row r="9" spans="1:30" s="190" customFormat="1" ht="21">
      <c r="A9" s="220"/>
      <c r="B9" s="221" t="s">
        <v>929</v>
      </c>
      <c r="C9" s="2029">
        <f>'数据-取费表'!B2</f>
        <v>43654</v>
      </c>
      <c r="D9" s="223">
        <v>100</v>
      </c>
      <c r="E9" s="224" t="str">
        <f>土地住宅案例!N2</f>
        <v>2019-04-24</v>
      </c>
      <c r="F9" s="225">
        <f>SUMIF(72:72,YEAR(E9)&amp;"-"&amp;INT((MONTH(E9)+2)/3),73:73)</f>
        <v>100</v>
      </c>
      <c r="G9" s="226" t="str">
        <f>土地住宅案例!N7</f>
        <v>2018-02-01</v>
      </c>
      <c r="H9" s="223">
        <f>SUMIF(72:72,YEAR(G9)&amp;"-"&amp;INT((MONTH(G9)+2)/3),73:73)</f>
        <v>100</v>
      </c>
      <c r="I9" s="226" t="str">
        <f>土地住宅案例!N17</f>
        <v>2017-02-15</v>
      </c>
      <c r="J9" s="223">
        <f>SUMIF(72:72,YEAR(I9)&amp;"-"&amp;INT((MONTH(I9)+2)/3),73:73)</f>
        <v>100</v>
      </c>
      <c r="K9" s="379"/>
      <c r="L9" s="380"/>
      <c r="M9" s="375"/>
      <c r="N9" s="375"/>
      <c r="O9" s="381"/>
      <c r="P9" s="3350" t="s">
        <v>930</v>
      </c>
      <c r="Q9" s="3351"/>
      <c r="R9" s="444" t="s">
        <v>931</v>
      </c>
      <c r="S9" s="445">
        <f t="shared" ref="S9:S17" si="0">F9</f>
        <v>100</v>
      </c>
      <c r="T9" s="444" t="s">
        <v>931</v>
      </c>
      <c r="U9" s="445">
        <f t="shared" ref="U9:U17" si="1">H9</f>
        <v>100</v>
      </c>
      <c r="V9" s="444" t="s">
        <v>931</v>
      </c>
      <c r="W9" s="445">
        <f t="shared" ref="W9:W17" si="2">J9</f>
        <v>100</v>
      </c>
      <c r="X9" s="446"/>
      <c r="Y9" s="3350" t="s">
        <v>930</v>
      </c>
      <c r="Z9" s="3382"/>
      <c r="AA9" s="463">
        <f>D9/F9</f>
        <v>1</v>
      </c>
      <c r="AB9" s="463">
        <f>D9/H9</f>
        <v>1</v>
      </c>
      <c r="AC9" s="463">
        <f>D9/J9</f>
        <v>1</v>
      </c>
    </row>
    <row r="10" spans="1:30" s="190" customFormat="1" ht="21">
      <c r="A10" s="227"/>
      <c r="B10" s="228" t="s">
        <v>932</v>
      </c>
      <c r="C10" s="2030" t="s">
        <v>933</v>
      </c>
      <c r="D10" s="223">
        <v>100</v>
      </c>
      <c r="E10" s="229" t="s">
        <v>934</v>
      </c>
      <c r="F10" s="225">
        <f>SUMIF(75:75,E10,76:76)-SUMIF(75:75,C10,76:76)+100</f>
        <v>100</v>
      </c>
      <c r="G10" s="229" t="s">
        <v>934</v>
      </c>
      <c r="H10" s="223">
        <f>SUMIF(75:75,G10,76:76)-SUMIF(75:75,C10,76:76)+100</f>
        <v>100</v>
      </c>
      <c r="I10" s="229" t="s">
        <v>934</v>
      </c>
      <c r="J10" s="223">
        <f>SUMIF(75:75,I10,76:76)-SUMIF(75:75,C10,76:76)+100</f>
        <v>100</v>
      </c>
      <c r="K10" s="379"/>
      <c r="L10" s="380"/>
      <c r="M10" s="375"/>
      <c r="N10" s="375"/>
      <c r="O10" s="381"/>
      <c r="P10" s="3350" t="s">
        <v>935</v>
      </c>
      <c r="Q10" s="3382"/>
      <c r="R10" s="444" t="s">
        <v>931</v>
      </c>
      <c r="S10" s="445">
        <f t="shared" si="0"/>
        <v>100</v>
      </c>
      <c r="T10" s="444" t="s">
        <v>931</v>
      </c>
      <c r="U10" s="445">
        <f t="shared" si="1"/>
        <v>100</v>
      </c>
      <c r="V10" s="444" t="s">
        <v>931</v>
      </c>
      <c r="W10" s="445">
        <f t="shared" si="2"/>
        <v>100</v>
      </c>
      <c r="X10" s="446"/>
      <c r="Y10" s="3350" t="s">
        <v>935</v>
      </c>
      <c r="Z10" s="3382"/>
      <c r="AA10" s="463">
        <f t="shared" ref="AA10:AA47" si="3">D10/F10</f>
        <v>1</v>
      </c>
      <c r="AB10" s="463">
        <f t="shared" ref="AB10:AB47" si="4">D10/H10</f>
        <v>1</v>
      </c>
      <c r="AC10" s="463">
        <f t="shared" ref="AC10:AC47" si="5">D10/J10</f>
        <v>1</v>
      </c>
    </row>
    <row r="11" spans="1:30" s="190" customFormat="1" ht="21">
      <c r="A11" s="230"/>
      <c r="B11" s="231" t="s">
        <v>936</v>
      </c>
      <c r="C11" s="2031" t="s">
        <v>937</v>
      </c>
      <c r="D11" s="233">
        <v>100</v>
      </c>
      <c r="E11" s="1742" t="s">
        <v>937</v>
      </c>
      <c r="F11" s="233">
        <f>SUMIF(77:77,E11,78:78)-SUMIF(77:77,C11,78:78)+100</f>
        <v>100</v>
      </c>
      <c r="G11" s="1742" t="s">
        <v>379</v>
      </c>
      <c r="H11" s="233">
        <f>SUMIF(77:77,G11,78:78)-SUMIF(77:77,C11,78:78)+100</f>
        <v>95</v>
      </c>
      <c r="I11" s="1742" t="s">
        <v>937</v>
      </c>
      <c r="J11" s="233">
        <f>SUMIF(77:77,I11,78:78)-SUMIF(77:77,C11,78:78)+100</f>
        <v>100</v>
      </c>
      <c r="K11" s="379"/>
      <c r="L11" s="380"/>
      <c r="M11" s="375"/>
      <c r="N11" s="375"/>
      <c r="O11" s="382"/>
      <c r="P11" s="3353" t="s">
        <v>938</v>
      </c>
      <c r="Q11" s="447" t="str">
        <f t="shared" ref="Q11:Q17" si="6">B11</f>
        <v>用途</v>
      </c>
      <c r="R11" s="444" t="s">
        <v>931</v>
      </c>
      <c r="S11" s="445">
        <f t="shared" si="0"/>
        <v>100</v>
      </c>
      <c r="T11" s="444" t="s">
        <v>931</v>
      </c>
      <c r="U11" s="445">
        <f t="shared" si="1"/>
        <v>95</v>
      </c>
      <c r="V11" s="444" t="s">
        <v>931</v>
      </c>
      <c r="W11" s="445">
        <f t="shared" si="2"/>
        <v>100</v>
      </c>
      <c r="X11" s="446"/>
      <c r="Y11" s="3341" t="s">
        <v>939</v>
      </c>
      <c r="Z11" s="464" t="str">
        <f t="shared" ref="Z11:Z17" si="7">Q11</f>
        <v>用途</v>
      </c>
      <c r="AA11" s="463">
        <f t="shared" si="3"/>
        <v>1</v>
      </c>
      <c r="AB11" s="463">
        <f t="shared" si="4"/>
        <v>1.0526315789473684</v>
      </c>
      <c r="AC11" s="463">
        <f t="shared" si="5"/>
        <v>1</v>
      </c>
    </row>
    <row r="12" spans="1:30" s="191" customFormat="1" ht="28.8">
      <c r="A12" s="235"/>
      <c r="B12" s="228" t="s">
        <v>940</v>
      </c>
      <c r="C12" s="566">
        <f>项目基本情况!D19</f>
        <v>64.75</v>
      </c>
      <c r="D12" s="237">
        <v>100</v>
      </c>
      <c r="E12" s="2032" t="s">
        <v>941</v>
      </c>
      <c r="F12" s="237">
        <f>ROUND(100/'数据-取费表'!G16,0)</f>
        <v>103</v>
      </c>
      <c r="G12" s="2033" t="s">
        <v>941</v>
      </c>
      <c r="H12" s="237">
        <f>ROUND(100/'数据-取费表'!G16,0)</f>
        <v>103</v>
      </c>
      <c r="I12" s="2033" t="s">
        <v>941</v>
      </c>
      <c r="J12" s="237">
        <f>ROUND(100/'数据-取费表'!G16,0)</f>
        <v>103</v>
      </c>
      <c r="K12" s="1799"/>
      <c r="L12" s="385"/>
      <c r="M12" s="375"/>
      <c r="N12" s="375"/>
      <c r="O12" s="387"/>
      <c r="P12" s="3353"/>
      <c r="Q12" s="447" t="str">
        <f t="shared" si="6"/>
        <v>土地使用年限（年）</v>
      </c>
      <c r="R12" s="444" t="s">
        <v>931</v>
      </c>
      <c r="S12" s="445">
        <f t="shared" si="0"/>
        <v>103</v>
      </c>
      <c r="T12" s="444" t="s">
        <v>931</v>
      </c>
      <c r="U12" s="445">
        <f t="shared" si="1"/>
        <v>103</v>
      </c>
      <c r="V12" s="444" t="s">
        <v>931</v>
      </c>
      <c r="W12" s="445">
        <f t="shared" si="2"/>
        <v>103</v>
      </c>
      <c r="X12" s="446"/>
      <c r="Y12" s="3341"/>
      <c r="Z12" s="464" t="str">
        <f t="shared" si="7"/>
        <v>土地使用年限（年）</v>
      </c>
      <c r="AA12" s="463">
        <f t="shared" si="3"/>
        <v>0.970873786407767</v>
      </c>
      <c r="AB12" s="463">
        <f t="shared" si="4"/>
        <v>0.970873786407767</v>
      </c>
      <c r="AC12" s="463">
        <f t="shared" si="5"/>
        <v>0.970873786407767</v>
      </c>
    </row>
    <row r="13" spans="1:30" ht="21">
      <c r="A13" s="530"/>
      <c r="B13" s="228" t="s">
        <v>942</v>
      </c>
      <c r="C13" s="532">
        <f>'数据-汇总表'!I7</f>
        <v>9.92</v>
      </c>
      <c r="D13" s="237">
        <v>100</v>
      </c>
      <c r="E13" s="531">
        <v>1.6</v>
      </c>
      <c r="F13" s="237">
        <f>LOOKUP(E13,82:82,83:83)-LOOKUP(C13,82:82,83:83)+100</f>
        <v>120</v>
      </c>
      <c r="G13" s="532">
        <v>1.1000000000000001</v>
      </c>
      <c r="H13" s="237">
        <f>LOOKUP(G13,82:82,83:83)-LOOKUP(C13,82:82,83:83)+100</f>
        <v>120</v>
      </c>
      <c r="I13" s="531">
        <v>2.4500000000000002</v>
      </c>
      <c r="J13" s="237">
        <f>LOOKUP(I13,82:82,83:83)-LOOKUP(C13,82:82,83:83)+100</f>
        <v>120</v>
      </c>
      <c r="K13" s="1800">
        <v>5</v>
      </c>
      <c r="L13" s="389"/>
      <c r="M13" s="375"/>
      <c r="N13" s="375"/>
      <c r="O13" s="390"/>
      <c r="P13" s="3353"/>
      <c r="Q13" s="447" t="str">
        <f t="shared" si="6"/>
        <v>容积率</v>
      </c>
      <c r="R13" s="444" t="s">
        <v>931</v>
      </c>
      <c r="S13" s="445">
        <f t="shared" si="0"/>
        <v>120</v>
      </c>
      <c r="T13" s="444" t="s">
        <v>931</v>
      </c>
      <c r="U13" s="445">
        <f t="shared" si="1"/>
        <v>120</v>
      </c>
      <c r="V13" s="444" t="s">
        <v>931</v>
      </c>
      <c r="W13" s="445">
        <f t="shared" si="2"/>
        <v>120</v>
      </c>
      <c r="X13" s="446"/>
      <c r="Y13" s="3341"/>
      <c r="Z13" s="464" t="str">
        <f t="shared" si="7"/>
        <v>容积率</v>
      </c>
      <c r="AA13" s="463">
        <f t="shared" si="3"/>
        <v>0.83333333333333337</v>
      </c>
      <c r="AB13" s="463">
        <f t="shared" si="4"/>
        <v>0.83333333333333337</v>
      </c>
      <c r="AC13" s="463">
        <f t="shared" si="5"/>
        <v>0.83333333333333337</v>
      </c>
    </row>
    <row r="14" spans="1:30" s="190" customFormat="1" ht="21" hidden="1">
      <c r="A14" s="227"/>
      <c r="B14" s="2034" t="s">
        <v>943</v>
      </c>
      <c r="C14" s="2035"/>
      <c r="D14" s="243">
        <v>100</v>
      </c>
      <c r="E14" s="2036"/>
      <c r="F14" s="237">
        <f>SUMIF(84:84,E14,85:85)-SUMIF(84:84,C14,85:85)+100</f>
        <v>100</v>
      </c>
      <c r="G14" s="2033"/>
      <c r="H14" s="237">
        <f>SUMIF(84:84,G14,85:85)-SUMIF(84:84,C14,85:85)+100</f>
        <v>100</v>
      </c>
      <c r="I14" s="2032"/>
      <c r="J14" s="237">
        <f>SUMIF(84:84,I14,85:85)-SUMIF(84:84,C14,85:85)+100</f>
        <v>100</v>
      </c>
      <c r="K14" s="1799"/>
      <c r="L14" s="380"/>
      <c r="M14" s="375"/>
      <c r="N14" s="375"/>
      <c r="O14" s="382"/>
      <c r="P14" s="3353"/>
      <c r="Q14" s="447" t="str">
        <f t="shared" si="6"/>
        <v>配建</v>
      </c>
      <c r="R14" s="444" t="s">
        <v>931</v>
      </c>
      <c r="S14" s="445">
        <f t="shared" si="0"/>
        <v>100</v>
      </c>
      <c r="T14" s="444" t="s">
        <v>931</v>
      </c>
      <c r="U14" s="445">
        <f t="shared" si="1"/>
        <v>100</v>
      </c>
      <c r="V14" s="444" t="s">
        <v>931</v>
      </c>
      <c r="W14" s="445">
        <f t="shared" si="2"/>
        <v>100</v>
      </c>
      <c r="X14" s="446"/>
      <c r="Y14" s="3341"/>
      <c r="Z14" s="464" t="str">
        <f t="shared" si="7"/>
        <v>配建</v>
      </c>
      <c r="AA14" s="463">
        <f t="shared" si="3"/>
        <v>1</v>
      </c>
      <c r="AB14" s="463">
        <f t="shared" si="4"/>
        <v>1</v>
      </c>
      <c r="AC14" s="463">
        <f t="shared" si="5"/>
        <v>1</v>
      </c>
    </row>
    <row r="15" spans="1:30" ht="21" hidden="1">
      <c r="A15" s="239"/>
      <c r="B15" s="240">
        <v>111</v>
      </c>
      <c r="C15" s="572"/>
      <c r="D15" s="247">
        <v>100</v>
      </c>
      <c r="E15" s="360"/>
      <c r="F15" s="237">
        <f>SUMIF(86:86,E15,87:87)-SUMIF(86:86,C15,87:87)+100</f>
        <v>100</v>
      </c>
      <c r="G15" s="1743"/>
      <c r="H15" s="247">
        <f>SUMIF(86:86,G15,87:87)-SUMIF(86:86,C15,87:87)+100</f>
        <v>100</v>
      </c>
      <c r="I15" s="1743"/>
      <c r="J15" s="247">
        <f>SUMIF(86:86,I15,87:87)-SUMIF(86:86,C15,87:87)+100</f>
        <v>100</v>
      </c>
      <c r="K15" s="1799"/>
      <c r="L15" s="391"/>
      <c r="M15" s="375"/>
      <c r="N15" s="375"/>
      <c r="O15" s="390"/>
      <c r="P15" s="3353"/>
      <c r="Q15" s="447">
        <f t="shared" si="6"/>
        <v>111</v>
      </c>
      <c r="R15" s="444" t="s">
        <v>931</v>
      </c>
      <c r="S15" s="445">
        <f t="shared" si="0"/>
        <v>100</v>
      </c>
      <c r="T15" s="444" t="s">
        <v>931</v>
      </c>
      <c r="U15" s="445">
        <f t="shared" si="1"/>
        <v>100</v>
      </c>
      <c r="V15" s="444" t="s">
        <v>931</v>
      </c>
      <c r="W15" s="445">
        <f t="shared" si="2"/>
        <v>100</v>
      </c>
      <c r="X15" s="446"/>
      <c r="Y15" s="3341"/>
      <c r="Z15" s="464">
        <f t="shared" si="7"/>
        <v>111</v>
      </c>
      <c r="AA15" s="463">
        <f t="shared" si="3"/>
        <v>1</v>
      </c>
      <c r="AB15" s="463">
        <f t="shared" si="4"/>
        <v>1</v>
      </c>
      <c r="AC15" s="463">
        <f t="shared" si="5"/>
        <v>1</v>
      </c>
    </row>
    <row r="16" spans="1:30" ht="21" hidden="1">
      <c r="A16" s="244"/>
      <c r="B16" s="245">
        <v>111</v>
      </c>
      <c r="C16" s="577"/>
      <c r="D16" s="300">
        <v>100</v>
      </c>
      <c r="E16" s="360"/>
      <c r="F16" s="300">
        <f>SUMIF(88:88,E16,89:89)-SUMIF(88:88,C16,89:89)+100</f>
        <v>100</v>
      </c>
      <c r="G16" s="1743"/>
      <c r="H16" s="300">
        <f>SUMIF(88:88,G16,89:89)-SUMIF(88:88,C16,89:89)+100</f>
        <v>100</v>
      </c>
      <c r="I16" s="1743"/>
      <c r="J16" s="300">
        <f>SUMIF(88:88,I16,89:89)-SUMIF(88:88,C16,89:89)+100</f>
        <v>100</v>
      </c>
      <c r="K16" s="1799"/>
      <c r="L16" s="391"/>
      <c r="M16" s="375"/>
      <c r="N16" s="375"/>
      <c r="O16" s="390"/>
      <c r="P16" s="3353"/>
      <c r="Q16" s="447">
        <f t="shared" si="6"/>
        <v>111</v>
      </c>
      <c r="R16" s="444" t="s">
        <v>931</v>
      </c>
      <c r="S16" s="445">
        <f t="shared" si="0"/>
        <v>100</v>
      </c>
      <c r="T16" s="444" t="s">
        <v>931</v>
      </c>
      <c r="U16" s="445">
        <f t="shared" si="1"/>
        <v>100</v>
      </c>
      <c r="V16" s="444" t="s">
        <v>931</v>
      </c>
      <c r="W16" s="445">
        <f t="shared" si="2"/>
        <v>100</v>
      </c>
      <c r="X16" s="446"/>
      <c r="Y16" s="3341"/>
      <c r="Z16" s="464">
        <f t="shared" si="7"/>
        <v>111</v>
      </c>
      <c r="AA16" s="463">
        <f t="shared" si="3"/>
        <v>1</v>
      </c>
      <c r="AB16" s="463">
        <f t="shared" si="4"/>
        <v>1</v>
      </c>
      <c r="AC16" s="463">
        <f t="shared" si="5"/>
        <v>1</v>
      </c>
    </row>
    <row r="17" spans="1:29" ht="21">
      <c r="A17" s="248" t="s">
        <v>944</v>
      </c>
      <c r="B17" s="273" t="s">
        <v>227</v>
      </c>
      <c r="C17" s="567" t="str">
        <f>估价对象房地状况!C15</f>
        <v>较好</v>
      </c>
      <c r="D17" s="253">
        <v>100</v>
      </c>
      <c r="E17" s="254"/>
      <c r="F17" s="251">
        <f>SUMIF(90:90,E18,91:91)-SUMIF(90:90,C18,91:91)+100</f>
        <v>100</v>
      </c>
      <c r="G17" s="252"/>
      <c r="H17" s="251">
        <f>SUMIF(90:90,G18,91:91)-SUMIF(90:90,C18,91:91)+100</f>
        <v>97</v>
      </c>
      <c r="I17" s="254"/>
      <c r="J17" s="251">
        <f>SUMIF(90:90,I18,91:91)-SUMIF(90:90,C18,91:91)+100</f>
        <v>100</v>
      </c>
      <c r="K17" s="1800">
        <v>3</v>
      </c>
      <c r="L17" s="391"/>
      <c r="M17" s="375"/>
      <c r="N17" s="375"/>
      <c r="O17" s="390"/>
      <c r="P17" s="3354" t="s">
        <v>945</v>
      </c>
      <c r="Q17" s="383" t="str">
        <f t="shared" si="6"/>
        <v>居住社区成熟度</v>
      </c>
      <c r="R17" s="448" t="s">
        <v>931</v>
      </c>
      <c r="S17" s="449">
        <f t="shared" si="0"/>
        <v>100</v>
      </c>
      <c r="T17" s="448" t="s">
        <v>931</v>
      </c>
      <c r="U17" s="449">
        <f t="shared" si="1"/>
        <v>97</v>
      </c>
      <c r="V17" s="448" t="s">
        <v>931</v>
      </c>
      <c r="W17" s="449">
        <f t="shared" si="2"/>
        <v>100</v>
      </c>
      <c r="X17" s="443"/>
      <c r="Y17" s="3354" t="s">
        <v>945</v>
      </c>
      <c r="Z17" s="442" t="str">
        <f t="shared" si="7"/>
        <v>居住社区成熟度</v>
      </c>
      <c r="AA17" s="454">
        <f t="shared" si="3"/>
        <v>1</v>
      </c>
      <c r="AB17" s="454">
        <f t="shared" si="4"/>
        <v>1.0309278350515463</v>
      </c>
      <c r="AC17" s="454">
        <f t="shared" si="5"/>
        <v>1</v>
      </c>
    </row>
    <row r="18" spans="1:29" ht="21">
      <c r="A18" s="255"/>
      <c r="B18" s="568"/>
      <c r="C18" s="569" t="s">
        <v>663</v>
      </c>
      <c r="D18" s="259"/>
      <c r="E18" s="537" t="s">
        <v>663</v>
      </c>
      <c r="F18" s="258"/>
      <c r="G18" s="536" t="s">
        <v>946</v>
      </c>
      <c r="H18" s="260"/>
      <c r="I18" s="537" t="s">
        <v>663</v>
      </c>
      <c r="J18" s="258"/>
      <c r="K18" s="1799"/>
      <c r="L18" s="391"/>
      <c r="M18" s="375"/>
      <c r="N18" s="375"/>
      <c r="O18" s="390"/>
      <c r="P18" s="3355"/>
      <c r="Q18" s="383"/>
      <c r="R18" s="448"/>
      <c r="S18" s="449"/>
      <c r="T18" s="448"/>
      <c r="U18" s="449"/>
      <c r="V18" s="448"/>
      <c r="W18" s="449"/>
      <c r="X18" s="443"/>
      <c r="Y18" s="3355"/>
      <c r="Z18" s="442"/>
      <c r="AA18" s="454">
        <v>1</v>
      </c>
      <c r="AB18" s="454">
        <v>1</v>
      </c>
      <c r="AC18" s="454">
        <v>1</v>
      </c>
    </row>
    <row r="19" spans="1:29" ht="21">
      <c r="A19" s="255"/>
      <c r="B19" s="500" t="s">
        <v>228</v>
      </c>
      <c r="C19" s="2037" t="str">
        <f>估价对象房地状况!C16</f>
        <v>好</v>
      </c>
      <c r="D19" s="271">
        <v>100</v>
      </c>
      <c r="E19" s="272"/>
      <c r="F19" s="260">
        <f>SUMIF(92:92,E20,93:93)-SUMIF(92:92,C20,93:93)+100</f>
        <v>97</v>
      </c>
      <c r="G19" s="270"/>
      <c r="H19" s="263">
        <f>SUMIF(92:92,G20,93:93)-SUMIF(92:92,C20,93:93)+100</f>
        <v>94</v>
      </c>
      <c r="I19" s="272"/>
      <c r="J19" s="263">
        <f>SUMIF(92:92,I20,93:93)-SUMIF(92:92,C20,93:93)+100</f>
        <v>97</v>
      </c>
      <c r="K19" s="1800">
        <v>3</v>
      </c>
      <c r="L19" s="391"/>
      <c r="M19" s="375"/>
      <c r="N19" s="375"/>
      <c r="O19" s="390"/>
      <c r="P19" s="3355"/>
      <c r="Q19" s="383" t="str">
        <f>B19</f>
        <v>商业繁华度</v>
      </c>
      <c r="R19" s="448" t="s">
        <v>931</v>
      </c>
      <c r="S19" s="449">
        <f>F19</f>
        <v>97</v>
      </c>
      <c r="T19" s="448" t="s">
        <v>931</v>
      </c>
      <c r="U19" s="449">
        <f>H19</f>
        <v>94</v>
      </c>
      <c r="V19" s="448" t="s">
        <v>931</v>
      </c>
      <c r="W19" s="449">
        <f>J19</f>
        <v>97</v>
      </c>
      <c r="X19" s="443"/>
      <c r="Y19" s="3355"/>
      <c r="Z19" s="442" t="str">
        <f>Q19</f>
        <v>商业繁华度</v>
      </c>
      <c r="AA19" s="454">
        <f t="shared" si="3"/>
        <v>1.0309278350515463</v>
      </c>
      <c r="AB19" s="454">
        <f t="shared" si="4"/>
        <v>1.0638297872340425</v>
      </c>
      <c r="AC19" s="454">
        <f t="shared" si="5"/>
        <v>1.0309278350515463</v>
      </c>
    </row>
    <row r="20" spans="1:29" ht="21">
      <c r="A20" s="255"/>
      <c r="B20" s="267"/>
      <c r="C20" s="571" t="s">
        <v>667</v>
      </c>
      <c r="D20" s="271"/>
      <c r="E20" s="535" t="s">
        <v>663</v>
      </c>
      <c r="F20" s="260"/>
      <c r="G20" s="534" t="s">
        <v>946</v>
      </c>
      <c r="H20" s="258"/>
      <c r="I20" s="535" t="s">
        <v>663</v>
      </c>
      <c r="J20" s="258"/>
      <c r="K20" s="1799"/>
      <c r="L20" s="391"/>
      <c r="M20" s="375"/>
      <c r="N20" s="375"/>
      <c r="O20" s="390"/>
      <c r="P20" s="3355"/>
      <c r="Q20" s="383"/>
      <c r="R20" s="448"/>
      <c r="S20" s="449"/>
      <c r="T20" s="448"/>
      <c r="U20" s="449"/>
      <c r="V20" s="448"/>
      <c r="W20" s="449"/>
      <c r="X20" s="443"/>
      <c r="Y20" s="3355"/>
      <c r="Z20" s="442"/>
      <c r="AA20" s="454">
        <v>1</v>
      </c>
      <c r="AB20" s="454">
        <v>1</v>
      </c>
      <c r="AC20" s="454">
        <v>1</v>
      </c>
    </row>
    <row r="21" spans="1:29" ht="21">
      <c r="A21" s="255"/>
      <c r="B21" s="500" t="s">
        <v>229</v>
      </c>
      <c r="C21" s="2037" t="str">
        <f>估价对象房地状况!C17</f>
        <v>较好</v>
      </c>
      <c r="D21" s="265">
        <v>100</v>
      </c>
      <c r="E21" s="266"/>
      <c r="F21" s="263">
        <f>SUMIF(94:94,E22,95:95)-SUMIF(94:94,C22,95:95)+100</f>
        <v>100</v>
      </c>
      <c r="G21" s="264"/>
      <c r="H21" s="260">
        <f>SUMIF(94:94,G22,95:95)-SUMIF(94:94,C22,95:95)+100</f>
        <v>97</v>
      </c>
      <c r="I21" s="266"/>
      <c r="J21" s="260">
        <f>SUMIF(94:94,I22,95:95)-SUMIF(94:94,C22,95:95)+100</f>
        <v>100</v>
      </c>
      <c r="K21" s="1800">
        <v>3</v>
      </c>
      <c r="L21" s="391"/>
      <c r="M21" s="375"/>
      <c r="N21" s="375"/>
      <c r="O21" s="390"/>
      <c r="P21" s="3355"/>
      <c r="Q21" s="383" t="str">
        <f>B21</f>
        <v>办公集聚程度</v>
      </c>
      <c r="R21" s="448" t="s">
        <v>931</v>
      </c>
      <c r="S21" s="449">
        <f>F21</f>
        <v>100</v>
      </c>
      <c r="T21" s="448" t="s">
        <v>931</v>
      </c>
      <c r="U21" s="449">
        <f>H21</f>
        <v>97</v>
      </c>
      <c r="V21" s="448" t="s">
        <v>931</v>
      </c>
      <c r="W21" s="449">
        <f>J21</f>
        <v>100</v>
      </c>
      <c r="X21" s="443"/>
      <c r="Y21" s="3355"/>
      <c r="Z21" s="442" t="str">
        <f>Q21</f>
        <v>办公集聚程度</v>
      </c>
      <c r="AA21" s="454">
        <f t="shared" si="3"/>
        <v>1</v>
      </c>
      <c r="AB21" s="454">
        <f t="shared" si="4"/>
        <v>1.0309278350515463</v>
      </c>
      <c r="AC21" s="454">
        <f t="shared" si="5"/>
        <v>1</v>
      </c>
    </row>
    <row r="22" spans="1:29" ht="21">
      <c r="A22" s="255"/>
      <c r="B22" s="267"/>
      <c r="C22" s="569" t="s">
        <v>663</v>
      </c>
      <c r="D22" s="259"/>
      <c r="E22" s="537" t="s">
        <v>663</v>
      </c>
      <c r="F22" s="258"/>
      <c r="G22" s="536" t="s">
        <v>946</v>
      </c>
      <c r="H22" s="258"/>
      <c r="I22" s="537" t="s">
        <v>663</v>
      </c>
      <c r="J22" s="258"/>
      <c r="K22" s="1799"/>
      <c r="L22" s="391"/>
      <c r="M22" s="375"/>
      <c r="N22" s="375"/>
      <c r="O22" s="390"/>
      <c r="P22" s="3355"/>
      <c r="Q22" s="383"/>
      <c r="R22" s="448"/>
      <c r="S22" s="449"/>
      <c r="T22" s="448"/>
      <c r="U22" s="449"/>
      <c r="V22" s="448"/>
      <c r="W22" s="449"/>
      <c r="X22" s="443"/>
      <c r="Y22" s="3355"/>
      <c r="Z22" s="442"/>
      <c r="AA22" s="454">
        <v>1</v>
      </c>
      <c r="AB22" s="454">
        <v>1</v>
      </c>
      <c r="AC22" s="454">
        <v>1</v>
      </c>
    </row>
    <row r="23" spans="1:29" ht="21">
      <c r="A23" s="255"/>
      <c r="B23" s="500" t="s">
        <v>231</v>
      </c>
      <c r="C23" s="570" t="str">
        <f>估价对象房地状况!C18</f>
        <v>较好</v>
      </c>
      <c r="D23" s="271">
        <v>100</v>
      </c>
      <c r="E23" s="272"/>
      <c r="F23" s="263">
        <f>SUMIF(96:96,E24,97:97)-SUMIF(96:96,C24,97:97)+100</f>
        <v>100</v>
      </c>
      <c r="G23" s="270"/>
      <c r="H23" s="260">
        <f>SUMIF(96:96,G24,97:97)-SUMIF(96:96,C24,97:97)+100</f>
        <v>100</v>
      </c>
      <c r="I23" s="272"/>
      <c r="J23" s="260">
        <f>SUMIF(96:96,I24,97:97)-SUMIF(96:96,C24,97:97)+100</f>
        <v>100</v>
      </c>
      <c r="K23" s="1800">
        <v>3</v>
      </c>
      <c r="L23" s="391"/>
      <c r="M23" s="375"/>
      <c r="N23" s="375"/>
      <c r="O23" s="390"/>
      <c r="P23" s="3355"/>
      <c r="Q23" s="383" t="str">
        <f>B23</f>
        <v>交通便捷度</v>
      </c>
      <c r="R23" s="448" t="s">
        <v>931</v>
      </c>
      <c r="S23" s="449">
        <f>F23</f>
        <v>100</v>
      </c>
      <c r="T23" s="448" t="s">
        <v>931</v>
      </c>
      <c r="U23" s="449">
        <f>H23</f>
        <v>100</v>
      </c>
      <c r="V23" s="448" t="s">
        <v>931</v>
      </c>
      <c r="W23" s="449">
        <f>J23</f>
        <v>100</v>
      </c>
      <c r="X23" s="443"/>
      <c r="Y23" s="3355"/>
      <c r="Z23" s="442" t="str">
        <f>Q23</f>
        <v>交通便捷度</v>
      </c>
      <c r="AA23" s="454">
        <f t="shared" si="3"/>
        <v>1</v>
      </c>
      <c r="AB23" s="454">
        <f t="shared" si="4"/>
        <v>1</v>
      </c>
      <c r="AC23" s="454">
        <f t="shared" si="5"/>
        <v>1</v>
      </c>
    </row>
    <row r="24" spans="1:29" ht="21">
      <c r="A24" s="255"/>
      <c r="B24" s="273"/>
      <c r="C24" s="569" t="s">
        <v>663</v>
      </c>
      <c r="D24" s="259"/>
      <c r="E24" s="537" t="s">
        <v>663</v>
      </c>
      <c r="F24" s="258"/>
      <c r="G24" s="536" t="s">
        <v>663</v>
      </c>
      <c r="H24" s="258"/>
      <c r="I24" s="537" t="s">
        <v>663</v>
      </c>
      <c r="J24" s="258"/>
      <c r="K24" s="1799"/>
      <c r="L24" s="391"/>
      <c r="M24" s="375"/>
      <c r="N24" s="375"/>
      <c r="O24" s="390"/>
      <c r="P24" s="3355"/>
      <c r="Q24" s="383"/>
      <c r="R24" s="448"/>
      <c r="S24" s="449"/>
      <c r="T24" s="448"/>
      <c r="U24" s="449"/>
      <c r="V24" s="448"/>
      <c r="W24" s="449"/>
      <c r="X24" s="443"/>
      <c r="Y24" s="3355"/>
      <c r="Z24" s="442"/>
      <c r="AA24" s="454">
        <v>1</v>
      </c>
      <c r="AB24" s="454">
        <v>1</v>
      </c>
      <c r="AC24" s="454">
        <v>1</v>
      </c>
    </row>
    <row r="25" spans="1:29" ht="28.8">
      <c r="A25" s="216"/>
      <c r="B25" s="2038"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00">
        <v>3</v>
      </c>
      <c r="L25" s="391"/>
      <c r="M25" s="375"/>
      <c r="N25" s="375"/>
      <c r="O25" s="390"/>
      <c r="P25" s="3355"/>
      <c r="Q25" s="383" t="str">
        <f t="shared" ref="Q25:Q40" si="8">B25</f>
        <v>区域土地利用方向</v>
      </c>
      <c r="R25" s="448" t="s">
        <v>931</v>
      </c>
      <c r="S25" s="449">
        <f>F25</f>
        <v>100</v>
      </c>
      <c r="T25" s="448" t="s">
        <v>931</v>
      </c>
      <c r="U25" s="449">
        <f>H25</f>
        <v>100</v>
      </c>
      <c r="V25" s="448" t="s">
        <v>931</v>
      </c>
      <c r="W25" s="449">
        <f>J25</f>
        <v>100</v>
      </c>
      <c r="X25" s="443"/>
      <c r="Y25" s="3355"/>
      <c r="Z25" s="442" t="str">
        <f>Q25</f>
        <v>区域土地利用方向</v>
      </c>
      <c r="AA25" s="454">
        <f t="shared" si="3"/>
        <v>1</v>
      </c>
      <c r="AB25" s="454">
        <f t="shared" si="4"/>
        <v>1</v>
      </c>
      <c r="AC25" s="454">
        <f t="shared" si="5"/>
        <v>1</v>
      </c>
    </row>
    <row r="26" spans="1:29" ht="21">
      <c r="A26" s="216"/>
      <c r="B26" s="2039"/>
      <c r="C26" s="569" t="s">
        <v>663</v>
      </c>
      <c r="D26" s="259"/>
      <c r="E26" s="537" t="s">
        <v>663</v>
      </c>
      <c r="F26" s="258"/>
      <c r="G26" s="536" t="s">
        <v>663</v>
      </c>
      <c r="H26" s="258"/>
      <c r="I26" s="537" t="s">
        <v>663</v>
      </c>
      <c r="J26" s="258"/>
      <c r="K26" s="1799"/>
      <c r="L26" s="391"/>
      <c r="M26" s="375"/>
      <c r="N26" s="375"/>
      <c r="O26" s="390"/>
      <c r="P26" s="3355"/>
      <c r="Q26" s="383"/>
      <c r="R26" s="448"/>
      <c r="S26" s="449"/>
      <c r="T26" s="448"/>
      <c r="U26" s="449"/>
      <c r="V26" s="448"/>
      <c r="W26" s="449"/>
      <c r="X26" s="443"/>
      <c r="Y26" s="3355"/>
      <c r="Z26" s="442"/>
      <c r="AA26" s="454"/>
      <c r="AB26" s="454"/>
      <c r="AC26" s="454"/>
    </row>
    <row r="27" spans="1:29" ht="28.8">
      <c r="A27" s="216"/>
      <c r="B27" s="273" t="s">
        <v>947</v>
      </c>
      <c r="C27" s="2037" t="str">
        <f>估价对象房地状况!C20</f>
        <v>较好</v>
      </c>
      <c r="D27" s="271">
        <v>100</v>
      </c>
      <c r="E27" s="272"/>
      <c r="F27" s="260">
        <f>SUMIF(100:100,E28,101:101)-SUMIF(100:100,C28,101:101)+100</f>
        <v>100</v>
      </c>
      <c r="G27" s="270"/>
      <c r="H27" s="260">
        <f>SUMIF(100:100,G28,101:101)-SUMIF(100:100,C28,101:101)+100</f>
        <v>97</v>
      </c>
      <c r="I27" s="272"/>
      <c r="J27" s="260">
        <f>SUMIF(100:100,I28,101:101)-SUMIF(100:100,C28,101:101)+100</f>
        <v>97</v>
      </c>
      <c r="K27" s="1800">
        <v>3</v>
      </c>
      <c r="L27" s="391"/>
      <c r="M27" s="375"/>
      <c r="N27" s="375"/>
      <c r="O27" s="390"/>
      <c r="P27" s="3355"/>
      <c r="Q27" s="383" t="str">
        <f t="shared" si="8"/>
        <v>自然及人文环境状况</v>
      </c>
      <c r="R27" s="448" t="s">
        <v>931</v>
      </c>
      <c r="S27" s="449">
        <f>F27</f>
        <v>100</v>
      </c>
      <c r="T27" s="448" t="s">
        <v>931</v>
      </c>
      <c r="U27" s="449">
        <f>H27</f>
        <v>97</v>
      </c>
      <c r="V27" s="448" t="s">
        <v>931</v>
      </c>
      <c r="W27" s="449">
        <f>J27</f>
        <v>97</v>
      </c>
      <c r="X27" s="443"/>
      <c r="Y27" s="3355"/>
      <c r="Z27" s="442" t="str">
        <f>Q27</f>
        <v>自然及人文环境状况</v>
      </c>
      <c r="AA27" s="454">
        <f t="shared" si="3"/>
        <v>1</v>
      </c>
      <c r="AB27" s="454">
        <f t="shared" si="4"/>
        <v>1.0309278350515463</v>
      </c>
      <c r="AC27" s="454">
        <f t="shared" si="5"/>
        <v>1.0309278350515463</v>
      </c>
    </row>
    <row r="28" spans="1:29" ht="21">
      <c r="A28" s="216"/>
      <c r="B28" s="267"/>
      <c r="C28" s="569" t="s">
        <v>663</v>
      </c>
      <c r="D28" s="259"/>
      <c r="E28" s="257" t="s">
        <v>663</v>
      </c>
      <c r="F28" s="258"/>
      <c r="G28" s="569" t="s">
        <v>946</v>
      </c>
      <c r="H28" s="258"/>
      <c r="I28" s="257" t="s">
        <v>946</v>
      </c>
      <c r="J28" s="258"/>
      <c r="K28" s="1799"/>
      <c r="L28" s="391"/>
      <c r="M28" s="375"/>
      <c r="N28" s="375"/>
      <c r="O28" s="390"/>
      <c r="P28" s="3355"/>
      <c r="Q28" s="383"/>
      <c r="R28" s="448"/>
      <c r="S28" s="449"/>
      <c r="T28" s="448"/>
      <c r="U28" s="449"/>
      <c r="V28" s="448"/>
      <c r="W28" s="449"/>
      <c r="X28" s="443"/>
      <c r="Y28" s="3355"/>
      <c r="Z28" s="442"/>
      <c r="AA28" s="454">
        <v>1</v>
      </c>
      <c r="AB28" s="454">
        <v>1</v>
      </c>
      <c r="AC28" s="454">
        <v>1</v>
      </c>
    </row>
    <row r="29" spans="1:29" s="190" customFormat="1" ht="21">
      <c r="A29" s="502"/>
      <c r="B29" s="269" t="s">
        <v>233</v>
      </c>
      <c r="C29" s="570" t="str">
        <f>估价对象房地状况!C21</f>
        <v>较好</v>
      </c>
      <c r="D29" s="271">
        <v>100</v>
      </c>
      <c r="E29" s="272"/>
      <c r="F29" s="260">
        <f>SUMIF(102:102,E30,103:103)-SUMIF(102:102,C30,103:103)+100</f>
        <v>100</v>
      </c>
      <c r="G29" s="270"/>
      <c r="H29" s="260">
        <f>SUMIF(102:102,G30,103:103)-SUMIF(102:102,C30,103:103)+100</f>
        <v>100</v>
      </c>
      <c r="I29" s="272"/>
      <c r="J29" s="260">
        <f>SUMIF(102:102,I30,103:103)-SUMIF(102:102,C30,103:103)+100</f>
        <v>100</v>
      </c>
      <c r="K29" s="1800">
        <v>3</v>
      </c>
      <c r="L29" s="380"/>
      <c r="M29" s="375"/>
      <c r="N29" s="375"/>
      <c r="O29" s="382"/>
      <c r="P29" s="3355"/>
      <c r="Q29" s="447" t="str">
        <f t="shared" si="8"/>
        <v>公共配套设施</v>
      </c>
      <c r="R29" s="444" t="s">
        <v>931</v>
      </c>
      <c r="S29" s="445">
        <f>F29</f>
        <v>100</v>
      </c>
      <c r="T29" s="444" t="s">
        <v>931</v>
      </c>
      <c r="U29" s="445">
        <f>H29</f>
        <v>100</v>
      </c>
      <c r="V29" s="444" t="s">
        <v>931</v>
      </c>
      <c r="W29" s="445">
        <f>J29</f>
        <v>100</v>
      </c>
      <c r="X29" s="446"/>
      <c r="Y29" s="3355"/>
      <c r="Z29" s="464" t="str">
        <f>Q29</f>
        <v>公共配套设施</v>
      </c>
      <c r="AA29" s="454">
        <f>D29/F29</f>
        <v>1</v>
      </c>
      <c r="AB29" s="454">
        <f>D29/H29</f>
        <v>1</v>
      </c>
      <c r="AC29" s="454">
        <f>D29/J29</f>
        <v>1</v>
      </c>
    </row>
    <row r="30" spans="1:29" s="190" customFormat="1" ht="21">
      <c r="A30" s="502"/>
      <c r="B30" s="267"/>
      <c r="C30" s="1745" t="s">
        <v>663</v>
      </c>
      <c r="D30" s="259"/>
      <c r="E30" s="257" t="s">
        <v>663</v>
      </c>
      <c r="F30" s="258"/>
      <c r="G30" s="569" t="s">
        <v>663</v>
      </c>
      <c r="H30" s="258"/>
      <c r="I30" s="257" t="s">
        <v>663</v>
      </c>
      <c r="J30" s="258"/>
      <c r="K30" s="1799"/>
      <c r="L30" s="380"/>
      <c r="M30" s="375"/>
      <c r="N30" s="375"/>
      <c r="O30" s="382"/>
      <c r="P30" s="3355"/>
      <c r="Q30" s="447"/>
      <c r="R30" s="444"/>
      <c r="S30" s="445"/>
      <c r="T30" s="444"/>
      <c r="U30" s="445"/>
      <c r="V30" s="444"/>
      <c r="W30" s="445"/>
      <c r="X30" s="446"/>
      <c r="Y30" s="3355"/>
      <c r="Z30" s="464"/>
      <c r="AA30" s="454">
        <v>1</v>
      </c>
      <c r="AB30" s="454">
        <v>1</v>
      </c>
      <c r="AC30" s="454">
        <v>1</v>
      </c>
    </row>
    <row r="31" spans="1:29" s="190" customFormat="1" ht="21">
      <c r="A31" s="502"/>
      <c r="B31" s="269" t="s">
        <v>234</v>
      </c>
      <c r="C31" s="570" t="str">
        <f>估价对象房地状况!C22</f>
        <v>六通</v>
      </c>
      <c r="D31" s="271">
        <v>100</v>
      </c>
      <c r="E31" s="272"/>
      <c r="F31" s="260">
        <f>SUMIF(104:104,E32,105:105)-SUMIF(104:104,C32,105:105)+100</f>
        <v>100</v>
      </c>
      <c r="G31" s="270"/>
      <c r="H31" s="260">
        <f>SUMIF(104:104,G32,105:105)-SUMIF(104:104,C32,105:105)+100</f>
        <v>100</v>
      </c>
      <c r="I31" s="272"/>
      <c r="J31" s="260">
        <f>SUMIF(104:104,I32,105:105)-SUMIF(104:104,C32,105:105)+100</f>
        <v>100</v>
      </c>
      <c r="K31" s="1800">
        <v>1</v>
      </c>
      <c r="L31" s="380"/>
      <c r="M31" s="375"/>
      <c r="N31" s="375"/>
      <c r="O31" s="382"/>
      <c r="P31" s="3355"/>
      <c r="Q31" s="447" t="str">
        <f t="shared" ref="Q31" si="9">B31</f>
        <v>基础设施水平</v>
      </c>
      <c r="R31" s="444" t="s">
        <v>931</v>
      </c>
      <c r="S31" s="445">
        <f>F31</f>
        <v>100</v>
      </c>
      <c r="T31" s="444" t="s">
        <v>931</v>
      </c>
      <c r="U31" s="445">
        <f>H31</f>
        <v>100</v>
      </c>
      <c r="V31" s="444" t="s">
        <v>931</v>
      </c>
      <c r="W31" s="445">
        <f>J31</f>
        <v>100</v>
      </c>
      <c r="X31" s="446"/>
      <c r="Y31" s="3355"/>
      <c r="Z31" s="464" t="str">
        <f>Q31</f>
        <v>基础设施水平</v>
      </c>
      <c r="AA31" s="454">
        <f>D31/F31</f>
        <v>1</v>
      </c>
      <c r="AB31" s="454">
        <f>D31/H31</f>
        <v>1</v>
      </c>
      <c r="AC31" s="454">
        <f>D31/J31</f>
        <v>1</v>
      </c>
    </row>
    <row r="32" spans="1:29" s="190" customFormat="1" ht="21">
      <c r="A32" s="502"/>
      <c r="B32" s="267"/>
      <c r="C32" s="1745" t="s">
        <v>261</v>
      </c>
      <c r="D32" s="259"/>
      <c r="E32" s="1745" t="s">
        <v>261</v>
      </c>
      <c r="F32" s="258"/>
      <c r="G32" s="1745" t="s">
        <v>261</v>
      </c>
      <c r="H32" s="258"/>
      <c r="I32" s="1745" t="s">
        <v>261</v>
      </c>
      <c r="J32" s="258"/>
      <c r="K32" s="1799"/>
      <c r="L32" s="380"/>
      <c r="M32" s="375"/>
      <c r="N32" s="375"/>
      <c r="O32" s="382"/>
      <c r="P32" s="3355"/>
      <c r="Q32" s="447"/>
      <c r="R32" s="444"/>
      <c r="S32" s="445"/>
      <c r="T32" s="444"/>
      <c r="U32" s="445"/>
      <c r="V32" s="444"/>
      <c r="W32" s="445"/>
      <c r="X32" s="446"/>
      <c r="Y32" s="3355"/>
      <c r="Z32" s="464"/>
      <c r="AA32" s="454">
        <v>1</v>
      </c>
      <c r="AB32" s="454">
        <v>1</v>
      </c>
      <c r="AC32" s="454">
        <v>1</v>
      </c>
    </row>
    <row r="33" spans="1:29" ht="21">
      <c r="A33" s="255"/>
      <c r="B33" s="267" t="s">
        <v>236</v>
      </c>
      <c r="C33" s="573" t="s">
        <v>948</v>
      </c>
      <c r="D33" s="277">
        <v>100</v>
      </c>
      <c r="E33" s="276" t="s">
        <v>949</v>
      </c>
      <c r="F33" s="247">
        <f>SUMIF(106:106,E33,107:107)-SUMIF(106:106,C33,107:107)+100</f>
        <v>98</v>
      </c>
      <c r="G33" s="573" t="s">
        <v>950</v>
      </c>
      <c r="H33" s="247">
        <f>SUMIF(106:106,G33,107:107)-SUMIF(106:106,C33,107:107)+100</f>
        <v>96</v>
      </c>
      <c r="I33" s="573" t="s">
        <v>949</v>
      </c>
      <c r="J33" s="247">
        <f>SUMIF(106:106,I33,107:107)-SUMIF(106:106,C33,107:107)+100</f>
        <v>98</v>
      </c>
      <c r="K33" s="1800">
        <v>2</v>
      </c>
      <c r="L33" s="391"/>
      <c r="M33" s="375"/>
      <c r="N33" s="375"/>
      <c r="O33" s="390"/>
      <c r="P33" s="3355"/>
      <c r="Q33" s="383" t="str">
        <f t="shared" si="8"/>
        <v>临街状况</v>
      </c>
      <c r="R33" s="448" t="s">
        <v>931</v>
      </c>
      <c r="S33" s="449">
        <f t="shared" ref="S33:S47" si="10">F33</f>
        <v>98</v>
      </c>
      <c r="T33" s="448" t="s">
        <v>931</v>
      </c>
      <c r="U33" s="449">
        <f t="shared" ref="U33:U47" si="11">H33</f>
        <v>96</v>
      </c>
      <c r="V33" s="448" t="s">
        <v>931</v>
      </c>
      <c r="W33" s="449">
        <f t="shared" ref="W33:W47" si="12">J33</f>
        <v>98</v>
      </c>
      <c r="X33" s="443"/>
      <c r="Y33" s="3355"/>
      <c r="Z33" s="442" t="str">
        <f t="shared" ref="Z33:Z47" si="13">Q33</f>
        <v>临街状况</v>
      </c>
      <c r="AA33" s="454">
        <f t="shared" si="3"/>
        <v>1.0204081632653061</v>
      </c>
      <c r="AB33" s="454">
        <f t="shared" si="4"/>
        <v>1.0416666666666667</v>
      </c>
      <c r="AC33" s="454">
        <f t="shared" si="5"/>
        <v>1.0204081632653061</v>
      </c>
    </row>
    <row r="34" spans="1:29" ht="28.8">
      <c r="A34" s="255"/>
      <c r="B34" s="273" t="s">
        <v>951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800">
        <v>2</v>
      </c>
      <c r="L34" s="391"/>
      <c r="M34" s="375"/>
      <c r="N34" s="375"/>
      <c r="O34" s="390"/>
      <c r="P34" s="3355"/>
      <c r="Q34" s="383" t="str">
        <f t="shared" si="8"/>
        <v>毗邻道路的类型与等级</v>
      </c>
      <c r="R34" s="448" t="s">
        <v>931</v>
      </c>
      <c r="S34" s="449">
        <f t="shared" si="10"/>
        <v>100</v>
      </c>
      <c r="T34" s="448" t="s">
        <v>931</v>
      </c>
      <c r="U34" s="449">
        <f t="shared" si="11"/>
        <v>100</v>
      </c>
      <c r="V34" s="448" t="s">
        <v>931</v>
      </c>
      <c r="W34" s="449">
        <f t="shared" si="12"/>
        <v>100</v>
      </c>
      <c r="X34" s="443"/>
      <c r="Y34" s="3355"/>
      <c r="Z34" s="442" t="str">
        <f t="shared" si="13"/>
        <v>毗邻道路的类型与等级</v>
      </c>
      <c r="AA34" s="454">
        <f t="shared" si="3"/>
        <v>1</v>
      </c>
      <c r="AB34" s="454">
        <f t="shared" si="4"/>
        <v>1</v>
      </c>
      <c r="AC34" s="454">
        <f t="shared" si="5"/>
        <v>1</v>
      </c>
    </row>
    <row r="35" spans="1:29" ht="21">
      <c r="A35" s="255"/>
      <c r="B35" s="267"/>
      <c r="C35" s="569" t="s">
        <v>952</v>
      </c>
      <c r="D35" s="259"/>
      <c r="E35" s="569" t="s">
        <v>952</v>
      </c>
      <c r="F35" s="258"/>
      <c r="G35" s="569" t="s">
        <v>952</v>
      </c>
      <c r="H35" s="258"/>
      <c r="I35" s="569" t="s">
        <v>952</v>
      </c>
      <c r="J35" s="258"/>
      <c r="K35" s="388"/>
      <c r="L35" s="391"/>
      <c r="M35" s="375"/>
      <c r="N35" s="375"/>
      <c r="O35" s="390"/>
      <c r="P35" s="3355"/>
      <c r="Q35" s="383"/>
      <c r="R35" s="448"/>
      <c r="S35" s="449"/>
      <c r="T35" s="448"/>
      <c r="U35" s="449"/>
      <c r="V35" s="448"/>
      <c r="W35" s="449"/>
      <c r="X35" s="443"/>
      <c r="Y35" s="3355"/>
      <c r="Z35" s="442"/>
      <c r="AA35" s="454">
        <v>1</v>
      </c>
      <c r="AB35" s="454">
        <v>1</v>
      </c>
      <c r="AC35" s="454">
        <v>1</v>
      </c>
    </row>
    <row r="36" spans="1:29" ht="21" hidden="1">
      <c r="A36" s="255"/>
      <c r="B36" s="510" t="s">
        <v>953</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55"/>
      <c r="Q36" s="383" t="str">
        <f t="shared" si="8"/>
        <v>土地级别</v>
      </c>
      <c r="R36" s="448" t="s">
        <v>931</v>
      </c>
      <c r="S36" s="449">
        <f t="shared" si="10"/>
        <v>100</v>
      </c>
      <c r="T36" s="448" t="s">
        <v>931</v>
      </c>
      <c r="U36" s="449">
        <f t="shared" si="11"/>
        <v>100</v>
      </c>
      <c r="V36" s="448" t="s">
        <v>931</v>
      </c>
      <c r="W36" s="449">
        <f t="shared" si="12"/>
        <v>100</v>
      </c>
      <c r="X36" s="443"/>
      <c r="Y36" s="3355"/>
      <c r="Z36" s="442" t="str">
        <f t="shared" si="13"/>
        <v>土地级别</v>
      </c>
      <c r="AA36" s="454">
        <f t="shared" si="3"/>
        <v>1</v>
      </c>
      <c r="AB36" s="454">
        <f t="shared" si="4"/>
        <v>1</v>
      </c>
      <c r="AC36" s="454">
        <f t="shared" si="5"/>
        <v>1</v>
      </c>
    </row>
    <row r="37" spans="1:29" ht="21" hidden="1">
      <c r="A37" s="216"/>
      <c r="B37" s="576">
        <v>111</v>
      </c>
      <c r="C37" s="1332"/>
      <c r="D37" s="277">
        <v>100</v>
      </c>
      <c r="E37" s="1743"/>
      <c r="F37" s="247">
        <f>SUMIF(112:112,E37,113:113)-SUMIF(112:112,C37,113:113)+100</f>
        <v>100</v>
      </c>
      <c r="G37" s="1332"/>
      <c r="H37" s="247">
        <f>SUMIF(112:112,G37,113:113)-SUMIF(112:112,C37,113:113)+100</f>
        <v>100</v>
      </c>
      <c r="I37" s="1743"/>
      <c r="J37" s="247">
        <f>SUMIF(112:112,I37,113:113)-SUMIF(112:112,C37,113:113)+100</f>
        <v>100</v>
      </c>
      <c r="K37" s="388"/>
      <c r="L37" s="391"/>
      <c r="M37" s="375"/>
      <c r="N37" s="375"/>
      <c r="O37" s="390"/>
      <c r="P37" s="3355"/>
      <c r="Q37" s="383">
        <f t="shared" si="8"/>
        <v>111</v>
      </c>
      <c r="R37" s="448" t="s">
        <v>931</v>
      </c>
      <c r="S37" s="449">
        <f t="shared" si="10"/>
        <v>100</v>
      </c>
      <c r="T37" s="448" t="s">
        <v>931</v>
      </c>
      <c r="U37" s="449">
        <f t="shared" si="11"/>
        <v>100</v>
      </c>
      <c r="V37" s="448" t="s">
        <v>931</v>
      </c>
      <c r="W37" s="449">
        <f t="shared" si="12"/>
        <v>100</v>
      </c>
      <c r="X37" s="443"/>
      <c r="Y37" s="3355"/>
      <c r="Z37" s="442">
        <f t="shared" si="13"/>
        <v>111</v>
      </c>
      <c r="AA37" s="454">
        <f t="shared" si="3"/>
        <v>1</v>
      </c>
      <c r="AB37" s="454">
        <f t="shared" si="4"/>
        <v>1</v>
      </c>
      <c r="AC37" s="454">
        <f t="shared" si="5"/>
        <v>1</v>
      </c>
    </row>
    <row r="38" spans="1:29" ht="21" hidden="1">
      <c r="A38" s="1748"/>
      <c r="B38" s="2040">
        <v>111</v>
      </c>
      <c r="C38" s="1332"/>
      <c r="D38" s="277">
        <v>100</v>
      </c>
      <c r="E38" s="1743"/>
      <c r="F38" s="247">
        <f>SUMIF(114:114,E39,115:115)-SUMIF(114:114,C39,115:115)+100</f>
        <v>100</v>
      </c>
      <c r="G38" s="1332"/>
      <c r="H38" s="247">
        <f>SUMIF(114:114,G38,115:115)-SUMIF(114:114,C38,115:115)+100</f>
        <v>100</v>
      </c>
      <c r="I38" s="1743"/>
      <c r="J38" s="247">
        <f>SUMIF(114:114,I38,115:115)-SUMIF(114:114,C38,115:115)+100</f>
        <v>100</v>
      </c>
      <c r="K38" s="388"/>
      <c r="L38" s="391"/>
      <c r="M38" s="375"/>
      <c r="N38" s="375"/>
      <c r="O38" s="390"/>
      <c r="P38" s="3356" t="s">
        <v>954</v>
      </c>
      <c r="Q38" s="383">
        <f t="shared" si="8"/>
        <v>111</v>
      </c>
      <c r="R38" s="448" t="s">
        <v>931</v>
      </c>
      <c r="S38" s="449">
        <f t="shared" si="10"/>
        <v>100</v>
      </c>
      <c r="T38" s="448" t="s">
        <v>931</v>
      </c>
      <c r="U38" s="449">
        <f t="shared" si="11"/>
        <v>100</v>
      </c>
      <c r="V38" s="448" t="s">
        <v>931</v>
      </c>
      <c r="W38" s="449">
        <f t="shared" si="12"/>
        <v>100</v>
      </c>
      <c r="X38" s="443"/>
      <c r="Y38" s="3357" t="s">
        <v>954</v>
      </c>
      <c r="Z38" s="442">
        <f t="shared" si="13"/>
        <v>111</v>
      </c>
      <c r="AA38" s="454">
        <f t="shared" si="3"/>
        <v>1</v>
      </c>
      <c r="AB38" s="454">
        <f t="shared" si="4"/>
        <v>1</v>
      </c>
      <c r="AC38" s="454">
        <f t="shared" si="5"/>
        <v>1</v>
      </c>
    </row>
    <row r="39" spans="1:29" s="192" customFormat="1" ht="21" hidden="1">
      <c r="A39" s="1750"/>
      <c r="B39" s="2041">
        <v>111</v>
      </c>
      <c r="C39" s="2042"/>
      <c r="D39" s="2043">
        <v>100</v>
      </c>
      <c r="E39" s="1752"/>
      <c r="F39" s="300">
        <f>SUMIF(116:116,E39,117:117)-SUMIF(116:116,C39,117:117)+100</f>
        <v>100</v>
      </c>
      <c r="G39" s="1754"/>
      <c r="H39" s="300">
        <f>SUMIF(116:116,G39,117:117)-SUMIF(116:116,C39,117:117)+100</f>
        <v>100</v>
      </c>
      <c r="I39" s="1752"/>
      <c r="J39" s="300">
        <f>SUMIF(116:116,I39,117:117)-SUMIF(116:116,C39,117:117)+100</f>
        <v>100</v>
      </c>
      <c r="K39" s="388"/>
      <c r="L39" s="389"/>
      <c r="M39" s="375"/>
      <c r="N39" s="375"/>
      <c r="O39" s="396"/>
      <c r="P39" s="3357"/>
      <c r="Q39" s="383">
        <f t="shared" si="8"/>
        <v>111</v>
      </c>
      <c r="R39" s="451" t="s">
        <v>931</v>
      </c>
      <c r="S39" s="452">
        <f t="shared" si="10"/>
        <v>100</v>
      </c>
      <c r="T39" s="451" t="s">
        <v>931</v>
      </c>
      <c r="U39" s="452">
        <f t="shared" si="11"/>
        <v>100</v>
      </c>
      <c r="V39" s="451" t="s">
        <v>931</v>
      </c>
      <c r="W39" s="452">
        <f t="shared" si="12"/>
        <v>100</v>
      </c>
      <c r="X39" s="453"/>
      <c r="Y39" s="3357"/>
      <c r="Z39" s="465">
        <f t="shared" si="13"/>
        <v>111</v>
      </c>
      <c r="AA39" s="454">
        <f t="shared" si="3"/>
        <v>1</v>
      </c>
      <c r="AB39" s="454">
        <f t="shared" si="4"/>
        <v>1</v>
      </c>
      <c r="AC39" s="454">
        <f t="shared" si="5"/>
        <v>1</v>
      </c>
    </row>
    <row r="40" spans="1:29" ht="21">
      <c r="A40" s="283" t="s">
        <v>955</v>
      </c>
      <c r="B40" s="275" t="s">
        <v>956</v>
      </c>
      <c r="C40" s="1755">
        <f>'数据-基础表'!A3</f>
        <v>10309.6</v>
      </c>
      <c r="D40" s="286">
        <v>100</v>
      </c>
      <c r="E40" s="1755">
        <f>土地住宅案例!F2</f>
        <v>34742.1</v>
      </c>
      <c r="F40" s="286">
        <f>LOOKUP(E40,119:119,120:120)-LOOKUP(C40,119:119,120:120)+100</f>
        <v>102</v>
      </c>
      <c r="G40" s="1755">
        <f>土地住宅案例!F7</f>
        <v>10063</v>
      </c>
      <c r="H40" s="286">
        <f>LOOKUP(G40,119:119,120:120)-LOOKUP(C40,119:119,120:120)+100</f>
        <v>100</v>
      </c>
      <c r="I40" s="351">
        <f>土地住宅案例!F17</f>
        <v>40894.400000000001</v>
      </c>
      <c r="J40" s="286">
        <f>LOOKUP(I40,119:119,120:120)-LOOKUP(C40,119:119,120:120)+100</f>
        <v>104</v>
      </c>
      <c r="K40" s="388"/>
      <c r="L40" s="391"/>
      <c r="M40" s="375"/>
      <c r="N40" s="375"/>
      <c r="O40" s="390"/>
      <c r="P40" s="3357"/>
      <c r="Q40" s="383" t="str">
        <f t="shared" si="8"/>
        <v>宗地面积</v>
      </c>
      <c r="R40" s="448" t="s">
        <v>931</v>
      </c>
      <c r="S40" s="449">
        <f t="shared" si="10"/>
        <v>102</v>
      </c>
      <c r="T40" s="448" t="s">
        <v>931</v>
      </c>
      <c r="U40" s="449">
        <f t="shared" si="11"/>
        <v>100</v>
      </c>
      <c r="V40" s="448" t="s">
        <v>931</v>
      </c>
      <c r="W40" s="449">
        <f t="shared" si="12"/>
        <v>104</v>
      </c>
      <c r="X40" s="443"/>
      <c r="Y40" s="3357"/>
      <c r="Z40" s="442" t="str">
        <f t="shared" si="13"/>
        <v>宗地面积</v>
      </c>
      <c r="AA40" s="454">
        <f t="shared" si="3"/>
        <v>0.98039215686274506</v>
      </c>
      <c r="AB40" s="454">
        <f t="shared" si="4"/>
        <v>1</v>
      </c>
      <c r="AC40" s="454">
        <f t="shared" si="5"/>
        <v>0.96153846153846156</v>
      </c>
    </row>
    <row r="41" spans="1:29" ht="21">
      <c r="A41" s="293"/>
      <c r="B41" s="289" t="s">
        <v>957</v>
      </c>
      <c r="C41" s="578" t="s">
        <v>958</v>
      </c>
      <c r="D41" s="247">
        <v>100</v>
      </c>
      <c r="E41" s="578" t="s">
        <v>959</v>
      </c>
      <c r="F41" s="247">
        <f>SUMIF(121:121,E41,122:122)-SUMIF(121:121,C41,122:122)+100</f>
        <v>96</v>
      </c>
      <c r="G41" s="578" t="s">
        <v>958</v>
      </c>
      <c r="H41" s="247">
        <f>SUMIF(121:121,G41,122:122)-SUMIF(121:121,C41,122:122)+100</f>
        <v>100</v>
      </c>
      <c r="I41" s="578" t="s">
        <v>960</v>
      </c>
      <c r="J41" s="247">
        <f>SUMIF(121:121,I41,122:122)-SUMIF(121:121,C41,122:122)+100</f>
        <v>98</v>
      </c>
      <c r="K41" s="384">
        <v>2</v>
      </c>
      <c r="L41" s="391"/>
      <c r="M41" s="375"/>
      <c r="N41" s="375"/>
      <c r="O41" s="390"/>
      <c r="P41" s="3357"/>
      <c r="Q41" s="383" t="str">
        <f t="shared" ref="Q41:Q47" si="14">B41</f>
        <v>宗地形状</v>
      </c>
      <c r="R41" s="448" t="s">
        <v>931</v>
      </c>
      <c r="S41" s="449">
        <f t="shared" si="10"/>
        <v>96</v>
      </c>
      <c r="T41" s="448" t="s">
        <v>931</v>
      </c>
      <c r="U41" s="449">
        <f t="shared" si="11"/>
        <v>100</v>
      </c>
      <c r="V41" s="448" t="s">
        <v>931</v>
      </c>
      <c r="W41" s="449">
        <f t="shared" si="12"/>
        <v>98</v>
      </c>
      <c r="X41" s="443"/>
      <c r="Y41" s="3357"/>
      <c r="Z41" s="442" t="str">
        <f t="shared" si="13"/>
        <v>宗地形状</v>
      </c>
      <c r="AA41" s="454">
        <f t="shared" si="3"/>
        <v>1.0416666666666667</v>
      </c>
      <c r="AB41" s="454">
        <f t="shared" si="4"/>
        <v>1</v>
      </c>
      <c r="AC41" s="454">
        <f t="shared" si="5"/>
        <v>1.0204081632653061</v>
      </c>
    </row>
    <row r="42" spans="1:29" ht="21">
      <c r="A42" s="293"/>
      <c r="B42" s="289" t="s">
        <v>961</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57"/>
      <c r="Q42" s="383" t="str">
        <f t="shared" si="14"/>
        <v>临街宽度及深度</v>
      </c>
      <c r="R42" s="448" t="s">
        <v>931</v>
      </c>
      <c r="S42" s="449">
        <f t="shared" si="10"/>
        <v>100</v>
      </c>
      <c r="T42" s="448" t="s">
        <v>931</v>
      </c>
      <c r="U42" s="449">
        <f t="shared" si="11"/>
        <v>100</v>
      </c>
      <c r="V42" s="448" t="s">
        <v>931</v>
      </c>
      <c r="W42" s="449">
        <f t="shared" si="12"/>
        <v>100</v>
      </c>
      <c r="X42" s="443"/>
      <c r="Y42" s="3357"/>
      <c r="Z42" s="442" t="str">
        <f t="shared" si="13"/>
        <v>临街宽度及深度</v>
      </c>
      <c r="AA42" s="454">
        <f t="shared" si="3"/>
        <v>1</v>
      </c>
      <c r="AB42" s="454">
        <f t="shared" si="4"/>
        <v>1</v>
      </c>
      <c r="AC42" s="454">
        <f t="shared" si="5"/>
        <v>1</v>
      </c>
    </row>
    <row r="43" spans="1:29" s="190" customFormat="1" ht="21">
      <c r="A43" s="296"/>
      <c r="B43" s="544" t="s">
        <v>962</v>
      </c>
      <c r="C43" s="1756" t="s">
        <v>290</v>
      </c>
      <c r="D43" s="237">
        <v>100</v>
      </c>
      <c r="E43" s="1756" t="s">
        <v>290</v>
      </c>
      <c r="F43" s="247">
        <f>SUMIF(125:125,E43,126:126)-SUMIF(125:125,C43,126:126)+100</f>
        <v>100</v>
      </c>
      <c r="G43" s="1756" t="s">
        <v>290</v>
      </c>
      <c r="H43" s="247">
        <f>SUMIF(125:125,G43,126:126)-SUMIF(125:125,C43,126:126)+100</f>
        <v>100</v>
      </c>
      <c r="I43" s="1756" t="s">
        <v>290</v>
      </c>
      <c r="J43" s="247">
        <f>SUMIF(125:125,I43,126:126)-SUMIF(125:125,C43,126:126)+100</f>
        <v>100</v>
      </c>
      <c r="K43" s="384">
        <v>2</v>
      </c>
      <c r="L43" s="380"/>
      <c r="M43" s="375"/>
      <c r="N43" s="375"/>
      <c r="O43" s="382"/>
      <c r="P43" s="3357"/>
      <c r="Q43" s="383" t="str">
        <f t="shared" si="14"/>
        <v>宗地开发程度</v>
      </c>
      <c r="R43" s="444" t="s">
        <v>931</v>
      </c>
      <c r="S43" s="445">
        <f t="shared" si="10"/>
        <v>100</v>
      </c>
      <c r="T43" s="444" t="s">
        <v>931</v>
      </c>
      <c r="U43" s="445">
        <f t="shared" si="11"/>
        <v>100</v>
      </c>
      <c r="V43" s="444" t="s">
        <v>931</v>
      </c>
      <c r="W43" s="445">
        <f t="shared" si="12"/>
        <v>100</v>
      </c>
      <c r="X43" s="446"/>
      <c r="Y43" s="3357"/>
      <c r="Z43" s="464" t="str">
        <f t="shared" si="13"/>
        <v>宗地开发程度</v>
      </c>
      <c r="AA43" s="463">
        <f t="shared" si="3"/>
        <v>1</v>
      </c>
      <c r="AB43" s="463">
        <f t="shared" si="4"/>
        <v>1</v>
      </c>
      <c r="AC43" s="463">
        <f t="shared" si="5"/>
        <v>1</v>
      </c>
    </row>
    <row r="44" spans="1:29" ht="21">
      <c r="A44" s="293"/>
      <c r="B44" s="289" t="s">
        <v>963</v>
      </c>
      <c r="C44" s="578" t="s">
        <v>663</v>
      </c>
      <c r="D44" s="247">
        <v>100</v>
      </c>
      <c r="E44" s="578" t="s">
        <v>663</v>
      </c>
      <c r="F44" s="247">
        <f>SUMIF(127:127,E44,128:128)-SUMIF(127:127,C44,128:128)+100</f>
        <v>100</v>
      </c>
      <c r="G44" s="578" t="s">
        <v>663</v>
      </c>
      <c r="H44" s="247">
        <f>SUMIF(127:127,G44,128:128)-SUMIF(127:127,C44,128:128)+100</f>
        <v>100</v>
      </c>
      <c r="I44" s="578" t="s">
        <v>663</v>
      </c>
      <c r="J44" s="247">
        <f>SUMIF(127:127,I44,128:128)-SUMIF(127:127,C44,128:128)+100</f>
        <v>100</v>
      </c>
      <c r="K44" s="384"/>
      <c r="L44" s="391"/>
      <c r="M44" s="375"/>
      <c r="N44" s="375"/>
      <c r="O44" s="390"/>
      <c r="P44" s="3357" t="s">
        <v>954</v>
      </c>
      <c r="Q44" s="383" t="str">
        <f t="shared" si="14"/>
        <v>工程地质条件</v>
      </c>
      <c r="R44" s="448" t="s">
        <v>931</v>
      </c>
      <c r="S44" s="449">
        <f t="shared" si="10"/>
        <v>100</v>
      </c>
      <c r="T44" s="448" t="s">
        <v>931</v>
      </c>
      <c r="U44" s="449">
        <f t="shared" si="11"/>
        <v>100</v>
      </c>
      <c r="V44" s="448" t="s">
        <v>931</v>
      </c>
      <c r="W44" s="449">
        <f t="shared" si="12"/>
        <v>100</v>
      </c>
      <c r="X44" s="443"/>
      <c r="Y44" s="3357" t="s">
        <v>954</v>
      </c>
      <c r="Z44" s="442" t="str">
        <f t="shared" si="13"/>
        <v>工程地质条件</v>
      </c>
      <c r="AA44" s="454">
        <f t="shared" si="3"/>
        <v>1</v>
      </c>
      <c r="AB44" s="454">
        <f t="shared" si="4"/>
        <v>1</v>
      </c>
      <c r="AC44" s="454">
        <f t="shared" si="5"/>
        <v>1</v>
      </c>
    </row>
    <row r="45" spans="1:29" ht="21" hidden="1">
      <c r="A45" s="293"/>
      <c r="B45" s="1749">
        <v>111</v>
      </c>
      <c r="C45" s="1743"/>
      <c r="D45" s="247">
        <v>100</v>
      </c>
      <c r="E45" s="1743"/>
      <c r="F45" s="247">
        <f>SUMIF(129:129,E45,130:130)-SUMIF(129:129,C45,130:130)+100</f>
        <v>100</v>
      </c>
      <c r="G45" s="1743"/>
      <c r="H45" s="247">
        <f>SUMIF(129:129,G45,130:130)-SUMIF(129:129,C45,130:130)+100</f>
        <v>100</v>
      </c>
      <c r="I45" s="360"/>
      <c r="J45" s="247">
        <f>SUMIF(129:129,I45,130:130)-SUMIF(129:129,C45,130:130)+100</f>
        <v>100</v>
      </c>
      <c r="K45" s="388"/>
      <c r="L45" s="391"/>
      <c r="M45" s="375"/>
      <c r="N45" s="375"/>
      <c r="O45" s="390"/>
      <c r="P45" s="3357"/>
      <c r="Q45" s="383">
        <f t="shared" si="14"/>
        <v>111</v>
      </c>
      <c r="R45" s="448" t="s">
        <v>931</v>
      </c>
      <c r="S45" s="449">
        <f t="shared" si="10"/>
        <v>100</v>
      </c>
      <c r="T45" s="448" t="s">
        <v>931</v>
      </c>
      <c r="U45" s="449">
        <f t="shared" si="11"/>
        <v>100</v>
      </c>
      <c r="V45" s="448" t="s">
        <v>931</v>
      </c>
      <c r="W45" s="449">
        <f t="shared" si="12"/>
        <v>100</v>
      </c>
      <c r="X45" s="443"/>
      <c r="Y45" s="3357"/>
      <c r="Z45" s="442">
        <f t="shared" si="13"/>
        <v>111</v>
      </c>
      <c r="AA45" s="454">
        <f t="shared" si="3"/>
        <v>1</v>
      </c>
      <c r="AB45" s="454">
        <f t="shared" si="4"/>
        <v>1</v>
      </c>
      <c r="AC45" s="454">
        <f t="shared" si="5"/>
        <v>1</v>
      </c>
    </row>
    <row r="46" spans="1:29" ht="21" hidden="1">
      <c r="A46" s="293"/>
      <c r="B46" s="1749">
        <v>111</v>
      </c>
      <c r="C46" s="1743"/>
      <c r="D46" s="247">
        <v>100</v>
      </c>
      <c r="E46" s="1743"/>
      <c r="F46" s="247">
        <f>SUMIF(131:131,E46,132:132)-SUMIF(131:131,C46,132:132)+100</f>
        <v>100</v>
      </c>
      <c r="G46" s="1743"/>
      <c r="H46" s="247">
        <f>SUMIF(131:131,G46,132:132)-SUMIF(131:131,C46,132:132)+100</f>
        <v>100</v>
      </c>
      <c r="I46" s="360"/>
      <c r="J46" s="247">
        <f>SUMIF(131:131,I46,132:132)-SUMIF(131:131,C46,132:132)+100</f>
        <v>100</v>
      </c>
      <c r="K46" s="388"/>
      <c r="L46" s="391"/>
      <c r="M46" s="375"/>
      <c r="N46" s="375"/>
      <c r="O46" s="390"/>
      <c r="P46" s="3357"/>
      <c r="Q46" s="383">
        <f t="shared" si="14"/>
        <v>111</v>
      </c>
      <c r="R46" s="448" t="s">
        <v>931</v>
      </c>
      <c r="S46" s="449">
        <f t="shared" si="10"/>
        <v>100</v>
      </c>
      <c r="T46" s="448" t="s">
        <v>931</v>
      </c>
      <c r="U46" s="449">
        <f t="shared" si="11"/>
        <v>100</v>
      </c>
      <c r="V46" s="448" t="s">
        <v>931</v>
      </c>
      <c r="W46" s="449">
        <f t="shared" si="12"/>
        <v>100</v>
      </c>
      <c r="X46" s="443"/>
      <c r="Y46" s="3357"/>
      <c r="Z46" s="442">
        <f t="shared" si="13"/>
        <v>111</v>
      </c>
      <c r="AA46" s="454">
        <f t="shared" si="3"/>
        <v>1</v>
      </c>
      <c r="AB46" s="454">
        <f t="shared" si="4"/>
        <v>1</v>
      </c>
      <c r="AC46" s="454">
        <f t="shared" si="5"/>
        <v>1</v>
      </c>
    </row>
    <row r="47" spans="1:29" s="192" customFormat="1" ht="21" hidden="1">
      <c r="A47" s="288"/>
      <c r="B47" s="1749">
        <v>111</v>
      </c>
      <c r="C47" s="1757"/>
      <c r="D47" s="2044">
        <v>100</v>
      </c>
      <c r="E47" s="1743"/>
      <c r="F47" s="300">
        <f>SUMIF(133:133,E47,134:134)-SUMIF(133:133,C47,134:134)+100</f>
        <v>100</v>
      </c>
      <c r="G47" s="1743"/>
      <c r="H47" s="300">
        <f>SUMIF(133:133,G47,134:134)-SUMIF(133:133,C47,134:134)+100</f>
        <v>100</v>
      </c>
      <c r="I47" s="1743"/>
      <c r="J47" s="300">
        <f>SUMIF(133:133,I47,134:134)-SUMIF(133:133,C47,134:134)+100</f>
        <v>100</v>
      </c>
      <c r="K47" s="1803"/>
      <c r="L47" s="389"/>
      <c r="M47" s="375"/>
      <c r="N47" s="375"/>
      <c r="O47" s="396"/>
      <c r="P47" s="3357"/>
      <c r="Q47" s="383">
        <f t="shared" si="14"/>
        <v>111</v>
      </c>
      <c r="R47" s="451" t="s">
        <v>931</v>
      </c>
      <c r="S47" s="452">
        <f t="shared" si="10"/>
        <v>100</v>
      </c>
      <c r="T47" s="451" t="s">
        <v>931</v>
      </c>
      <c r="U47" s="452">
        <f t="shared" si="11"/>
        <v>100</v>
      </c>
      <c r="V47" s="451" t="s">
        <v>931</v>
      </c>
      <c r="W47" s="452">
        <f t="shared" si="12"/>
        <v>100</v>
      </c>
      <c r="X47" s="453"/>
      <c r="Y47" s="3357"/>
      <c r="Z47" s="465">
        <f t="shared" si="13"/>
        <v>111</v>
      </c>
      <c r="AA47" s="454">
        <f t="shared" si="3"/>
        <v>1</v>
      </c>
      <c r="AB47" s="454">
        <f t="shared" si="4"/>
        <v>1</v>
      </c>
      <c r="AC47" s="454">
        <f t="shared" si="5"/>
        <v>1</v>
      </c>
    </row>
    <row r="48" spans="1:29" ht="21">
      <c r="A48" s="303" t="s">
        <v>964</v>
      </c>
      <c r="B48" s="1758" t="s">
        <v>916</v>
      </c>
      <c r="C48" s="1759" t="s">
        <v>138</v>
      </c>
      <c r="D48" s="1760"/>
      <c r="E48" s="1761">
        <f>土地住宅案例!R2</f>
        <v>17758</v>
      </c>
      <c r="F48" s="1762"/>
      <c r="G48" s="1763">
        <f>土地住宅案例!R7</f>
        <v>21271</v>
      </c>
      <c r="H48" s="1764"/>
      <c r="I48" s="1761">
        <f>土地住宅案例!R17</f>
        <v>17480</v>
      </c>
      <c r="J48" s="1764"/>
      <c r="K48" s="1804"/>
      <c r="L48" s="398"/>
      <c r="M48" s="375"/>
      <c r="N48" s="375"/>
      <c r="O48" s="319"/>
      <c r="P48" s="3353" t="str">
        <f>A48</f>
        <v>成交单价</v>
      </c>
      <c r="Q48" s="3353"/>
      <c r="R48" s="3362">
        <f>E48</f>
        <v>17758</v>
      </c>
      <c r="S48" s="3362"/>
      <c r="T48" s="3362">
        <f>G48</f>
        <v>21271</v>
      </c>
      <c r="U48" s="3362"/>
      <c r="V48" s="3362">
        <f>I48</f>
        <v>17480</v>
      </c>
      <c r="W48" s="3362"/>
      <c r="X48" s="330"/>
      <c r="Y48" s="466"/>
      <c r="Z48" s="330"/>
      <c r="AA48" s="330"/>
      <c r="AB48" s="330"/>
      <c r="AC48" s="330"/>
    </row>
    <row r="49" spans="1:29" ht="21">
      <c r="A49" s="311" t="s">
        <v>965</v>
      </c>
      <c r="B49" s="1765"/>
      <c r="C49" s="1766">
        <f>R50</f>
        <v>17493</v>
      </c>
      <c r="D49" s="1767"/>
      <c r="E49" s="1766">
        <f>R49</f>
        <v>15435</v>
      </c>
      <c r="F49" s="1768"/>
      <c r="G49" s="1769">
        <f>T49</f>
        <v>21995</v>
      </c>
      <c r="H49" s="1767"/>
      <c r="I49" s="1766">
        <f>V49</f>
        <v>15049</v>
      </c>
      <c r="J49" s="1767"/>
      <c r="K49" s="1805"/>
      <c r="L49" s="398"/>
      <c r="M49" s="375"/>
      <c r="N49" s="375"/>
      <c r="O49" s="319"/>
      <c r="P49" s="3353" t="str">
        <f>A49</f>
        <v>比较价格（元/平方米）</v>
      </c>
      <c r="Q49" s="3353"/>
      <c r="R49" s="3358">
        <f>ROUND(PRODUCT(R48,AA9:AA47),0)</f>
        <v>15435</v>
      </c>
      <c r="S49" s="3358"/>
      <c r="T49" s="3358">
        <f>ROUND(PRODUCT(T48,AB9:AB47),0)</f>
        <v>21995</v>
      </c>
      <c r="U49" s="3358"/>
      <c r="V49" s="3358">
        <f>ROUND(PRODUCT(V48,AC9:AC47),0)</f>
        <v>15049</v>
      </c>
      <c r="W49" s="3358"/>
      <c r="X49" s="330"/>
      <c r="Y49" s="330"/>
      <c r="Z49" s="330"/>
      <c r="AA49" s="330"/>
      <c r="AB49" s="330"/>
      <c r="AC49" s="330"/>
    </row>
    <row r="50" spans="1:29" ht="21">
      <c r="A50" s="316" t="s">
        <v>966</v>
      </c>
      <c r="B50" s="317"/>
      <c r="C50" s="1770">
        <f>R50</f>
        <v>17493</v>
      </c>
      <c r="D50" s="1770"/>
      <c r="E50" s="1770"/>
      <c r="F50" s="1770"/>
      <c r="G50" s="1770"/>
      <c r="H50" s="1770"/>
      <c r="I50" s="1770"/>
      <c r="J50" s="1770"/>
      <c r="K50" s="1806"/>
      <c r="L50" s="398"/>
      <c r="M50" s="375"/>
      <c r="N50" s="375"/>
      <c r="O50" s="319"/>
      <c r="P50" s="3359" t="str">
        <f>A50</f>
        <v>估价对象XX用房的比较价格（楼面单价，元/平方米）</v>
      </c>
      <c r="Q50" s="3360"/>
      <c r="R50" s="3361">
        <f>ROUND(AVERAGE(R49:V49),0)</f>
        <v>17493</v>
      </c>
      <c r="S50" s="3361"/>
      <c r="T50" s="3361"/>
      <c r="U50" s="3361"/>
      <c r="V50" s="3361"/>
      <c r="W50" s="3361"/>
      <c r="X50" s="330"/>
      <c r="Y50" s="330"/>
      <c r="Z50" s="330"/>
      <c r="AA50" s="330"/>
      <c r="AB50" s="330"/>
      <c r="AC50" s="330"/>
    </row>
    <row r="51" spans="1:29" ht="21">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1">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967</v>
      </c>
      <c r="D53" s="322"/>
      <c r="E53" s="323">
        <f>IF(E48&lt;E49,E49/E48-1,E48/E49-1)</f>
        <v>0.15050210560414645</v>
      </c>
      <c r="F53" s="324" t="str">
        <f>IF(OR(E53&gt;=0.3,E53&lt;=-0.3),"超过30%","")</f>
        <v/>
      </c>
      <c r="G53" s="323">
        <f>IF(G48&lt;G49,G49/G48-1,G48/G49-1)</f>
        <v>3.40369517183019E-2</v>
      </c>
      <c r="H53" s="324" t="str">
        <f>IF(OR(G53&gt;=0.3,G53&lt;=-0.3),"超过30%","")</f>
        <v/>
      </c>
      <c r="I53" s="323">
        <f>IF(I48&lt;I49,I49/I48-1,I48/I49-1)</f>
        <v>0.16153897268921513</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968</v>
      </c>
      <c r="D54" s="325"/>
      <c r="E54" s="323">
        <f>IF(E49&lt;G49,G49/E49-1,E49/G49-1)</f>
        <v>0.42500809847748622</v>
      </c>
      <c r="F54" s="324" t="str">
        <f>IF(OR(E54&gt;=0.2,E54&lt;=-0.2),"超过20%","")</f>
        <v>超过20%</v>
      </c>
      <c r="G54" s="323">
        <f>IF(G49&lt;I49,I49/G49-1,G49/I49-1)</f>
        <v>0.46155890756860929</v>
      </c>
      <c r="H54" s="324" t="str">
        <f>IF(OR(G54&gt;=0.2,G54&lt;=-0.2),"超过20%","")</f>
        <v>超过20%</v>
      </c>
      <c r="I54" s="323">
        <f>IF(I49&lt;E49,E49/I49-1,I49/E49-1)</f>
        <v>2.5649544820253833E-2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969</v>
      </c>
      <c r="D55" s="325"/>
      <c r="E55" s="323">
        <f>IF(E48&lt;G48,G48/E48-1,E48/G48-1)</f>
        <v>0.1978263317941209</v>
      </c>
      <c r="F55" s="324" t="str">
        <f>IF(OR(E55&gt;=0.3,E55&lt;=-0.3),"超过30%","")</f>
        <v/>
      </c>
      <c r="G55" s="323">
        <f>IF(G48&lt;I48,I48/G48-1,G48/I48-1)</f>
        <v>0.2168764302059496</v>
      </c>
      <c r="H55" s="324" t="str">
        <f>IF(OR(G55&gt;=0.3,G55&lt;=-0.3),"超过30%","")</f>
        <v/>
      </c>
      <c r="I55" s="323">
        <f>IF(I48&lt;E48,E48/I48-1,I48/E48-1)</f>
        <v>1.5903890160183121E-2</v>
      </c>
      <c r="J55" s="324" t="str">
        <f>IF(OR(I55&gt;=0.3,I55&lt;=-0.3),"超过30%","")</f>
        <v/>
      </c>
      <c r="K55" s="404"/>
      <c r="L55" s="405"/>
      <c r="M55" s="375"/>
      <c r="N55" s="375"/>
      <c r="O55" s="326"/>
      <c r="P55" s="2050"/>
      <c r="Q55" s="326"/>
      <c r="R55" s="326"/>
      <c r="S55" s="326"/>
      <c r="T55" s="326"/>
      <c r="U55" s="326"/>
      <c r="V55" s="326"/>
      <c r="W55" s="326"/>
      <c r="X55" s="326"/>
      <c r="Y55" s="326"/>
      <c r="Z55" s="326"/>
      <c r="AA55" s="326"/>
      <c r="AB55" s="326"/>
      <c r="AC55" s="326"/>
    </row>
    <row r="56" spans="1:29" s="193" customFormat="1" ht="21">
      <c r="A56" s="326"/>
      <c r="B56" s="327"/>
      <c r="C56" s="328"/>
      <c r="D56" s="326"/>
      <c r="E56" s="326"/>
      <c r="F56" s="326"/>
      <c r="G56" s="326"/>
      <c r="H56" s="326"/>
      <c r="I56" s="326"/>
      <c r="J56" s="326"/>
      <c r="K56" s="404"/>
      <c r="L56" s="405"/>
      <c r="M56" s="375"/>
      <c r="N56" s="375"/>
      <c r="O56" s="326"/>
      <c r="P56" s="2050"/>
      <c r="Q56" s="326"/>
      <c r="R56" s="326"/>
      <c r="S56" s="326"/>
      <c r="T56" s="326"/>
      <c r="U56" s="326"/>
      <c r="V56" s="326"/>
      <c r="W56" s="326"/>
      <c r="X56" s="326"/>
      <c r="Y56" s="326"/>
      <c r="Z56" s="326"/>
      <c r="AA56" s="326"/>
      <c r="AB56" s="326"/>
      <c r="AC56" s="326"/>
    </row>
    <row r="57" spans="1:29" ht="26.25" customHeight="1">
      <c r="A57" s="1771" t="s">
        <v>970</v>
      </c>
      <c r="B57" s="1772" t="s">
        <v>971</v>
      </c>
      <c r="C57" s="1773" t="s">
        <v>972</v>
      </c>
      <c r="D57" s="1774" t="s">
        <v>973</v>
      </c>
      <c r="E57" s="1775" t="s">
        <v>974</v>
      </c>
      <c r="F57" s="2045" t="s">
        <v>975</v>
      </c>
      <c r="G57" s="3366" t="s">
        <v>976</v>
      </c>
      <c r="H57" s="3367"/>
      <c r="I57" s="1808" t="s">
        <v>427</v>
      </c>
      <c r="J57" s="1808" t="str">
        <f>项目基本情况!F41</f>
        <v>江苏省苏州市姑苏区</v>
      </c>
      <c r="K57" s="1809" t="s">
        <v>977</v>
      </c>
      <c r="L57" s="403"/>
      <c r="M57" s="319"/>
      <c r="N57" s="319"/>
      <c r="O57" s="319"/>
      <c r="P57" s="319"/>
      <c r="Q57" s="319"/>
      <c r="R57" s="319"/>
      <c r="S57" s="319"/>
      <c r="T57" s="319"/>
      <c r="U57" s="319"/>
      <c r="V57" s="319"/>
      <c r="W57" s="319"/>
      <c r="X57" s="319"/>
      <c r="Y57" s="319"/>
      <c r="Z57" s="319"/>
      <c r="AA57" s="319"/>
      <c r="AB57" s="319"/>
      <c r="AC57" s="319"/>
    </row>
    <row r="58" spans="1:29" s="1736" customFormat="1" ht="13.2">
      <c r="A58" s="1777" t="s">
        <v>978</v>
      </c>
      <c r="B58" s="1778">
        <f>C50</f>
        <v>17493</v>
      </c>
      <c r="C58" s="1779">
        <v>1</v>
      </c>
      <c r="D58" s="1780">
        <v>1</v>
      </c>
      <c r="E58" s="1779">
        <f>'数据-汇总表'!E8+'数据-汇总表'!E9</f>
        <v>99302.86</v>
      </c>
      <c r="F58" s="2046">
        <f t="shared" ref="F58:F67" si="15">ROUND(B58*E58/10000,0)</f>
        <v>173710</v>
      </c>
      <c r="G58" s="3368"/>
      <c r="H58" s="3369"/>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6" customFormat="1" ht="13.2">
      <c r="A59" s="1782" t="s">
        <v>979</v>
      </c>
      <c r="B59" s="1783">
        <f>ROUND($C$50*C59*D59,0)</f>
        <v>0</v>
      </c>
      <c r="C59" s="1555">
        <f t="shared" ref="C59:C67" si="16">IF($C$57="北京市系数",I59,J59)</f>
        <v>0</v>
      </c>
      <c r="D59" s="1784">
        <v>0.25</v>
      </c>
      <c r="E59" s="1785">
        <v>0</v>
      </c>
      <c r="F59" s="2046">
        <f t="shared" si="15"/>
        <v>0</v>
      </c>
      <c r="G59" s="3352" t="s">
        <v>980</v>
      </c>
      <c r="H59" s="2048">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6" customFormat="1" ht="13.2">
      <c r="A60" s="1782" t="s">
        <v>981</v>
      </c>
      <c r="B60" s="1783">
        <f t="shared" ref="B60:B67" si="17">ROUND($C$50*C60*D60,0)</f>
        <v>0</v>
      </c>
      <c r="C60" s="1555">
        <f t="shared" si="16"/>
        <v>0</v>
      </c>
      <c r="D60" s="1784">
        <v>0.25</v>
      </c>
      <c r="E60" s="1785">
        <v>0</v>
      </c>
      <c r="F60" s="2046">
        <f t="shared" si="15"/>
        <v>0</v>
      </c>
      <c r="G60" s="3352"/>
      <c r="H60" s="2048">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6" customFormat="1" ht="13.2">
      <c r="A61" s="1782" t="s">
        <v>982</v>
      </c>
      <c r="B61" s="1783">
        <f t="shared" si="17"/>
        <v>0</v>
      </c>
      <c r="C61" s="1555">
        <f t="shared" si="16"/>
        <v>0</v>
      </c>
      <c r="D61" s="1784">
        <v>0.25</v>
      </c>
      <c r="E61" s="1785">
        <v>0</v>
      </c>
      <c r="F61" s="2046">
        <f t="shared" si="15"/>
        <v>0</v>
      </c>
      <c r="G61" s="3352"/>
      <c r="H61" s="2048">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6" customFormat="1" ht="13.2">
      <c r="A62" s="1782" t="s">
        <v>983</v>
      </c>
      <c r="B62" s="1783">
        <f t="shared" si="17"/>
        <v>0</v>
      </c>
      <c r="C62" s="1555">
        <f t="shared" si="16"/>
        <v>0</v>
      </c>
      <c r="D62" s="1784">
        <v>0.25</v>
      </c>
      <c r="E62" s="1785">
        <v>0</v>
      </c>
      <c r="F62" s="2046">
        <f t="shared" si="15"/>
        <v>0</v>
      </c>
      <c r="G62" s="3352"/>
      <c r="H62" s="2048">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6" customFormat="1" ht="13.2">
      <c r="A63" s="1789" t="s">
        <v>534</v>
      </c>
      <c r="B63" s="1783">
        <f t="shared" si="17"/>
        <v>0</v>
      </c>
      <c r="C63" s="1555">
        <f t="shared" si="16"/>
        <v>0</v>
      </c>
      <c r="D63" s="1784">
        <v>0.25</v>
      </c>
      <c r="E63" s="1790">
        <f>'数据-汇总表'!E11</f>
        <v>0</v>
      </c>
      <c r="F63" s="2046">
        <f t="shared" si="15"/>
        <v>0</v>
      </c>
      <c r="G63" s="2047" t="s">
        <v>984</v>
      </c>
      <c r="H63" s="2048">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6" customFormat="1" ht="13.2">
      <c r="A64" s="1782" t="s">
        <v>985</v>
      </c>
      <c r="B64" s="1783">
        <f t="shared" si="17"/>
        <v>0</v>
      </c>
      <c r="C64" s="1555">
        <f t="shared" si="16"/>
        <v>0</v>
      </c>
      <c r="D64" s="1784">
        <v>0.25</v>
      </c>
      <c r="E64" s="1790">
        <f>'数据-汇总表'!E12</f>
        <v>0</v>
      </c>
      <c r="F64" s="2046">
        <f t="shared" si="15"/>
        <v>0</v>
      </c>
      <c r="G64" s="1791" t="s">
        <v>381</v>
      </c>
      <c r="H64" s="2049">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6" customFormat="1" ht="13.2">
      <c r="A65" s="1782" t="s">
        <v>986</v>
      </c>
      <c r="B65" s="1783">
        <f t="shared" si="17"/>
        <v>0</v>
      </c>
      <c r="C65" s="1555">
        <f t="shared" si="16"/>
        <v>0</v>
      </c>
      <c r="D65" s="1784">
        <v>0.25</v>
      </c>
      <c r="E65" s="1790">
        <f>'数据-汇总表'!E13</f>
        <v>16213.73</v>
      </c>
      <c r="F65" s="2046">
        <f t="shared" si="15"/>
        <v>0</v>
      </c>
      <c r="G65" s="1791" t="s">
        <v>379</v>
      </c>
      <c r="H65" s="2049">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6" customFormat="1" ht="13.2">
      <c r="A66" s="1782" t="s">
        <v>987</v>
      </c>
      <c r="B66" s="1783">
        <f t="shared" si="17"/>
        <v>0</v>
      </c>
      <c r="C66" s="1555">
        <f t="shared" si="16"/>
        <v>0</v>
      </c>
      <c r="D66" s="1784">
        <v>0.25</v>
      </c>
      <c r="E66" s="1790">
        <f>'数据-汇总表'!E14</f>
        <v>0</v>
      </c>
      <c r="F66" s="2046">
        <f t="shared" si="15"/>
        <v>0</v>
      </c>
      <c r="G66" s="2047" t="s">
        <v>980</v>
      </c>
      <c r="H66" s="2048">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6" customFormat="1" ht="13.2">
      <c r="A67" s="1782" t="s">
        <v>988</v>
      </c>
      <c r="B67" s="1783">
        <f t="shared" si="17"/>
        <v>0</v>
      </c>
      <c r="C67" s="1555">
        <f t="shared" si="16"/>
        <v>0</v>
      </c>
      <c r="D67" s="1784">
        <v>0.25</v>
      </c>
      <c r="E67" s="1790">
        <f>'数据-汇总表'!E15</f>
        <v>0</v>
      </c>
      <c r="F67" s="2046">
        <f t="shared" si="15"/>
        <v>0</v>
      </c>
      <c r="G67" s="2052" t="s">
        <v>984</v>
      </c>
      <c r="H67" s="2053">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6" customFormat="1" ht="13.2">
      <c r="A68" s="1794" t="s">
        <v>989</v>
      </c>
      <c r="B68" s="1795" t="s">
        <v>990</v>
      </c>
      <c r="C68" s="1795" t="s">
        <v>990</v>
      </c>
      <c r="D68" s="1795" t="s">
        <v>990</v>
      </c>
      <c r="E68" s="1795">
        <f>IF(B48="楼面地价",SUM(E58:E67),'数据-汇总表'!D3)</f>
        <v>115516.59</v>
      </c>
      <c r="F68" s="1796">
        <f>IF(B48="楼面地价",SUM(F58:F67),ROUND(C50*E68/10000,0))</f>
        <v>173710</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5" t="str">
        <f>YEAR(C9)&amp;"-"&amp;MONTH(C9)&amp;"-1"</f>
        <v>2019-7-1</v>
      </c>
      <c r="D70" s="1815">
        <f>EDATE(C70,-3)</f>
        <v>43556</v>
      </c>
      <c r="E70" s="1815">
        <f t="shared" ref="E70:N70" si="18">EDATE(D70,-3)</f>
        <v>43466</v>
      </c>
      <c r="F70" s="1815">
        <f t="shared" si="18"/>
        <v>43374</v>
      </c>
      <c r="G70" s="1815">
        <f t="shared" si="18"/>
        <v>43282</v>
      </c>
      <c r="H70" s="1815">
        <f t="shared" si="18"/>
        <v>43191</v>
      </c>
      <c r="I70" s="1815">
        <f t="shared" si="18"/>
        <v>43101</v>
      </c>
      <c r="J70" s="1815">
        <f t="shared" si="18"/>
        <v>43009</v>
      </c>
      <c r="K70" s="1815">
        <f t="shared" si="18"/>
        <v>42917</v>
      </c>
      <c r="L70" s="1815">
        <f t="shared" si="18"/>
        <v>42826</v>
      </c>
      <c r="M70" s="1815">
        <f t="shared" si="18"/>
        <v>42736</v>
      </c>
      <c r="N70" s="1815">
        <f t="shared" si="18"/>
        <v>42644</v>
      </c>
      <c r="O70" s="319"/>
      <c r="P70" s="319"/>
      <c r="Q70" s="319"/>
      <c r="R70" s="319"/>
      <c r="S70" s="319"/>
      <c r="T70" s="319"/>
      <c r="U70" s="319"/>
      <c r="V70" s="319"/>
      <c r="W70" s="319"/>
      <c r="X70" s="319"/>
      <c r="Y70" s="319"/>
      <c r="Z70" s="319"/>
      <c r="AA70" s="319"/>
      <c r="AB70" s="319"/>
      <c r="AC70" s="319"/>
    </row>
    <row r="71" spans="1:29" ht="21.6">
      <c r="A71" s="329" t="s">
        <v>991</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4.4">
      <c r="A72" s="1816" t="s">
        <v>992</v>
      </c>
      <c r="B72" s="2054"/>
      <c r="C72" s="1817" t="str">
        <f>YEAR(C70)&amp;"-"&amp;ROUNDUP(MONTH(C70)/3,0)</f>
        <v>2019-3</v>
      </c>
      <c r="D72" s="1817" t="str">
        <f>YEAR(D70)&amp;"-"&amp;ROUNDUP(MONTH(D70)/3,0)</f>
        <v>2019-2</v>
      </c>
      <c r="E72" s="1817" t="str">
        <f t="shared" ref="E72:N72" si="19">YEAR(E70)&amp;"-"&amp;ROUNDUP(MONTH(E70)/3,0)</f>
        <v>2019-1</v>
      </c>
      <c r="F72" s="1817" t="str">
        <f t="shared" si="19"/>
        <v>2018-4</v>
      </c>
      <c r="G72" s="1817" t="str">
        <f t="shared" si="19"/>
        <v>2018-3</v>
      </c>
      <c r="H72" s="1817" t="str">
        <f t="shared" si="19"/>
        <v>2018-2</v>
      </c>
      <c r="I72" s="1817" t="str">
        <f t="shared" si="19"/>
        <v>2018-1</v>
      </c>
      <c r="J72" s="1817" t="str">
        <f t="shared" si="19"/>
        <v>2017-4</v>
      </c>
      <c r="K72" s="1817" t="str">
        <f t="shared" si="19"/>
        <v>2017-3</v>
      </c>
      <c r="L72" s="1817" t="str">
        <f t="shared" si="19"/>
        <v>2017-2</v>
      </c>
      <c r="M72" s="1817" t="str">
        <f t="shared" si="19"/>
        <v>2017-1</v>
      </c>
      <c r="N72" s="1817" t="str">
        <f t="shared" si="19"/>
        <v>2016-4</v>
      </c>
      <c r="O72" s="1825"/>
      <c r="P72" s="409"/>
      <c r="Q72" s="455"/>
      <c r="R72" s="455"/>
      <c r="S72" s="455"/>
      <c r="T72" s="455"/>
      <c r="U72" s="455"/>
      <c r="V72" s="455"/>
      <c r="W72" s="455"/>
      <c r="X72" s="455"/>
      <c r="Y72" s="455"/>
      <c r="Z72" s="455"/>
      <c r="AA72" s="455"/>
      <c r="AB72" s="455"/>
      <c r="AC72" s="455"/>
    </row>
    <row r="73" spans="1:29" s="190" customFormat="1" ht="27" customHeight="1">
      <c r="A73" s="2055" t="s">
        <v>993</v>
      </c>
      <c r="B73" s="1819" t="str">
        <f>"北京市平均增长率"&amp;TEXT(SUMIF(基准地价!N21:N25,A73,基准地价!P21:P25),"0.00%")</f>
        <v>北京市平均增长率0.00%</v>
      </c>
      <c r="C73" s="472">
        <v>100</v>
      </c>
      <c r="D73" s="475">
        <v>100</v>
      </c>
      <c r="E73" s="475">
        <v>100</v>
      </c>
      <c r="F73" s="475">
        <v>100</v>
      </c>
      <c r="G73" s="475">
        <v>100</v>
      </c>
      <c r="H73" s="475">
        <v>100</v>
      </c>
      <c r="I73" s="475">
        <v>100</v>
      </c>
      <c r="J73" s="475">
        <v>100</v>
      </c>
      <c r="K73" s="475">
        <v>100</v>
      </c>
      <c r="L73" s="475">
        <v>100</v>
      </c>
      <c r="M73" s="1826">
        <v>100</v>
      </c>
      <c r="N73" s="1827">
        <v>100</v>
      </c>
      <c r="O73" s="417"/>
      <c r="P73" s="412"/>
      <c r="Q73" s="456"/>
      <c r="R73" s="456"/>
      <c r="S73" s="456"/>
      <c r="T73" s="456"/>
      <c r="U73" s="456"/>
      <c r="V73" s="456"/>
      <c r="W73" s="456"/>
      <c r="X73" s="456"/>
      <c r="Y73" s="456"/>
      <c r="Z73" s="456"/>
      <c r="AA73" s="456"/>
      <c r="AB73" s="456"/>
      <c r="AC73" s="456"/>
    </row>
    <row r="74" spans="1:29" s="190" customFormat="1" ht="15" customHeight="1">
      <c r="A74" s="2056" t="s">
        <v>994</v>
      </c>
      <c r="B74" s="2057"/>
      <c r="C74" s="1820">
        <v>0</v>
      </c>
      <c r="D74" s="1821"/>
      <c r="E74" s="1821"/>
      <c r="F74" s="1821"/>
      <c r="G74" s="1821"/>
      <c r="H74" s="1821"/>
      <c r="I74" s="1821"/>
      <c r="J74" s="1821"/>
      <c r="K74" s="1821"/>
      <c r="L74" s="1821"/>
      <c r="M74" s="1821"/>
      <c r="N74" s="1821"/>
      <c r="O74" s="417"/>
      <c r="P74" s="412"/>
      <c r="Q74" s="412"/>
      <c r="R74" s="456"/>
      <c r="S74" s="456"/>
      <c r="T74" s="456"/>
      <c r="U74" s="456"/>
      <c r="V74" s="456"/>
      <c r="W74" s="456"/>
      <c r="X74" s="456"/>
      <c r="Y74" s="456"/>
      <c r="Z74" s="456"/>
      <c r="AA74" s="456"/>
      <c r="AB74" s="456"/>
      <c r="AC74" s="456"/>
    </row>
    <row r="75" spans="1:29" s="190" customFormat="1" ht="14.4">
      <c r="A75" s="345" t="s">
        <v>932</v>
      </c>
      <c r="B75" s="338"/>
      <c r="C75" s="346" t="s">
        <v>933</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ht="14.4">
      <c r="A77" s="348" t="s">
        <v>995</v>
      </c>
      <c r="B77" s="349" t="s">
        <v>996</v>
      </c>
      <c r="C77" s="1318" t="s">
        <v>937</v>
      </c>
      <c r="D77" s="1318" t="s">
        <v>379</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c r="A78" s="352"/>
      <c r="B78" s="353"/>
      <c r="C78" s="354">
        <v>100</v>
      </c>
      <c r="D78" s="354">
        <v>95</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8.8">
      <c r="A79" s="352"/>
      <c r="B79" s="355" t="s">
        <v>997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4.4">
      <c r="A81" s="352"/>
      <c r="B81" s="469" t="s">
        <v>998</v>
      </c>
      <c r="C81" s="545" t="str">
        <f>C82&amp;"（含）"&amp;"-"&amp;D82</f>
        <v>1（含）-3</v>
      </c>
      <c r="D81" s="545" t="str">
        <f t="shared" ref="D81:L81" si="20">D82&amp;"（含）"&amp;"-"&amp;E82</f>
        <v>3（含）-5</v>
      </c>
      <c r="E81" s="545" t="str">
        <f t="shared" si="20"/>
        <v>5（含）-7</v>
      </c>
      <c r="F81" s="545" t="str">
        <f t="shared" si="20"/>
        <v>7（含）-9</v>
      </c>
      <c r="G81" s="545" t="str">
        <f t="shared" si="20"/>
        <v>9（含）-11</v>
      </c>
      <c r="H81" s="545" t="str">
        <f t="shared" si="20"/>
        <v>11（含）-</v>
      </c>
      <c r="I81" s="545" t="str">
        <f t="shared" si="20"/>
        <v>（含）-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c r="A82" s="352"/>
      <c r="B82" s="546"/>
      <c r="C82" s="360">
        <v>1</v>
      </c>
      <c r="D82" s="360">
        <v>3</v>
      </c>
      <c r="E82" s="360">
        <v>5</v>
      </c>
      <c r="F82" s="360">
        <v>7</v>
      </c>
      <c r="G82" s="360">
        <v>9</v>
      </c>
      <c r="H82" s="360">
        <v>11</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c r="A83" s="352"/>
      <c r="B83" s="353"/>
      <c r="C83" s="358">
        <v>100</v>
      </c>
      <c r="D83" s="358">
        <f>IF($B$48="单位面积地价",C83+$K13,C83-$K13)</f>
        <v>95</v>
      </c>
      <c r="E83" s="358">
        <f t="shared" ref="E83:M83" si="21">IF($B$48="单位面积地价",D83+$K13,D83-$K13)</f>
        <v>90</v>
      </c>
      <c r="F83" s="358">
        <f t="shared" si="21"/>
        <v>85</v>
      </c>
      <c r="G83" s="358">
        <f t="shared" si="21"/>
        <v>80</v>
      </c>
      <c r="H83" s="358">
        <f t="shared" si="21"/>
        <v>75</v>
      </c>
      <c r="I83" s="358">
        <f t="shared" si="21"/>
        <v>70</v>
      </c>
      <c r="J83" s="358">
        <f t="shared" si="21"/>
        <v>65</v>
      </c>
      <c r="K83" s="358">
        <f t="shared" si="21"/>
        <v>60</v>
      </c>
      <c r="L83" s="358">
        <f t="shared" si="21"/>
        <v>55</v>
      </c>
      <c r="M83" s="358">
        <f t="shared" si="21"/>
        <v>50</v>
      </c>
      <c r="N83" s="425"/>
      <c r="O83" s="425"/>
      <c r="P83" s="423"/>
      <c r="Q83" s="412"/>
      <c r="R83" s="319"/>
      <c r="S83" s="319"/>
      <c r="T83" s="319"/>
      <c r="U83" s="319"/>
      <c r="V83" s="319"/>
      <c r="W83" s="319"/>
      <c r="X83" s="319"/>
      <c r="Y83" s="319"/>
      <c r="Z83" s="319"/>
      <c r="AA83" s="319"/>
      <c r="AB83" s="319"/>
      <c r="AC83" s="319"/>
    </row>
    <row r="84" spans="1:29" s="192" customFormat="1" ht="14.4">
      <c r="A84" s="362"/>
      <c r="B84" s="355" t="str">
        <f>B14</f>
        <v>配建</v>
      </c>
      <c r="C84" s="363"/>
      <c r="D84" s="1823"/>
      <c r="E84" s="2058"/>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ht="14.4">
      <c r="A90" s="348" t="s">
        <v>999</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4.4">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4.4">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c r="A95" s="352"/>
      <c r="B95" s="357"/>
      <c r="C95" s="358">
        <v>100</v>
      </c>
      <c r="D95" s="358">
        <f>C95-$K21</f>
        <v>97</v>
      </c>
      <c r="E95" s="358">
        <f>D95-$K21</f>
        <v>94</v>
      </c>
      <c r="F95" s="358">
        <f>E95-$K21</f>
        <v>91</v>
      </c>
      <c r="G95" s="358">
        <f>F95-$K21</f>
        <v>88</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4.4">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8.8">
      <c r="A98" s="471"/>
      <c r="B98" s="355" t="s">
        <v>232</v>
      </c>
      <c r="C98" s="368" t="s">
        <v>248</v>
      </c>
      <c r="D98" s="368" t="s">
        <v>260</v>
      </c>
      <c r="E98" s="368" t="s">
        <v>271</v>
      </c>
      <c r="F98" s="368" t="s">
        <v>281</v>
      </c>
      <c r="G98" s="368" t="s">
        <v>289</v>
      </c>
      <c r="H98" s="368"/>
      <c r="I98" s="368"/>
      <c r="J98" s="368"/>
      <c r="K98" s="368"/>
      <c r="L98" s="1828"/>
      <c r="M98" s="488"/>
      <c r="N98" s="417"/>
      <c r="O98" s="417"/>
      <c r="P98" s="423"/>
      <c r="Q98" s="412"/>
      <c r="R98" s="456"/>
      <c r="S98" s="456"/>
      <c r="T98" s="456"/>
      <c r="U98" s="456"/>
      <c r="V98" s="456"/>
      <c r="W98" s="456"/>
      <c r="X98" s="456"/>
      <c r="Y98" s="456"/>
      <c r="Z98" s="456"/>
      <c r="AA98" s="456"/>
      <c r="AB98" s="456"/>
      <c r="AC98" s="456"/>
    </row>
    <row r="99" spans="1:29" s="190" customFormat="1">
      <c r="A99" s="471"/>
      <c r="B99" s="357"/>
      <c r="C99" s="473">
        <v>100</v>
      </c>
      <c r="D99" s="358">
        <f>C99-$K25</f>
        <v>97</v>
      </c>
      <c r="E99" s="358">
        <f>D99-$K25</f>
        <v>94</v>
      </c>
      <c r="F99" s="358">
        <f>E99-$K25</f>
        <v>91</v>
      </c>
      <c r="G99" s="358">
        <f>F99-$K25</f>
        <v>88</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8.8">
      <c r="A100" s="471"/>
      <c r="B100" s="355" t="s">
        <v>947</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4.4">
      <c r="A102" s="362"/>
      <c r="B102" s="367" t="s">
        <v>233</v>
      </c>
      <c r="C102" s="366" t="s">
        <v>248</v>
      </c>
      <c r="D102" s="366" t="s">
        <v>260</v>
      </c>
      <c r="E102" s="366" t="s">
        <v>271</v>
      </c>
      <c r="F102" s="366" t="s">
        <v>281</v>
      </c>
      <c r="G102" s="366" t="s">
        <v>289</v>
      </c>
      <c r="H102" s="1342"/>
      <c r="I102" s="1342"/>
      <c r="J102" s="1342"/>
      <c r="K102" s="1342"/>
      <c r="L102" s="1343"/>
      <c r="M102" s="1344"/>
      <c r="N102" s="435"/>
      <c r="O102" s="435"/>
      <c r="P102" s="436"/>
      <c r="Q102" s="457"/>
      <c r="R102" s="458"/>
      <c r="S102" s="458"/>
      <c r="T102" s="458"/>
      <c r="U102" s="458"/>
      <c r="V102" s="458"/>
      <c r="W102" s="458"/>
      <c r="X102" s="458"/>
      <c r="Y102" s="458"/>
      <c r="Z102" s="458"/>
      <c r="AA102" s="458"/>
      <c r="AB102" s="458"/>
      <c r="AC102" s="458"/>
    </row>
    <row r="103" spans="1:29" s="192" customFormat="1">
      <c r="A103" s="362"/>
      <c r="B103" s="357"/>
      <c r="C103" s="358">
        <v>100</v>
      </c>
      <c r="D103" s="358">
        <f>C103-$K29</f>
        <v>97</v>
      </c>
      <c r="E103" s="358">
        <f>D103-$K29</f>
        <v>94</v>
      </c>
      <c r="F103" s="358">
        <f>E103-$K29</f>
        <v>91</v>
      </c>
      <c r="G103" s="358">
        <f>F103-$K29</f>
        <v>88</v>
      </c>
      <c r="H103" s="1348"/>
      <c r="I103" s="1348"/>
      <c r="J103" s="1348"/>
      <c r="K103" s="1348"/>
      <c r="L103" s="1348"/>
      <c r="M103" s="1349"/>
      <c r="N103" s="435"/>
      <c r="O103" s="435"/>
      <c r="P103" s="436"/>
      <c r="Q103" s="457"/>
      <c r="R103" s="458"/>
      <c r="S103" s="458"/>
      <c r="T103" s="458"/>
      <c r="U103" s="458"/>
      <c r="V103" s="458"/>
      <c r="W103" s="458"/>
      <c r="X103" s="458"/>
      <c r="Y103" s="458"/>
      <c r="Z103" s="458"/>
      <c r="AA103" s="458"/>
      <c r="AB103" s="458"/>
      <c r="AC103" s="458"/>
    </row>
    <row r="104" spans="1:29" s="192" customFormat="1" ht="14.4">
      <c r="A104" s="362"/>
      <c r="B104" s="467" t="s">
        <v>234</v>
      </c>
      <c r="C104" s="468" t="s">
        <v>249</v>
      </c>
      <c r="D104" s="468" t="s">
        <v>261</v>
      </c>
      <c r="E104" s="468" t="s">
        <v>272</v>
      </c>
      <c r="F104" s="468" t="s">
        <v>282</v>
      </c>
      <c r="G104" s="468" t="s">
        <v>290</v>
      </c>
      <c r="H104" s="1342"/>
      <c r="I104" s="1342"/>
      <c r="J104" s="1342"/>
      <c r="K104" s="1342"/>
      <c r="L104" s="1342"/>
      <c r="M104" s="1344"/>
      <c r="N104" s="435"/>
      <c r="O104" s="435"/>
      <c r="P104" s="436"/>
      <c r="Q104" s="457"/>
      <c r="R104" s="458"/>
      <c r="S104" s="458"/>
      <c r="T104" s="458"/>
      <c r="U104" s="458"/>
      <c r="V104" s="458"/>
      <c r="W104" s="458"/>
      <c r="X104" s="458"/>
      <c r="Y104" s="458"/>
      <c r="Z104" s="458"/>
      <c r="AA104" s="458"/>
      <c r="AB104" s="458"/>
      <c r="AC104" s="458"/>
    </row>
    <row r="105" spans="1:29" s="192" customFormat="1">
      <c r="A105" s="362"/>
      <c r="B105" s="469"/>
      <c r="C105" s="358">
        <v>100</v>
      </c>
      <c r="D105" s="358">
        <f>C105-$K31</f>
        <v>99</v>
      </c>
      <c r="E105" s="358">
        <f>D105-$K31</f>
        <v>98</v>
      </c>
      <c r="F105" s="358">
        <f>E105-$K31</f>
        <v>97</v>
      </c>
      <c r="G105" s="358">
        <f>F105-$K31</f>
        <v>96</v>
      </c>
      <c r="H105" s="546"/>
      <c r="I105" s="546"/>
      <c r="J105" s="546"/>
      <c r="K105" s="546"/>
      <c r="L105" s="546"/>
      <c r="M105" s="1829"/>
      <c r="N105" s="435"/>
      <c r="O105" s="435"/>
      <c r="P105" s="436"/>
      <c r="Q105" s="457"/>
      <c r="R105" s="458"/>
      <c r="S105" s="458"/>
      <c r="T105" s="458"/>
      <c r="U105" s="458"/>
      <c r="V105" s="458"/>
      <c r="W105" s="458"/>
      <c r="X105" s="458"/>
      <c r="Y105" s="458"/>
      <c r="Z105" s="458"/>
      <c r="AA105" s="458"/>
      <c r="AB105" s="458"/>
      <c r="AC105" s="458"/>
    </row>
    <row r="106" spans="1:29" ht="14.4">
      <c r="A106" s="352"/>
      <c r="B106" s="355" t="str">
        <f>B33</f>
        <v>临街状况</v>
      </c>
      <c r="C106" s="356" t="s">
        <v>1000</v>
      </c>
      <c r="D106" s="356" t="s">
        <v>1001</v>
      </c>
      <c r="E106" s="356" t="s">
        <v>1002</v>
      </c>
      <c r="F106" s="356" t="s">
        <v>1003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c r="A107" s="352"/>
      <c r="B107" s="357"/>
      <c r="C107" s="358">
        <v>100</v>
      </c>
      <c r="D107" s="358">
        <f>C107-$K33</f>
        <v>98</v>
      </c>
      <c r="E107" s="358">
        <f t="shared" ref="E107:M107" si="22">D107-$K33</f>
        <v>96</v>
      </c>
      <c r="F107" s="358">
        <f t="shared" si="22"/>
        <v>94</v>
      </c>
      <c r="G107" s="358">
        <f t="shared" si="22"/>
        <v>92</v>
      </c>
      <c r="H107" s="358">
        <f t="shared" si="22"/>
        <v>90</v>
      </c>
      <c r="I107" s="358">
        <f t="shared" si="22"/>
        <v>88</v>
      </c>
      <c r="J107" s="358">
        <f t="shared" si="22"/>
        <v>86</v>
      </c>
      <c r="K107" s="358">
        <f t="shared" si="22"/>
        <v>84</v>
      </c>
      <c r="L107" s="358">
        <f t="shared" si="22"/>
        <v>82</v>
      </c>
      <c r="M107" s="358">
        <f t="shared" si="22"/>
        <v>80</v>
      </c>
      <c r="N107" s="425"/>
      <c r="O107" s="425"/>
      <c r="P107" s="423"/>
      <c r="Q107" s="412"/>
      <c r="R107" s="319"/>
      <c r="S107" s="319"/>
      <c r="T107" s="319"/>
      <c r="U107" s="319"/>
      <c r="V107" s="319"/>
      <c r="W107" s="319"/>
      <c r="X107" s="319"/>
      <c r="Y107" s="319"/>
      <c r="Z107" s="319"/>
      <c r="AA107" s="319"/>
      <c r="AB107" s="319"/>
      <c r="AC107" s="319"/>
    </row>
    <row r="108" spans="1:29" ht="28.8">
      <c r="A108" s="352"/>
      <c r="B108" s="355" t="s">
        <v>951</v>
      </c>
      <c r="C108" s="1340" t="s">
        <v>1004</v>
      </c>
      <c r="D108" s="1340" t="s">
        <v>1005</v>
      </c>
      <c r="E108" s="1340" t="s">
        <v>1006</v>
      </c>
      <c r="F108" s="1340" t="s">
        <v>952</v>
      </c>
      <c r="G108" s="1340" t="s">
        <v>1007</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c r="A109" s="352"/>
      <c r="B109" s="357"/>
      <c r="C109" s="358">
        <v>100</v>
      </c>
      <c r="D109" s="358">
        <f>C109-$K34</f>
        <v>98</v>
      </c>
      <c r="E109" s="358">
        <f t="shared" ref="E109:M109" si="23">D109-$K34</f>
        <v>96</v>
      </c>
      <c r="F109" s="358">
        <f t="shared" si="23"/>
        <v>94</v>
      </c>
      <c r="G109" s="358">
        <f t="shared" si="23"/>
        <v>92</v>
      </c>
      <c r="H109" s="358">
        <f t="shared" si="23"/>
        <v>90</v>
      </c>
      <c r="I109" s="358">
        <f t="shared" si="23"/>
        <v>88</v>
      </c>
      <c r="J109" s="358">
        <f t="shared" si="23"/>
        <v>86</v>
      </c>
      <c r="K109" s="358">
        <f t="shared" si="23"/>
        <v>84</v>
      </c>
      <c r="L109" s="358">
        <f t="shared" si="23"/>
        <v>82</v>
      </c>
      <c r="M109" s="358">
        <f t="shared" si="23"/>
        <v>80</v>
      </c>
      <c r="N109" s="425"/>
      <c r="O109" s="425"/>
      <c r="P109" s="423"/>
      <c r="Q109" s="412"/>
      <c r="R109" s="319"/>
      <c r="S109" s="319"/>
      <c r="T109" s="319"/>
      <c r="U109" s="319"/>
      <c r="V109" s="319"/>
      <c r="W109" s="319"/>
      <c r="X109" s="319"/>
      <c r="Y109" s="319"/>
      <c r="Z109" s="319"/>
      <c r="AA109" s="319"/>
      <c r="AB109" s="319"/>
      <c r="AC109" s="319"/>
    </row>
    <row r="110" spans="1:29" ht="14.4">
      <c r="A110" s="352"/>
      <c r="B110" s="355" t="s">
        <v>953</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8"/>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c r="A117" s="362"/>
      <c r="B117" s="469"/>
      <c r="C117" s="340"/>
      <c r="D117" s="1822"/>
      <c r="E117" s="1822"/>
      <c r="F117" s="1822"/>
      <c r="G117" s="1822"/>
      <c r="H117" s="1822"/>
      <c r="I117" s="1822"/>
      <c r="J117" s="1822"/>
      <c r="K117" s="1822"/>
      <c r="L117" s="1822"/>
      <c r="M117" s="1830"/>
      <c r="N117" s="425"/>
      <c r="O117" s="425"/>
      <c r="P117" s="436"/>
      <c r="Q117" s="457"/>
      <c r="R117" s="458"/>
      <c r="S117" s="458"/>
      <c r="T117" s="458"/>
      <c r="U117" s="458"/>
      <c r="V117" s="458"/>
      <c r="W117" s="458"/>
      <c r="X117" s="458"/>
      <c r="Y117" s="458"/>
      <c r="Z117" s="458"/>
      <c r="AA117" s="458"/>
      <c r="AB117" s="458"/>
      <c r="AC117" s="458"/>
    </row>
    <row r="118" spans="1:29" ht="27.6">
      <c r="A118" s="348" t="s">
        <v>1008</v>
      </c>
      <c r="B118" s="349" t="s">
        <v>956</v>
      </c>
      <c r="C118" s="350" t="str">
        <f t="shared" ref="C118:L118" si="25">C119&amp;"(含)"&amp;"-"&amp;D119</f>
        <v>0(含)-20000</v>
      </c>
      <c r="D118" s="350" t="str">
        <f t="shared" si="25"/>
        <v>20000(含)-40000</v>
      </c>
      <c r="E118" s="350" t="str">
        <f t="shared" si="25"/>
        <v>40000(含)-60000</v>
      </c>
      <c r="F118" s="350" t="str">
        <f t="shared" si="25"/>
        <v>60000(含)-</v>
      </c>
      <c r="G118" s="350" t="str">
        <f t="shared" si="25"/>
        <v>(含)-</v>
      </c>
      <c r="H118" s="350" t="str">
        <f t="shared" si="25"/>
        <v>(含)-</v>
      </c>
      <c r="I118" s="350" t="str">
        <f t="shared" si="25"/>
        <v>(含)-</v>
      </c>
      <c r="J118" s="1831" t="str">
        <f t="shared" si="25"/>
        <v>(含)-</v>
      </c>
      <c r="K118" s="1831" t="str">
        <f t="shared" si="25"/>
        <v>(含)-</v>
      </c>
      <c r="L118" s="1832" t="str">
        <f t="shared" si="25"/>
        <v>(含)-</v>
      </c>
      <c r="M118" s="1833" t="str">
        <f>M119&amp;"(含)"&amp;"-"&amp;P119</f>
        <v>(含)-</v>
      </c>
      <c r="N118" s="422"/>
      <c r="O118" s="422"/>
      <c r="P118" s="423"/>
      <c r="Q118" s="412"/>
      <c r="R118" s="319"/>
      <c r="S118" s="319"/>
      <c r="T118" s="319"/>
      <c r="U118" s="319"/>
      <c r="V118" s="319"/>
      <c r="W118" s="319"/>
      <c r="X118" s="319"/>
      <c r="Y118" s="319"/>
      <c r="Z118" s="319"/>
      <c r="AA118" s="319"/>
      <c r="AB118" s="319"/>
      <c r="AC118" s="319"/>
    </row>
    <row r="119" spans="1:29">
      <c r="A119" s="352"/>
      <c r="B119" s="469"/>
      <c r="C119" s="475">
        <v>0</v>
      </c>
      <c r="D119" s="475">
        <v>20000</v>
      </c>
      <c r="E119" s="475">
        <v>40000</v>
      </c>
      <c r="F119" s="475">
        <v>60000</v>
      </c>
      <c r="G119" s="475"/>
      <c r="H119" s="475"/>
      <c r="I119" s="475"/>
      <c r="J119" s="2061"/>
      <c r="K119" s="2061"/>
      <c r="L119" s="2062"/>
      <c r="M119" s="2063"/>
      <c r="N119" s="422"/>
      <c r="O119" s="422"/>
      <c r="P119" s="423"/>
      <c r="Q119" s="412"/>
      <c r="R119" s="319"/>
      <c r="S119" s="319"/>
      <c r="T119" s="319"/>
      <c r="U119" s="319"/>
      <c r="V119" s="319"/>
      <c r="W119" s="319"/>
      <c r="X119" s="319"/>
      <c r="Y119" s="319"/>
      <c r="Z119" s="319"/>
      <c r="AA119" s="319"/>
      <c r="AB119" s="319"/>
      <c r="AC119" s="319"/>
    </row>
    <row r="120" spans="1:29">
      <c r="A120" s="352"/>
      <c r="B120" s="357"/>
      <c r="C120" s="550">
        <v>100</v>
      </c>
      <c r="D120" s="554">
        <v>102</v>
      </c>
      <c r="E120" s="554">
        <v>104</v>
      </c>
      <c r="F120" s="554">
        <v>106</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ht="14.4">
      <c r="A121" s="474"/>
      <c r="B121" s="355" t="s">
        <v>957</v>
      </c>
      <c r="C121" s="2059" t="s">
        <v>1009</v>
      </c>
      <c r="D121" s="2059" t="s">
        <v>958</v>
      </c>
      <c r="E121" s="2059" t="s">
        <v>960</v>
      </c>
      <c r="F121" s="2059" t="s">
        <v>959</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c r="A122" s="352"/>
      <c r="B122" s="357"/>
      <c r="C122" s="358">
        <v>100</v>
      </c>
      <c r="D122" s="358">
        <f t="shared" ref="D122:M122" si="26">C122-$K41</f>
        <v>98</v>
      </c>
      <c r="E122" s="358">
        <f t="shared" si="26"/>
        <v>96</v>
      </c>
      <c r="F122" s="358">
        <f t="shared" si="26"/>
        <v>94</v>
      </c>
      <c r="G122" s="358">
        <f t="shared" si="26"/>
        <v>92</v>
      </c>
      <c r="H122" s="358">
        <f t="shared" si="26"/>
        <v>90</v>
      </c>
      <c r="I122" s="358">
        <f t="shared" si="26"/>
        <v>88</v>
      </c>
      <c r="J122" s="358">
        <f t="shared" si="26"/>
        <v>86</v>
      </c>
      <c r="K122" s="358">
        <f t="shared" si="26"/>
        <v>84</v>
      </c>
      <c r="L122" s="358">
        <f t="shared" si="26"/>
        <v>82</v>
      </c>
      <c r="M122" s="429">
        <f t="shared" si="26"/>
        <v>80</v>
      </c>
      <c r="N122" s="425"/>
      <c r="O122" s="425"/>
      <c r="P122" s="423"/>
      <c r="Q122" s="412"/>
      <c r="R122" s="319"/>
      <c r="S122" s="319"/>
      <c r="T122" s="319"/>
      <c r="U122" s="319"/>
      <c r="V122" s="319"/>
      <c r="W122" s="319"/>
      <c r="X122" s="319"/>
      <c r="Y122" s="319"/>
      <c r="Z122" s="319"/>
      <c r="AA122" s="319"/>
      <c r="AB122" s="319"/>
      <c r="AC122" s="319"/>
    </row>
    <row r="123" spans="1:29" ht="14.4">
      <c r="A123" s="474"/>
      <c r="B123" s="355" t="s">
        <v>961</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c r="A124" s="352"/>
      <c r="B124" s="357"/>
      <c r="C124" s="358">
        <v>100</v>
      </c>
      <c r="D124" s="358">
        <f t="shared" ref="D124:M124" si="27">C124-$K42</f>
        <v>100</v>
      </c>
      <c r="E124" s="358">
        <f t="shared" si="27"/>
        <v>100</v>
      </c>
      <c r="F124" s="358">
        <f t="shared" si="27"/>
        <v>100</v>
      </c>
      <c r="G124" s="358">
        <f t="shared" si="27"/>
        <v>100</v>
      </c>
      <c r="H124" s="358">
        <f t="shared" si="27"/>
        <v>100</v>
      </c>
      <c r="I124" s="358">
        <f t="shared" si="27"/>
        <v>100</v>
      </c>
      <c r="J124" s="358">
        <f t="shared" si="27"/>
        <v>100</v>
      </c>
      <c r="K124" s="358">
        <f t="shared" si="27"/>
        <v>100</v>
      </c>
      <c r="L124" s="358">
        <f t="shared" si="27"/>
        <v>100</v>
      </c>
      <c r="M124" s="429">
        <f t="shared" si="27"/>
        <v>100</v>
      </c>
      <c r="N124" s="425"/>
      <c r="O124" s="425"/>
      <c r="P124" s="423"/>
      <c r="Q124" s="412"/>
      <c r="R124" s="319"/>
      <c r="S124" s="319"/>
      <c r="T124" s="319"/>
      <c r="U124" s="319"/>
      <c r="V124" s="319"/>
      <c r="W124" s="319"/>
      <c r="X124" s="319"/>
      <c r="Y124" s="319"/>
      <c r="Z124" s="319"/>
      <c r="AA124" s="319"/>
      <c r="AB124" s="319"/>
      <c r="AC124" s="319"/>
    </row>
    <row r="125" spans="1:29" s="192" customFormat="1" ht="14.4">
      <c r="A125" s="476"/>
      <c r="B125" s="367" t="s">
        <v>962</v>
      </c>
      <c r="C125" s="2060" t="s">
        <v>261</v>
      </c>
      <c r="D125" s="2060" t="s">
        <v>272</v>
      </c>
      <c r="E125" s="2060" t="s">
        <v>282</v>
      </c>
      <c r="F125" s="1823" t="s">
        <v>2439</v>
      </c>
      <c r="G125" s="1823"/>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c r="A126" s="362"/>
      <c r="B126" s="357"/>
      <c r="C126" s="358">
        <v>100</v>
      </c>
      <c r="D126" s="358">
        <f>C126-$K43</f>
        <v>98</v>
      </c>
      <c r="E126" s="358">
        <f t="shared" ref="E126:M126" si="28">D126-$K43</f>
        <v>96</v>
      </c>
      <c r="F126" s="358">
        <f t="shared" si="28"/>
        <v>94</v>
      </c>
      <c r="G126" s="358">
        <f t="shared" si="28"/>
        <v>92</v>
      </c>
      <c r="H126" s="358">
        <f t="shared" si="28"/>
        <v>90</v>
      </c>
      <c r="I126" s="358">
        <f t="shared" si="28"/>
        <v>88</v>
      </c>
      <c r="J126" s="358">
        <f t="shared" si="28"/>
        <v>86</v>
      </c>
      <c r="K126" s="358">
        <f t="shared" si="28"/>
        <v>84</v>
      </c>
      <c r="L126" s="358">
        <f t="shared" si="28"/>
        <v>82</v>
      </c>
      <c r="M126" s="429">
        <f t="shared" si="28"/>
        <v>80</v>
      </c>
      <c r="N126" s="435"/>
      <c r="O126" s="435"/>
      <c r="P126" s="436"/>
      <c r="Q126" s="457"/>
      <c r="R126" s="458"/>
      <c r="S126" s="458"/>
      <c r="T126" s="458"/>
      <c r="U126" s="458"/>
      <c r="V126" s="458"/>
      <c r="W126" s="458"/>
      <c r="X126" s="458"/>
      <c r="Y126" s="458"/>
      <c r="Z126" s="458"/>
      <c r="AA126" s="458"/>
      <c r="AB126" s="458"/>
      <c r="AC126" s="458"/>
    </row>
    <row r="127" spans="1:29" ht="14.4">
      <c r="A127" s="474"/>
      <c r="B127" s="355" t="s">
        <v>963</v>
      </c>
      <c r="C127" s="1340" t="s">
        <v>663</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c r="A128" s="352"/>
      <c r="B128" s="357"/>
      <c r="C128" s="358">
        <v>100</v>
      </c>
      <c r="D128" s="358">
        <f t="shared" ref="D128:M128" si="29">C128-$K44</f>
        <v>100</v>
      </c>
      <c r="E128" s="358">
        <f t="shared" si="29"/>
        <v>100</v>
      </c>
      <c r="F128" s="358">
        <f t="shared" si="29"/>
        <v>100</v>
      </c>
      <c r="G128" s="358">
        <f t="shared" si="29"/>
        <v>100</v>
      </c>
      <c r="H128" s="358">
        <f t="shared" si="29"/>
        <v>100</v>
      </c>
      <c r="I128" s="358">
        <f t="shared" si="29"/>
        <v>100</v>
      </c>
      <c r="J128" s="358">
        <f t="shared" si="29"/>
        <v>100</v>
      </c>
      <c r="K128" s="358">
        <f t="shared" si="29"/>
        <v>100</v>
      </c>
      <c r="L128" s="358">
        <f t="shared" si="29"/>
        <v>100</v>
      </c>
      <c r="M128" s="429">
        <f t="shared" si="29"/>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c r="A134" s="548"/>
      <c r="B134" s="1824"/>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7" customFormat="1">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s="2027" customFormat="1">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s="2027" customFormat="1">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s="2027" customFormat="1">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s="2027" customFormat="1">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s="2027" customFormat="1">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s="2027" customFormat="1">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s="2027" customFormat="1">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s="2027" customFormat="1">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s="2027" customFormat="1">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s="2027" customFormat="1">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s="2027" customFormat="1">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s="2027" customFormat="1">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s="2027" customFormat="1">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s="2027" customFormat="1">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s="2027" customFormat="1">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s="2027" customFormat="1">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s="2027" customFormat="1">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s="2027" customFormat="1">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s="2027" customFormat="1">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s="2027" customFormat="1">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s="2027" customFormat="1">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s="2027" customFormat="1">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s="2027" customFormat="1">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s="2027" customFormat="1">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s="2027" customFormat="1">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s="2027" customFormat="1">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s="2027" customFormat="1">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s="2027" customFormat="1">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s="2027" customFormat="1">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s="2027" customFormat="1">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s="2027" customFormat="1">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s="2027" customFormat="1">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s="2027" customFormat="1">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s="2027" customFormat="1">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s="2027" customFormat="1">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s="2027" customFormat="1">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s="2027" customFormat="1">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s="2027" customFormat="1">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s="2027" customFormat="1">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s="2027" customFormat="1">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s="2027" customFormat="1">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s="2027" customFormat="1">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s="2027" customFormat="1">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s="2027" customFormat="1">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s="2027" customFormat="1">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s="2027" customFormat="1">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s="2027" customFormat="1">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s="2027" customFormat="1">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s="2027" customFormat="1">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s="2027" customFormat="1">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s="2027" customFormat="1">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s="2027" customFormat="1">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s="2027" customFormat="1">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s="2027" customFormat="1">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s="2027" customFormat="1">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s="2027" customFormat="1">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s="2027" customFormat="1">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s="2027" customFormat="1">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s="2027" customFormat="1">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s="2027" customFormat="1">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s="2027" customFormat="1">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s="2027" customFormat="1">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s="2027" customFormat="1">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s="2027" customFormat="1">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s="2027" customFormat="1">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s="2027" customFormat="1">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s="2027" customFormat="1">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s="2027" customFormat="1">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s="2027" customFormat="1">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s="2027" customFormat="1">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s="2027" customFormat="1">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s="2027" customFormat="1">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s="2027" customFormat="1">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s="2027" customFormat="1">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s="2027" customFormat="1">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s="2027" customFormat="1">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s="2027" customFormat="1">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s="2027" customFormat="1">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s="2027" customFormat="1">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s="2027" customFormat="1">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s="2027" customFormat="1">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s="2027" customFormat="1">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s="2027" customFormat="1">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s="2027" customFormat="1">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s="2027" customFormat="1">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s="2027" customFormat="1">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s="2027" customFormat="1">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s="2027" customFormat="1">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s="2027" customFormat="1">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s="2027" customFormat="1">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s="2027" customFormat="1">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s="2027" customFormat="1">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s="2027" customFormat="1">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s="2027" customFormat="1">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s="2027" customFormat="1">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s="2027" customFormat="1">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s="2027" customFormat="1">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s="2027" customFormat="1">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s="2027" customFormat="1">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s="2027" customFormat="1">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s="2027" customFormat="1">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s="2027" customFormat="1">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s="2027" customFormat="1">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s="2027" customFormat="1">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s="2027" customFormat="1">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s="2027" customFormat="1">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s="2027" customFormat="1">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s="2027" customFormat="1">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s="2027" customFormat="1">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s="2027" customFormat="1">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s="2027" customFormat="1">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s="2027" customFormat="1">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s="2027" customFormat="1">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s="2027" customFormat="1">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s="2027" customFormat="1">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s="2027" customFormat="1">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s="2027" customFormat="1">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s="2027" customFormat="1">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s="2027" customFormat="1">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s="2027" customFormat="1">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s="2027" customFormat="1">
      <c r="K256" s="2067"/>
      <c r="L256" s="2068"/>
    </row>
    <row r="257" spans="11:12" s="2027" customFormat="1">
      <c r="K257" s="2067"/>
      <c r="L257" s="2068"/>
    </row>
    <row r="258" spans="11:12" s="2027" customFormat="1">
      <c r="K258" s="2067"/>
      <c r="L258" s="2068"/>
    </row>
    <row r="259" spans="11:12" s="2027" customFormat="1">
      <c r="K259" s="2067"/>
      <c r="L259" s="2068"/>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D59:D67">
      <formula1>"25%,1"</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4.4"/>
  <cols>
    <col min="1" max="1" width="3.44140625" style="3136" customWidth="1"/>
    <col min="2" max="2" width="10.77734375" style="3136" customWidth="1"/>
    <col min="3" max="4" width="11.6640625" style="3136" customWidth="1"/>
    <col min="5" max="5" width="6.6640625" style="3136" customWidth="1"/>
    <col min="6" max="16384" width="9" style="3136"/>
  </cols>
  <sheetData>
    <row r="36" spans="1:9">
      <c r="A36" s="3135" t="s">
        <v>75</v>
      </c>
      <c r="B36" s="3135" t="s">
        <v>76</v>
      </c>
    </row>
    <row r="37" spans="1:9" ht="28.5" customHeight="1">
      <c r="A37" s="3135"/>
      <c r="B37" s="3177" t="str">
        <f>项目基本情况!B1</f>
        <v>江苏省苏州市姑苏区金门路100-1号（北）出让国有建设用地使用权抵押价格预评估</v>
      </c>
      <c r="C37" s="3177"/>
      <c r="D37" s="3177"/>
      <c r="E37" s="3177"/>
      <c r="F37" s="3177"/>
      <c r="G37" s="3177"/>
      <c r="H37" s="3177"/>
      <c r="I37" s="3177"/>
    </row>
    <row r="38" spans="1:9">
      <c r="A38" s="3137"/>
      <c r="B38" s="3137"/>
    </row>
    <row r="39" spans="1:9">
      <c r="A39" s="3135" t="s">
        <v>75</v>
      </c>
      <c r="B39" s="3135" t="s">
        <v>77</v>
      </c>
    </row>
    <row r="40" spans="1:9">
      <c r="A40" s="3135"/>
      <c r="B40" s="3135" t="str">
        <f>项目基本情况!B5</f>
        <v>苏州国展商业广场开发有限公司</v>
      </c>
    </row>
    <row r="41" spans="1:9">
      <c r="A41" s="3135"/>
      <c r="B41" s="3135"/>
    </row>
    <row r="42" spans="1:9">
      <c r="A42" s="3135" t="s">
        <v>75</v>
      </c>
      <c r="B42" s="3135" t="s">
        <v>78</v>
      </c>
    </row>
    <row r="43" spans="1:9">
      <c r="A43" s="3135"/>
      <c r="B43" s="3135" t="s">
        <v>79</v>
      </c>
    </row>
    <row r="44" spans="1:9">
      <c r="A44" s="3135"/>
      <c r="B44" s="3135"/>
    </row>
    <row r="45" spans="1:9">
      <c r="A45" s="3135" t="s">
        <v>75</v>
      </c>
      <c r="B45" s="3135" t="s">
        <v>80</v>
      </c>
    </row>
    <row r="46" spans="1:9" s="3135" customFormat="1">
      <c r="B46" s="3135" t="str">
        <f>项目基本情况!K4</f>
        <v>吴薇、郑燚</v>
      </c>
    </row>
    <row r="47" spans="1:9">
      <c r="A47" s="3135"/>
      <c r="B47" s="3135"/>
    </row>
    <row r="48" spans="1:9">
      <c r="A48" s="3135" t="s">
        <v>75</v>
      </c>
      <c r="B48" s="3135" t="s">
        <v>81</v>
      </c>
    </row>
    <row r="49" spans="2:2">
      <c r="B49" s="3135"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G40" sqref="G40"/>
    </sheetView>
  </sheetViews>
  <sheetFormatPr defaultColWidth="6.6640625" defaultRowHeight="13.2"/>
  <cols>
    <col min="1" max="1" width="9.77734375" style="1843" customWidth="1"/>
    <col min="2" max="2" width="25.77734375" style="1844" customWidth="1"/>
    <col min="3" max="3" width="10.33203125" style="1845" customWidth="1"/>
    <col min="4" max="4" width="12" style="1844" customWidth="1"/>
    <col min="5" max="5" width="9.44140625" style="1843" customWidth="1"/>
    <col min="6" max="6" width="10.109375" style="1844" customWidth="1"/>
    <col min="7" max="7" width="11.6640625" style="1844" customWidth="1"/>
    <col min="8" max="8" width="10" style="1844" customWidth="1"/>
    <col min="9" max="11" width="9.44140625" style="1844" customWidth="1"/>
    <col min="12" max="12" width="9" style="1844" customWidth="1"/>
    <col min="13" max="13" width="10.44140625" style="1844" customWidth="1"/>
    <col min="14" max="254" width="9" style="1844" customWidth="1"/>
    <col min="255" max="16384" width="6.6640625" style="1844"/>
  </cols>
  <sheetData>
    <row r="1" spans="1:31" s="153" customFormat="1" ht="21">
      <c r="A1" s="1947" t="s">
        <v>1010</v>
      </c>
      <c r="B1" s="1846"/>
      <c r="C1" s="1847"/>
      <c r="D1" s="1847"/>
      <c r="E1" s="1847"/>
      <c r="F1" s="1847"/>
      <c r="G1" s="1847"/>
      <c r="H1" s="1847"/>
      <c r="I1" s="1847"/>
      <c r="J1" s="1847"/>
      <c r="K1" s="1931">
        <f>MATCH(B1,'数据-取费表'!A6:A16,0)+5</f>
        <v>10</v>
      </c>
    </row>
    <row r="2" spans="1:31" s="153" customFormat="1" ht="18" customHeight="1">
      <c r="A2" s="1948" t="s">
        <v>915</v>
      </c>
      <c r="B2" s="1949">
        <f ca="1">C36</f>
        <v>156591</v>
      </c>
      <c r="C2" s="1847"/>
      <c r="D2" s="1847"/>
      <c r="E2" s="1847"/>
      <c r="F2" s="1847"/>
      <c r="G2" s="1847"/>
      <c r="H2" s="1847"/>
      <c r="I2" s="1847"/>
      <c r="J2" s="1847"/>
      <c r="K2" s="1847"/>
    </row>
    <row r="3" spans="1:31" s="153" customFormat="1" ht="18" customHeight="1">
      <c r="A3" s="1950" t="s">
        <v>916</v>
      </c>
      <c r="B3" s="1951">
        <f ca="1">ROUND(B2*10000/IF(B1="",'数据-汇总表'!E3,INDIRECT("'数据-取费表'!K"&amp;$K$1)),0)</f>
        <v>12555</v>
      </c>
      <c r="C3" s="1847"/>
      <c r="D3" s="1847"/>
      <c r="E3" s="1847"/>
      <c r="F3" s="1847"/>
      <c r="G3" s="1847"/>
      <c r="H3" s="1847"/>
      <c r="I3" s="1847"/>
      <c r="J3" s="1847"/>
      <c r="K3" s="1847"/>
    </row>
    <row r="4" spans="1:31" s="153" customFormat="1" ht="18" customHeight="1">
      <c r="A4" s="622" t="s">
        <v>1011</v>
      </c>
      <c r="B4" s="623">
        <f ca="1">ROUND(B2*10000/IF(B1="",'数据-汇总表'!D3,INDIRECT("'数据-取费表'!R"&amp;$K$1)),0)</f>
        <v>151889</v>
      </c>
      <c r="C4" s="462"/>
      <c r="D4" s="1931"/>
      <c r="E4" s="1931"/>
      <c r="F4" s="1931"/>
      <c r="G4" s="1931"/>
      <c r="H4" s="1931"/>
      <c r="I4" s="1931"/>
      <c r="J4" s="1931"/>
      <c r="K4" s="1931"/>
    </row>
    <row r="5" spans="1:31" s="153" customFormat="1" ht="18" customHeight="1">
      <c r="A5" s="624"/>
      <c r="B5" s="625">
        <f ca="1">ROUND(B2/(IF(B1="",'数据-汇总表'!D3,INDIRECT("'数据-取费表'!R"&amp;$K$1))/666.67),0)</f>
        <v>10126</v>
      </c>
      <c r="C5" s="626" t="s">
        <v>918</v>
      </c>
      <c r="D5" s="1931"/>
      <c r="E5" s="1931"/>
      <c r="F5" s="1931"/>
      <c r="G5" s="1931"/>
      <c r="H5" s="1931"/>
      <c r="I5" s="1931"/>
      <c r="J5" s="1931"/>
      <c r="K5" s="1931"/>
      <c r="L5" s="153">
        <f ca="1">C6/(C9+D9+E9+F9)*10000</f>
        <v>27152.982961148697</v>
      </c>
    </row>
    <row r="6" spans="1:31" s="1834" customFormat="1" ht="16.5" customHeight="1">
      <c r="A6" s="1952" t="s">
        <v>1012</v>
      </c>
      <c r="B6" s="1953"/>
      <c r="C6" s="1954">
        <f ca="1">SUM(C10:K10)</f>
        <v>313662</v>
      </c>
      <c r="D6" s="1953"/>
      <c r="E6" s="1953"/>
      <c r="F6" s="1953"/>
      <c r="G6" s="1953"/>
      <c r="H6" s="1953"/>
      <c r="I6" s="1953"/>
      <c r="J6" s="1953"/>
      <c r="K6" s="2017"/>
    </row>
    <row r="7" spans="1:31" s="1835" customFormat="1" ht="14.4">
      <c r="A7" s="1955" t="s">
        <v>1013</v>
      </c>
      <c r="B7" s="1956" t="s">
        <v>1014</v>
      </c>
      <c r="C7" s="1855" t="s">
        <v>379</v>
      </c>
      <c r="D7" s="1855" t="s">
        <v>380</v>
      </c>
      <c r="E7" s="1855" t="s">
        <v>381</v>
      </c>
      <c r="F7" s="1855" t="s">
        <v>382</v>
      </c>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917" t="s">
        <v>851</v>
      </c>
      <c r="B8" s="929" t="s">
        <v>1015</v>
      </c>
      <c r="C8" s="1957">
        <f>'不动产比较法-住宅'!B3</f>
        <v>37522</v>
      </c>
      <c r="D8" s="1957">
        <f ca="1">不动产收益法!B3</f>
        <v>23547</v>
      </c>
      <c r="E8" s="1957">
        <f ca="1">不动产收益法办公!B3</f>
        <v>11815</v>
      </c>
      <c r="F8" s="1957">
        <f ca="1">不动产收益法车库!B3</f>
        <v>2245</v>
      </c>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917" t="s">
        <v>853</v>
      </c>
      <c r="B9" s="929" t="s">
        <v>452</v>
      </c>
      <c r="C9" s="1859">
        <f>SUMIF('数据-汇总表'!$C19:$C33,'剩余法-待开发'!C7,'数据-汇总表'!$E19:$E33)</f>
        <v>72612.570000000007</v>
      </c>
      <c r="D9" s="1859">
        <f>SUMIF('数据-汇总表'!$C19:$C33,'剩余法-待开发'!D7,'数据-汇总表'!$E19:$E33)</f>
        <v>10227.120000000001</v>
      </c>
      <c r="E9" s="1859">
        <f>SUMIF('数据-汇总表'!$C19:$C33,'剩余法-待开发'!E7,'数据-汇总表'!$E19:$E33)</f>
        <v>10227.120000000001</v>
      </c>
      <c r="F9" s="1859">
        <f>SUMIF('数据-汇总表'!$C19:$C33,'剩余法-待开发'!F7,'数据-汇总表'!$E19:$E33)</f>
        <v>22449.78</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1016</v>
      </c>
      <c r="B10" s="1959" t="s">
        <v>1017</v>
      </c>
      <c r="C10" s="1960">
        <f>'不动产比较法-住宅'!B2</f>
        <v>272457</v>
      </c>
      <c r="D10" s="1960">
        <f ca="1">不动产收益法!B2</f>
        <v>24082</v>
      </c>
      <c r="E10" s="1960">
        <f ca="1">不动产收益法办公!B2</f>
        <v>12083</v>
      </c>
      <c r="F10" s="1961">
        <f ca="1">不动产收益法车库!B2</f>
        <v>5040</v>
      </c>
      <c r="G10" s="1961"/>
      <c r="H10" s="1961"/>
      <c r="I10" s="1961"/>
      <c r="J10" s="1961"/>
      <c r="K10" s="2019"/>
      <c r="L10" s="1844">
        <f>C8*C9/10000</f>
        <v>272456.88515400002</v>
      </c>
      <c r="M10" s="1844">
        <f t="shared" ref="M10:O10" ca="1" si="0">D8*D9/10000</f>
        <v>24081.799464000003</v>
      </c>
      <c r="N10" s="1844">
        <f t="shared" ca="1" si="0"/>
        <v>12083.342280000001</v>
      </c>
      <c r="O10" s="1844">
        <f t="shared" ca="1" si="0"/>
        <v>5039.9756099999995</v>
      </c>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1018</v>
      </c>
      <c r="B11" s="1953"/>
      <c r="C11" s="1953"/>
      <c r="D11" s="1953"/>
      <c r="E11" s="1953"/>
      <c r="F11" s="1953"/>
      <c r="G11" s="1953"/>
      <c r="H11" s="1953"/>
      <c r="I11" s="1953"/>
      <c r="J11" s="1953"/>
      <c r="K11" s="2017"/>
    </row>
    <row r="12" spans="1:31" s="988" customFormat="1" ht="13.5" customHeight="1">
      <c r="A12" s="1963" t="s">
        <v>1013</v>
      </c>
      <c r="B12" s="1964" t="s">
        <v>1014</v>
      </c>
      <c r="C12" s="1965" t="s">
        <v>1019</v>
      </c>
      <c r="D12" s="1966" t="s">
        <v>1020</v>
      </c>
      <c r="E12" s="1966" t="s">
        <v>1021</v>
      </c>
      <c r="F12" s="1966" t="s">
        <v>1022</v>
      </c>
      <c r="G12" s="1964"/>
      <c r="H12" s="1967"/>
      <c r="I12" s="1967"/>
      <c r="J12" s="1967"/>
      <c r="K12" s="2020"/>
    </row>
    <row r="13" spans="1:31" s="1837" customFormat="1" ht="13.5" customHeight="1">
      <c r="A13" s="1968" t="s">
        <v>875</v>
      </c>
      <c r="B13" s="1969" t="s">
        <v>1023</v>
      </c>
      <c r="C13" s="1872">
        <f ca="1">IF(B1="",'数据-取费表'!P16,INDIRECT("'数据-取费表'!p"&amp;$K$1)+INDIRECT("'数据-取费表'!t"&amp;$K$1))</f>
        <v>64875</v>
      </c>
      <c r="D13" s="1970"/>
      <c r="E13" s="1971"/>
      <c r="F13" s="1972"/>
      <c r="G13" s="1964"/>
      <c r="H13" s="1967"/>
      <c r="I13" s="1967"/>
      <c r="J13" s="1967"/>
      <c r="K13" s="2020"/>
    </row>
    <row r="14" spans="1:31" s="1837" customFormat="1" ht="13.5" customHeight="1">
      <c r="A14" s="1968" t="s">
        <v>1024</v>
      </c>
      <c r="B14" s="1969" t="s">
        <v>1025</v>
      </c>
      <c r="C14" s="121">
        <f ca="1">ROUND(C13*F14,0)</f>
        <v>1946</v>
      </c>
      <c r="D14" s="1970"/>
      <c r="E14" s="1971"/>
      <c r="F14" s="1973">
        <f>'数据-取费表'!B33</f>
        <v>0.03</v>
      </c>
      <c r="G14" s="1964" t="s">
        <v>1026</v>
      </c>
      <c r="H14" s="1967"/>
      <c r="I14" s="1967"/>
      <c r="J14" s="1967"/>
      <c r="K14" s="2020"/>
    </row>
    <row r="15" spans="1:31" s="1837" customFormat="1" ht="13.5" customHeight="1">
      <c r="A15" s="1968" t="s">
        <v>1027</v>
      </c>
      <c r="B15" s="1969" t="s">
        <v>1028</v>
      </c>
      <c r="C15" s="121">
        <f ca="1">ROUND(IF(B1="",SUMIF('数据-取费表'!C:C,"住宅",'数据-取费表'!P:P)*F15,IF(INDIRECT("'数据-取费表'!c"&amp;$K$1)="住宅",INDIRECT("'数据-取费表'!P"&amp;$K$1)*F15,0)),0)</f>
        <v>871</v>
      </c>
      <c r="D15" s="1970"/>
      <c r="E15" s="1971"/>
      <c r="F15" s="1973">
        <f>'数据-取费表'!B34</f>
        <v>0.02</v>
      </c>
      <c r="G15" s="1964" t="s">
        <v>1029</v>
      </c>
      <c r="H15" s="1967"/>
      <c r="I15" s="1967"/>
      <c r="J15" s="1967"/>
      <c r="K15" s="2020"/>
    </row>
    <row r="16" spans="1:31" s="1838" customFormat="1" ht="13.5" customHeight="1">
      <c r="A16" s="1968" t="s">
        <v>1030</v>
      </c>
      <c r="B16" s="1969" t="s">
        <v>1031</v>
      </c>
      <c r="C16" s="121">
        <f ca="1">ROUND(D16*E16/10000,0)</f>
        <v>2494</v>
      </c>
      <c r="D16" s="1970">
        <f ca="1">IF(B1="",'数据-汇总表'!E3,INDIRECT("'数据-取费表'!K"&amp;$K$1)+INDIRECT("'数据-取费表'!S"&amp;$K$1))</f>
        <v>124721</v>
      </c>
      <c r="E16" s="121">
        <f>'数据-取费表'!B35</f>
        <v>200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1032</v>
      </c>
      <c r="B17" s="1969" t="s">
        <v>1033</v>
      </c>
      <c r="C17" s="1974">
        <f ca="1">ROUND(C13*F17,0)</f>
        <v>973</v>
      </c>
      <c r="D17" s="1975"/>
      <c r="E17" s="1974"/>
      <c r="F17" s="1976">
        <f>'数据-取费表'!B36</f>
        <v>1.4999999999999999E-2</v>
      </c>
      <c r="G17" s="929" t="s">
        <v>1034</v>
      </c>
      <c r="H17" s="1977"/>
      <c r="I17" s="1977"/>
      <c r="J17" s="1977"/>
      <c r="K17" s="2021"/>
    </row>
    <row r="18" spans="1:14" s="1837" customFormat="1" ht="13.5" customHeight="1">
      <c r="A18" s="1978" t="s">
        <v>1035</v>
      </c>
      <c r="B18" s="1979" t="s">
        <v>1036</v>
      </c>
      <c r="C18" s="1980">
        <f ca="1">SUM(C13:C17)</f>
        <v>71159</v>
      </c>
      <c r="D18" s="1981"/>
      <c r="E18" s="1982"/>
      <c r="F18" s="1982"/>
      <c r="G18" s="1983" t="s">
        <v>1037</v>
      </c>
      <c r="H18" s="1984"/>
      <c r="I18" s="1984"/>
      <c r="J18" s="1984"/>
      <c r="K18" s="2022"/>
    </row>
    <row r="19" spans="1:14" s="1837" customFormat="1" ht="13.5" customHeight="1">
      <c r="A19" s="1978" t="s">
        <v>1038</v>
      </c>
      <c r="B19" s="1979" t="s">
        <v>1039</v>
      </c>
      <c r="C19" s="1966">
        <f ca="1">ROUND(D19*E19/10000,0)</f>
        <v>1247</v>
      </c>
      <c r="D19" s="1985">
        <f ca="1">D16</f>
        <v>124721</v>
      </c>
      <c r="E19" s="1966">
        <f>'数据-取费表'!B32</f>
        <v>100</v>
      </c>
      <c r="F19" s="1982"/>
      <c r="G19" s="1964" t="s">
        <v>1040</v>
      </c>
      <c r="H19" s="1967"/>
      <c r="I19" s="1984"/>
      <c r="J19" s="1984"/>
      <c r="K19" s="2022"/>
    </row>
    <row r="20" spans="1:14" s="1837" customFormat="1" ht="13.5" customHeight="1">
      <c r="A20" s="1978" t="s">
        <v>1041</v>
      </c>
      <c r="B20" s="1979" t="s">
        <v>1042</v>
      </c>
      <c r="C20" s="1966">
        <f ca="1">C21+C22-IF(B1="",'数据-取费表'!B29,IF(G20="已全部缴纳",C21+C22,H20))</f>
        <v>1309</v>
      </c>
      <c r="D20" s="1985"/>
      <c r="E20" s="1966"/>
      <c r="F20" s="1986"/>
      <c r="G20" s="1987"/>
      <c r="H20" s="1988"/>
      <c r="I20" s="2023" t="s">
        <v>1043</v>
      </c>
      <c r="J20" s="1984"/>
      <c r="K20" s="2022"/>
    </row>
    <row r="21" spans="1:14" s="1837" customFormat="1" ht="13.5" customHeight="1">
      <c r="A21" s="1968" t="s">
        <v>875</v>
      </c>
      <c r="B21" s="1969" t="s">
        <v>1044</v>
      </c>
      <c r="C21" s="121">
        <f ca="1">ROUND(D21*E21/10000,0)</f>
        <v>762</v>
      </c>
      <c r="D21" s="1970">
        <f ca="1">IF(B1="",'数据-汇总表'!E5,IF(INDIRECT("'数据-取费表'!c"&amp;$K$1)="住宅",INDIRECT("'数据-取费表'!k"&amp;$K$1),0))</f>
        <v>72612.570000000007</v>
      </c>
      <c r="E21" s="121">
        <f>'数据-取费表'!B27</f>
        <v>105</v>
      </c>
      <c r="F21" s="1973"/>
      <c r="G21" s="1017"/>
      <c r="H21" s="1989"/>
      <c r="I21" s="1989"/>
      <c r="J21" s="1989"/>
      <c r="K21" s="2024"/>
    </row>
    <row r="22" spans="1:14" s="1837" customFormat="1" ht="13.5" customHeight="1">
      <c r="A22" s="1968" t="s">
        <v>880</v>
      </c>
      <c r="B22" s="1969" t="s">
        <v>1045</v>
      </c>
      <c r="C22" s="121">
        <f ca="1">ROUND(D22*E22/10000,0)</f>
        <v>547</v>
      </c>
      <c r="D22" s="1970">
        <f ca="1">IF(B1="",'数据-汇总表'!E6,IF(INDIRECT("'数据-取费表'!c"&amp;$K$1)="住宅",INDIRECT("'数据-取费表'!s"&amp;$K$1),INDIRECT("'数据-取费表'!k"&amp;$K$1)+INDIRECT("'数据-取费表'!s"&amp;$K$1)))</f>
        <v>52108.429999999993</v>
      </c>
      <c r="E22" s="121">
        <f>'数据-取费表'!B28</f>
        <v>105</v>
      </c>
      <c r="F22" s="1973"/>
      <c r="G22" s="1017"/>
      <c r="H22" s="1989"/>
      <c r="I22" s="1989"/>
      <c r="J22" s="1989"/>
      <c r="K22" s="2024"/>
    </row>
    <row r="23" spans="1:14" s="1837" customFormat="1" ht="13.5" customHeight="1">
      <c r="A23" s="1978" t="s">
        <v>1046</v>
      </c>
      <c r="B23" s="1990" t="s">
        <v>1047</v>
      </c>
      <c r="C23" s="1980">
        <f ca="1">ROUND((C18+C19+C20)*F23,0)</f>
        <v>1106</v>
      </c>
      <c r="D23" s="1982"/>
      <c r="E23" s="1982"/>
      <c r="F23" s="1991">
        <f>'数据-取费表'!B37</f>
        <v>1.4999999999999999E-2</v>
      </c>
      <c r="G23" s="1964" t="s">
        <v>1048</v>
      </c>
      <c r="H23" s="1967"/>
      <c r="I23" s="1967"/>
      <c r="J23" s="1967"/>
      <c r="K23" s="2020"/>
      <c r="L23" s="1941"/>
      <c r="M23" s="1941"/>
      <c r="N23" s="1941"/>
    </row>
    <row r="24" spans="1:14" s="1837" customFormat="1" ht="13.5" customHeight="1">
      <c r="A24" s="1978" t="s">
        <v>1049</v>
      </c>
      <c r="B24" s="1990" t="s">
        <v>1050</v>
      </c>
      <c r="C24" s="1980">
        <f ca="1">ROUND(C6*F24,0)</f>
        <v>4705</v>
      </c>
      <c r="D24" s="1975"/>
      <c r="E24" s="1896"/>
      <c r="F24" s="1991">
        <f>'数据-取费表'!B38</f>
        <v>1.4999999999999999E-2</v>
      </c>
      <c r="G24" s="1992" t="s">
        <v>1051</v>
      </c>
      <c r="H24" s="1977"/>
      <c r="I24" s="1977"/>
      <c r="J24" s="1977"/>
      <c r="K24" s="2021"/>
      <c r="L24" s="1941"/>
      <c r="M24" s="1941"/>
      <c r="N24" s="1941"/>
    </row>
    <row r="25" spans="1:14" s="1839" customFormat="1" ht="13.5" customHeight="1">
      <c r="A25" s="1978" t="s">
        <v>1052</v>
      </c>
      <c r="B25" s="1990" t="s">
        <v>1053</v>
      </c>
      <c r="C25" s="1891">
        <f>ROUND(F25/(1+'数据-取费表'!C42),4)</f>
        <v>2.9000000000000001E-2</v>
      </c>
      <c r="D25" s="1884" t="s">
        <v>1054</v>
      </c>
      <c r="E25" s="1888"/>
      <c r="F25" s="1991">
        <f>'数据-取费表'!B48+'数据-取费表'!B49</f>
        <v>3.0499999999999999E-2</v>
      </c>
      <c r="G25" s="1993" t="s">
        <v>1055</v>
      </c>
      <c r="H25" s="1967"/>
      <c r="I25" s="1967"/>
      <c r="J25" s="1967"/>
      <c r="K25" s="2020"/>
    </row>
    <row r="26" spans="1:14" s="1941" customFormat="1" ht="13.5" customHeight="1">
      <c r="A26" s="1978" t="s">
        <v>1056</v>
      </c>
      <c r="B26" s="1994" t="s">
        <v>1057</v>
      </c>
      <c r="C26" s="1995">
        <f ca="1">C28</f>
        <v>5733</v>
      </c>
      <c r="D26" s="1891">
        <f ca="1">C27</f>
        <v>0.1537</v>
      </c>
      <c r="E26" s="1888" t="s">
        <v>1054</v>
      </c>
      <c r="F26" s="1892">
        <f ca="1">'数据-取费表'!B40</f>
        <v>4.7500000000000001E-2</v>
      </c>
      <c r="G26" s="933" t="str">
        <f>IF('数据-取费表'!B22&lt;=1,"单利计息。","复利计息。")&amp;"后续开发成本、管理费用及销售费用产生的利息。"</f>
        <v>复利计息。后续开发成本、管理费用及销售费用产生的利息。</v>
      </c>
      <c r="H26" s="1984"/>
      <c r="I26" s="1984"/>
      <c r="J26" s="1984"/>
      <c r="K26" s="2022"/>
    </row>
    <row r="27" spans="1:14" s="1841" customFormat="1" ht="13.5" customHeight="1">
      <c r="A27" s="917" t="s">
        <v>875</v>
      </c>
      <c r="B27" s="1996" t="s">
        <v>1058</v>
      </c>
      <c r="C27" s="1997">
        <f ca="1">ROUND(IF('数据-取费表'!B22&lt;=1,(1+C25)*F26*'数据-取费表'!B24,(1+C25)*(POWER((1+F26),'数据-取费表'!B24)-1)),4)</f>
        <v>0.1537</v>
      </c>
      <c r="D27" s="1895"/>
      <c r="E27" s="1896"/>
      <c r="F27" s="1897"/>
      <c r="G27" s="933" t="str">
        <f>IF('数据-取费表'!B22&lt;=1,"（1+取得税费率/(1+5%)）×年利率×建设期","（1+取得税费率）/(1+5%)×((1+年利率)^建设期-1)")</f>
        <v>（1+取得税费率）/(1+5%)×((1+年利率)^建设期-1)</v>
      </c>
      <c r="H27" s="1977"/>
      <c r="I27" s="1977"/>
      <c r="J27" s="1977"/>
      <c r="K27" s="2021"/>
    </row>
    <row r="28" spans="1:14" s="1841" customFormat="1" ht="13.5" customHeight="1">
      <c r="A28" s="917" t="s">
        <v>880</v>
      </c>
      <c r="B28" s="1996" t="s">
        <v>1059</v>
      </c>
      <c r="C28" s="1998">
        <f ca="1">ROUND(IF('数据-取费表'!B22&lt;=1,(C18+C19+C20+C23+C24)*F26*'数据-取费表'!B24/2,(C18+C19+C20+C23+C24)*(POWER((1+F26),'数据-取费表'!B24/2)-1)),0)</f>
        <v>5733</v>
      </c>
      <c r="D28" s="1895"/>
      <c r="E28" s="1896"/>
      <c r="F28" s="1897"/>
      <c r="G28" s="933" t="str">
        <f>IF('数据-取费表'!B22&lt;=1,"（1）-（4）项×年利率×建设期÷2","（1）-（4）项×((1+年利率)^(建设期÷2)-1)")</f>
        <v>（1）-（4）项×((1+年利率)^(建设期÷2)-1)</v>
      </c>
      <c r="H28" s="1977"/>
      <c r="I28" s="1977"/>
      <c r="J28" s="1977"/>
      <c r="K28" s="2021"/>
    </row>
    <row r="29" spans="1:14" s="1841" customFormat="1" ht="13.5" customHeight="1">
      <c r="A29" s="1999" t="s">
        <v>1060</v>
      </c>
      <c r="B29" s="1979" t="s">
        <v>1061</v>
      </c>
      <c r="C29" s="1980">
        <f ca="1">ROUND(C6*F29/(1+'数据-取费表'!C42),0)</f>
        <v>16729</v>
      </c>
      <c r="D29" s="1982"/>
      <c r="E29" s="1982"/>
      <c r="F29" s="2000">
        <f>'数据-取费表'!B41</f>
        <v>5.6000000000000001E-2</v>
      </c>
      <c r="G29" s="1992" t="s">
        <v>1062</v>
      </c>
      <c r="H29" s="1967"/>
      <c r="I29" s="1967"/>
      <c r="J29" s="1967"/>
      <c r="K29" s="2020"/>
    </row>
    <row r="30" spans="1:14" s="1840" customFormat="1" ht="13.5" customHeight="1">
      <c r="A30" s="2001" t="s">
        <v>1063</v>
      </c>
      <c r="B30" s="2002" t="s">
        <v>1064</v>
      </c>
      <c r="C30" s="1995">
        <f ca="1">C31</f>
        <v>101988</v>
      </c>
      <c r="D30" s="1910">
        <f ca="1">C32</f>
        <v>0.1827</v>
      </c>
      <c r="E30" s="1888" t="s">
        <v>1054</v>
      </c>
      <c r="F30" s="1892"/>
      <c r="G30" s="1993" t="s">
        <v>1065</v>
      </c>
      <c r="H30" s="1967"/>
      <c r="I30" s="1967"/>
      <c r="J30" s="1967"/>
      <c r="K30" s="2020"/>
    </row>
    <row r="31" spans="1:14" s="1841" customFormat="1" ht="13.5" customHeight="1">
      <c r="A31" s="917" t="s">
        <v>875</v>
      </c>
      <c r="B31" s="1996"/>
      <c r="C31" s="1872">
        <f ca="1">C18+C19+C20+C23+C24+C26+C29</f>
        <v>101988</v>
      </c>
      <c r="D31" s="1895"/>
      <c r="E31" s="1896"/>
      <c r="F31" s="1897"/>
      <c r="G31" s="929"/>
      <c r="H31" s="1977"/>
      <c r="I31" s="1977"/>
      <c r="J31" s="1977"/>
      <c r="K31" s="2021"/>
    </row>
    <row r="32" spans="1:14" s="1841" customFormat="1" ht="13.5" customHeight="1">
      <c r="A32" s="917" t="s">
        <v>880</v>
      </c>
      <c r="B32" s="1996"/>
      <c r="C32" s="121">
        <f ca="1">ROUND(C25+D26,4)</f>
        <v>0.1827</v>
      </c>
      <c r="D32" s="1895"/>
      <c r="E32" s="1896"/>
      <c r="F32" s="1897"/>
      <c r="G32" s="929"/>
      <c r="H32" s="1977"/>
      <c r="I32" s="1977"/>
      <c r="J32" s="1977"/>
      <c r="K32" s="2021"/>
    </row>
    <row r="33" spans="1:11" s="1945" customFormat="1" ht="13.5" customHeight="1">
      <c r="A33" s="2003" t="s">
        <v>1066</v>
      </c>
      <c r="B33" s="1900" t="s">
        <v>1067</v>
      </c>
      <c r="C33" s="1901">
        <f ca="1">C35</f>
        <v>8748</v>
      </c>
      <c r="D33" s="1891">
        <f ca="1">C34</f>
        <v>0.1132</v>
      </c>
      <c r="E33" s="1888" t="s">
        <v>1054</v>
      </c>
      <c r="F33" s="1819">
        <f ca="1">IF(B1="",'数据-取费表'!Q16,INDIRECT("'数据-取费表'!q"&amp;$K$1))</f>
        <v>0.11</v>
      </c>
      <c r="G33" s="1983"/>
      <c r="H33" s="1984"/>
      <c r="I33" s="1984"/>
      <c r="J33" s="1984"/>
      <c r="K33" s="2022"/>
    </row>
    <row r="34" spans="1:11" s="1946" customFormat="1" ht="13.5" customHeight="1">
      <c r="A34" s="2004" t="s">
        <v>875</v>
      </c>
      <c r="B34" s="2005" t="s">
        <v>1068</v>
      </c>
      <c r="C34" s="1895">
        <f ca="1">ROUND((1+C25)*F33,4)</f>
        <v>0.1132</v>
      </c>
      <c r="D34" s="1895"/>
      <c r="E34" s="1896"/>
      <c r="F34" s="1903"/>
      <c r="G34" s="929" t="s">
        <v>1069</v>
      </c>
      <c r="H34" s="1977"/>
      <c r="I34" s="1977"/>
      <c r="J34" s="1977"/>
      <c r="K34" s="2021"/>
    </row>
    <row r="35" spans="1:11" s="1946" customFormat="1" ht="13.5" customHeight="1">
      <c r="A35" s="2006" t="s">
        <v>880</v>
      </c>
      <c r="B35" s="2007" t="s">
        <v>1070</v>
      </c>
      <c r="C35" s="2008">
        <f ca="1">ROUND((C18+C19+C20+C23+C24)*F33,0)</f>
        <v>8748</v>
      </c>
      <c r="D35" s="2009"/>
      <c r="E35" s="2010"/>
      <c r="F35" s="2011"/>
      <c r="G35" s="1959"/>
      <c r="H35" s="2012"/>
      <c r="I35" s="2012"/>
      <c r="J35" s="2012"/>
      <c r="K35" s="2025"/>
    </row>
    <row r="36" spans="1:11" s="988" customFormat="1" ht="13.5" customHeight="1">
      <c r="A36" s="2013" t="s">
        <v>1071</v>
      </c>
      <c r="B36" s="2014"/>
      <c r="C36" s="2015">
        <f ca="1">ROUND((C6-C30-C33)/(1+D30+D33),0)</f>
        <v>156591</v>
      </c>
      <c r="D36" s="2014"/>
      <c r="E36" s="2014"/>
      <c r="F36" s="2014"/>
      <c r="G36" s="2016" t="s">
        <v>1072</v>
      </c>
      <c r="H36" s="2014"/>
      <c r="I36" s="2014"/>
      <c r="J36" s="2014"/>
      <c r="K36" s="2026"/>
    </row>
    <row r="38" spans="1:11" ht="12.75" customHeight="1"/>
  </sheetData>
  <sheetProtection password="C66D" sheet="1" objects="1" scenarios="1" formatCells="0" formatColumns="0" formatRows="0"/>
  <phoneticPr fontId="23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0" sqref="G30:G33"/>
    </sheetView>
  </sheetViews>
  <sheetFormatPr defaultColWidth="6.6640625" defaultRowHeight="13.2"/>
  <cols>
    <col min="1" max="1" width="10.109375" style="1843" customWidth="1"/>
    <col min="2" max="2" width="25.77734375" style="1844" customWidth="1"/>
    <col min="3" max="3" width="10.33203125" style="1845" customWidth="1"/>
    <col min="4" max="4" width="12" style="1844" customWidth="1"/>
    <col min="5" max="5" width="9.44140625" style="1843" customWidth="1"/>
    <col min="6" max="6" width="10.109375" style="1844" customWidth="1"/>
    <col min="7" max="7" width="9.44140625" style="1844" customWidth="1"/>
    <col min="8" max="8" width="10" style="1844" customWidth="1"/>
    <col min="9" max="11" width="9.44140625" style="1844" customWidth="1"/>
    <col min="12" max="12" width="9" style="1844" customWidth="1"/>
    <col min="13" max="13" width="10.44140625" style="1844" customWidth="1"/>
    <col min="14" max="254" width="9" style="1844" customWidth="1"/>
    <col min="255" max="16384" width="6.6640625" style="1844"/>
  </cols>
  <sheetData>
    <row r="1" spans="1:41" s="153" customFormat="1" ht="21">
      <c r="A1" s="616" t="s">
        <v>1010</v>
      </c>
      <c r="B1" s="1846"/>
      <c r="C1" s="1847"/>
      <c r="D1" s="1847"/>
      <c r="E1" s="1847"/>
      <c r="F1" s="1847"/>
      <c r="G1" s="1847"/>
      <c r="H1" s="1847"/>
      <c r="I1" s="1847"/>
      <c r="J1" s="1847"/>
      <c r="K1" s="1931">
        <f>MATCH(B1,'数据-取费表'!A6:A16,0)+5</f>
        <v>10</v>
      </c>
    </row>
    <row r="2" spans="1:41" s="153" customFormat="1" ht="18" customHeight="1">
      <c r="A2" s="205" t="s">
        <v>915</v>
      </c>
      <c r="B2" s="1848">
        <f ca="1">C32</f>
        <v>0</v>
      </c>
      <c r="C2" s="1847"/>
      <c r="D2" s="1847"/>
      <c r="E2" s="1847"/>
      <c r="F2" s="1847"/>
      <c r="G2" s="1847"/>
      <c r="H2" s="1847"/>
      <c r="I2" s="1847"/>
      <c r="J2" s="1847"/>
      <c r="K2" s="1847"/>
    </row>
    <row r="3" spans="1:41" s="153" customFormat="1" ht="18" customHeight="1">
      <c r="A3" s="621" t="s">
        <v>916</v>
      </c>
      <c r="B3" s="620">
        <f ca="1">ROUND(B2*10000/IF(B1="",'数据-汇总表'!E3,INDIRECT("'数据-取费表'!K"&amp;$K$1)),0)</f>
        <v>0</v>
      </c>
      <c r="C3" s="1847"/>
      <c r="D3" s="1847"/>
      <c r="E3" s="1847"/>
      <c r="F3" s="1847"/>
      <c r="G3" s="1847"/>
      <c r="H3" s="1847"/>
      <c r="I3" s="1847"/>
      <c r="J3" s="1847"/>
      <c r="K3" s="1847"/>
    </row>
    <row r="4" spans="1:41" s="153" customFormat="1" ht="18" customHeight="1">
      <c r="A4" s="622" t="s">
        <v>1011</v>
      </c>
      <c r="B4" s="623">
        <f ca="1">ROUND(B2*10000/IF(B1="",'数据-汇总表'!D3,INDIRECT("'数据-取费表'!R"&amp;$K$1)),0)</f>
        <v>0</v>
      </c>
      <c r="C4" s="565"/>
      <c r="D4" s="1847"/>
      <c r="E4" s="1847"/>
      <c r="F4" s="1847"/>
      <c r="G4" s="1847"/>
      <c r="H4" s="1847"/>
      <c r="I4" s="1847"/>
      <c r="J4" s="1847"/>
      <c r="K4" s="1847"/>
    </row>
    <row r="5" spans="1:41" s="153" customFormat="1" ht="18" customHeight="1">
      <c r="A5" s="624"/>
      <c r="B5" s="625">
        <f ca="1">ROUND(B2/(IF(B1="",'数据-汇总表'!D3,INDIRECT("'数据-取费表'!R"&amp;$K$1))/666.67),0)</f>
        <v>0</v>
      </c>
      <c r="C5" s="626" t="s">
        <v>918</v>
      </c>
      <c r="D5" s="1847"/>
      <c r="E5" s="1847"/>
      <c r="F5" s="1847"/>
      <c r="G5" s="1847"/>
      <c r="H5" s="1847"/>
      <c r="I5" s="1847"/>
      <c r="J5" s="1847"/>
      <c r="K5" s="1847"/>
    </row>
    <row r="6" spans="1:41" s="1834" customFormat="1" ht="16.5" customHeight="1">
      <c r="A6" s="1849" t="s">
        <v>1073</v>
      </c>
      <c r="B6" s="1850"/>
      <c r="C6" s="1851">
        <f>SUM(C10:K10)</f>
        <v>0</v>
      </c>
      <c r="D6" s="1852"/>
      <c r="E6" s="1852"/>
      <c r="F6" s="1852"/>
      <c r="G6" s="1852"/>
      <c r="H6" s="1852"/>
      <c r="I6" s="1852"/>
      <c r="J6" s="1852"/>
      <c r="K6" s="1932"/>
    </row>
    <row r="7" spans="1:41" s="1835" customFormat="1" ht="14.4">
      <c r="A7" s="1853" t="s">
        <v>1013</v>
      </c>
      <c r="B7" s="1854" t="s">
        <v>1014</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851</v>
      </c>
      <c r="B8" s="1857" t="s">
        <v>1015</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853</v>
      </c>
      <c r="B9" s="1857" t="s">
        <v>452</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1016</v>
      </c>
      <c r="B10" s="1861" t="s">
        <v>1017</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1074</v>
      </c>
      <c r="B11" s="1865"/>
      <c r="C11" s="1865"/>
      <c r="D11" s="1865"/>
      <c r="E11" s="1865"/>
      <c r="F11" s="1865"/>
      <c r="G11" s="1865"/>
      <c r="H11" s="1865"/>
      <c r="I11" s="1865"/>
      <c r="J11" s="1865"/>
      <c r="K11" s="1938"/>
    </row>
    <row r="12" spans="1:41" s="988" customFormat="1" ht="13.5" customHeight="1">
      <c r="A12" s="1853" t="s">
        <v>1013</v>
      </c>
      <c r="B12" s="1866" t="s">
        <v>1014</v>
      </c>
      <c r="C12" s="1867" t="s">
        <v>1019</v>
      </c>
      <c r="D12" s="1868" t="s">
        <v>1020</v>
      </c>
      <c r="E12" s="1868" t="s">
        <v>1021</v>
      </c>
      <c r="F12" s="1868" t="s">
        <v>1022</v>
      </c>
      <c r="G12" s="1866"/>
      <c r="H12" s="1869"/>
      <c r="I12" s="1869"/>
      <c r="J12" s="1869"/>
      <c r="K12" s="1939"/>
    </row>
    <row r="13" spans="1:41" s="1837" customFormat="1" ht="13.5" customHeight="1">
      <c r="A13" s="1870" t="s">
        <v>875</v>
      </c>
      <c r="B13" s="1871" t="s">
        <v>1023</v>
      </c>
      <c r="C13" s="1872">
        <f ca="1">IF(B1="",'数据-取费表'!M16,INDIRECT("'数据-取费表'!M"&amp;$K$1)+INDIRECT("'数据-取费表'!t"&amp;$K$1))</f>
        <v>64875</v>
      </c>
      <c r="D13" s="1873"/>
      <c r="E13" s="78"/>
      <c r="F13" s="1874"/>
      <c r="G13" s="1866"/>
      <c r="H13" s="1869"/>
      <c r="I13" s="1869"/>
      <c r="J13" s="1869"/>
      <c r="K13" s="1939"/>
    </row>
    <row r="14" spans="1:41" s="1837" customFormat="1" ht="13.5" customHeight="1">
      <c r="A14" s="1870" t="s">
        <v>1024</v>
      </c>
      <c r="B14" s="1871" t="s">
        <v>1025</v>
      </c>
      <c r="C14" s="121">
        <f ca="1">ROUND(C13*F14,0)</f>
        <v>1946</v>
      </c>
      <c r="D14" s="1873"/>
      <c r="E14" s="78"/>
      <c r="F14" s="1875">
        <f>'数据-取费表'!B33</f>
        <v>0.03</v>
      </c>
      <c r="G14" s="1866" t="s">
        <v>1026</v>
      </c>
      <c r="H14" s="1869"/>
      <c r="I14" s="1869"/>
      <c r="J14" s="1869"/>
      <c r="K14" s="1939"/>
    </row>
    <row r="15" spans="1:41" s="1837" customFormat="1" ht="13.5" customHeight="1">
      <c r="A15" s="1870" t="s">
        <v>1027</v>
      </c>
      <c r="B15" s="1871" t="s">
        <v>1028</v>
      </c>
      <c r="C15" s="121">
        <f ca="1">ROUND(IF(B1="",SUMIF('数据-取费表'!C:C,"住宅",'数据-取费表'!M:M)*F15,IF(INDIRECT("'数据-取费表'!c"&amp;$K$1)="住宅",INDIRECT("'数据-取费表'!M"&amp;$K$1)*F15,0)),0)</f>
        <v>871</v>
      </c>
      <c r="D15" s="1873"/>
      <c r="E15" s="78"/>
      <c r="F15" s="1875">
        <f>'数据-取费表'!B34</f>
        <v>0.02</v>
      </c>
      <c r="G15" s="1866" t="s">
        <v>1026</v>
      </c>
      <c r="H15" s="1869"/>
      <c r="I15" s="1869"/>
      <c r="J15" s="1869"/>
      <c r="K15" s="1939"/>
    </row>
    <row r="16" spans="1:41" s="1838" customFormat="1" ht="13.5" customHeight="1">
      <c r="A16" s="1870" t="s">
        <v>1030</v>
      </c>
      <c r="B16" s="1871" t="s">
        <v>1031</v>
      </c>
      <c r="C16" s="121">
        <f ca="1">ROUND(D16*E16/10000,0)</f>
        <v>2494</v>
      </c>
      <c r="D16" s="1873">
        <f ca="1">IF(B1="",'数据-汇总表'!E3,INDIRECT("'数据-取费表'!K"&amp;$K$1)+INDIRECT("'数据-取费表'!S"&amp;$K$1))</f>
        <v>124721</v>
      </c>
      <c r="E16" s="121">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1032</v>
      </c>
      <c r="B17" s="1871" t="s">
        <v>1033</v>
      </c>
      <c r="C17" s="1876">
        <f ca="1">ROUND(C13*F17,0)</f>
        <v>973</v>
      </c>
      <c r="D17" s="1877"/>
      <c r="E17" s="1876"/>
      <c r="F17" s="1878">
        <f>'数据-取费表'!B36</f>
        <v>1.4999999999999999E-2</v>
      </c>
      <c r="G17" s="1866" t="s">
        <v>1026</v>
      </c>
      <c r="H17" s="1879"/>
      <c r="I17" s="1879"/>
      <c r="J17" s="1879"/>
      <c r="K17" s="1940"/>
    </row>
    <row r="18" spans="1:14" s="1839" customFormat="1" ht="13.5" customHeight="1">
      <c r="A18" s="1880" t="s">
        <v>1035</v>
      </c>
      <c r="B18" s="1881" t="s">
        <v>1036</v>
      </c>
      <c r="C18" s="1882">
        <f ca="1">SUM(C13:C17)</f>
        <v>71159</v>
      </c>
      <c r="D18" s="1883"/>
      <c r="E18" s="1884"/>
      <c r="F18" s="1884"/>
      <c r="G18" s="1885" t="s">
        <v>1075</v>
      </c>
      <c r="H18" s="1869"/>
      <c r="I18" s="1869"/>
      <c r="J18" s="1869"/>
      <c r="K18" s="1939"/>
    </row>
    <row r="19" spans="1:14" s="1839" customFormat="1" ht="13.5" customHeight="1">
      <c r="A19" s="1880" t="s">
        <v>1038</v>
      </c>
      <c r="B19" s="1881" t="s">
        <v>1076</v>
      </c>
      <c r="C19" s="1882">
        <f ca="1">ROUND(C18*F19,0)</f>
        <v>1067</v>
      </c>
      <c r="D19" s="1884"/>
      <c r="E19" s="1884"/>
      <c r="F19" s="1886">
        <f>'数据-取费表'!B37</f>
        <v>1.4999999999999999E-2</v>
      </c>
      <c r="G19" s="1866" t="s">
        <v>1077</v>
      </c>
      <c r="H19" s="1869"/>
      <c r="I19" s="1869"/>
      <c r="J19" s="1869"/>
      <c r="K19" s="1939"/>
      <c r="L19" s="1840"/>
      <c r="M19" s="1840"/>
      <c r="N19" s="1840"/>
    </row>
    <row r="20" spans="1:14" s="1839" customFormat="1" ht="13.5" customHeight="1">
      <c r="A20" s="1880" t="s">
        <v>1041</v>
      </c>
      <c r="B20" s="1881" t="s">
        <v>1078</v>
      </c>
      <c r="C20" s="1887">
        <f>F20</f>
        <v>1.4999999999999999E-2</v>
      </c>
      <c r="D20" s="1888" t="s">
        <v>1079</v>
      </c>
      <c r="E20" s="1888"/>
      <c r="F20" s="1889">
        <f>'数据-取费表'!B38</f>
        <v>1.4999999999999999E-2</v>
      </c>
      <c r="G20" s="1885" t="s">
        <v>1080</v>
      </c>
      <c r="H20" s="1869"/>
      <c r="I20" s="1869"/>
      <c r="J20" s="1869"/>
      <c r="K20" s="1939"/>
      <c r="L20" s="1840"/>
      <c r="M20" s="1840"/>
      <c r="N20" s="1840"/>
    </row>
    <row r="21" spans="1:14" s="1840" customFormat="1" ht="13.5" customHeight="1">
      <c r="A21" s="1880" t="s">
        <v>1046</v>
      </c>
      <c r="B21" s="1883" t="s">
        <v>1081</v>
      </c>
      <c r="C21" s="1890">
        <f ca="1">C22</f>
        <v>5207</v>
      </c>
      <c r="D21" s="1891">
        <f ca="1">C23</f>
        <v>1.1000000000000001E-3</v>
      </c>
      <c r="E21" s="1888" t="s">
        <v>1082</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1083</v>
      </c>
    </row>
    <row r="22" spans="1:14" s="1841" customFormat="1" ht="13.5" customHeight="1">
      <c r="A22" s="1870" t="s">
        <v>875</v>
      </c>
      <c r="B22" s="1893" t="s">
        <v>1084</v>
      </c>
      <c r="C22" s="1894">
        <f ca="1">ROUND(IF('数据-取费表'!B22&lt;=1,(C18+C19)*F21*'数据-取费表'!B20/2,(C18+C19)*(POWER((1+F21),'数据-取费表'!B20/2)-1)),0)</f>
        <v>5207</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1024</v>
      </c>
      <c r="B23" s="1893" t="s">
        <v>1085</v>
      </c>
      <c r="C23" s="1899">
        <f ca="1">ROUND(IF('数据-取费表'!B22&lt;=1,F20*F21*'数据-取费表'!B20/2,F20*(POWER((1+F21),'数据-取费表'!B20/2)-1)),4)</f>
        <v>1.1000000000000001E-3</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1049</v>
      </c>
      <c r="B24" s="1900" t="s">
        <v>1067</v>
      </c>
      <c r="C24" s="1901">
        <f ca="1">C25</f>
        <v>7945</v>
      </c>
      <c r="D24" s="1902">
        <f ca="1">C26</f>
        <v>1.6999999999999999E-3</v>
      </c>
      <c r="E24" s="1888" t="s">
        <v>1082</v>
      </c>
      <c r="F24" s="1819">
        <f ca="1">IF(B1="",'数据-取费表'!Q16,INDIRECT("'数据-取费表'!q"&amp;$K$1))</f>
        <v>0.11</v>
      </c>
      <c r="G24" s="1866"/>
      <c r="H24" s="1869"/>
      <c r="I24" s="1869"/>
      <c r="J24" s="1869"/>
      <c r="K24" s="1939"/>
    </row>
    <row r="25" spans="1:14" s="1841" customFormat="1" ht="13.5" customHeight="1">
      <c r="A25" s="1870" t="s">
        <v>875</v>
      </c>
      <c r="B25" s="1893" t="s">
        <v>1086</v>
      </c>
      <c r="C25" s="182">
        <f ca="1">ROUND((C18+C19)*F24,0)</f>
        <v>7945</v>
      </c>
      <c r="D25" s="1895"/>
      <c r="E25" s="1896"/>
      <c r="F25" s="1903"/>
      <c r="G25" s="1904" t="s">
        <v>1087</v>
      </c>
      <c r="H25" s="1879"/>
      <c r="I25" s="1879"/>
      <c r="J25" s="1879"/>
      <c r="K25" s="1940"/>
    </row>
    <row r="26" spans="1:14" s="1841" customFormat="1" ht="13.5" customHeight="1">
      <c r="A26" s="1870" t="s">
        <v>1024</v>
      </c>
      <c r="B26" s="1893" t="s">
        <v>1088</v>
      </c>
      <c r="C26" s="183">
        <f ca="1">ROUND(F20*F24,4)</f>
        <v>1.6999999999999999E-3</v>
      </c>
      <c r="D26" s="1895"/>
      <c r="E26" s="1905"/>
      <c r="F26" s="1903"/>
      <c r="G26" s="1904" t="s">
        <v>1089</v>
      </c>
      <c r="H26" s="1879"/>
      <c r="I26" s="1879"/>
      <c r="J26" s="1879"/>
      <c r="K26" s="1940"/>
    </row>
    <row r="27" spans="1:14" s="1841" customFormat="1" ht="13.5" customHeight="1">
      <c r="A27" s="1906" t="s">
        <v>909</v>
      </c>
      <c r="B27" s="1881" t="s">
        <v>1061</v>
      </c>
      <c r="C27" s="1907">
        <f>ROUND(F27/(1+'数据-取费表'!C42),4)</f>
        <v>5.33E-2</v>
      </c>
      <c r="D27" s="1884" t="s">
        <v>1082</v>
      </c>
      <c r="E27" s="1884"/>
      <c r="F27" s="1886">
        <f>'数据-取费表'!B41</f>
        <v>5.6000000000000001E-2</v>
      </c>
      <c r="G27" s="1908" t="s">
        <v>1090</v>
      </c>
      <c r="H27" s="1869"/>
      <c r="I27" s="1869"/>
      <c r="J27" s="1869"/>
      <c r="K27" s="1939"/>
    </row>
    <row r="28" spans="1:14" s="1840" customFormat="1" ht="13.5" customHeight="1">
      <c r="A28" s="1906" t="s">
        <v>1091</v>
      </c>
      <c r="B28" s="1909" t="s">
        <v>1092</v>
      </c>
      <c r="C28" s="1890">
        <f ca="1">ROUND((C18+C19+C21+C24)/(1-C20-D21-D24-C27),0)</f>
        <v>91913</v>
      </c>
      <c r="D28" s="1910"/>
      <c r="E28" s="1888"/>
      <c r="F28" s="1892"/>
      <c r="G28" s="1885" t="s">
        <v>1093</v>
      </c>
      <c r="H28" s="1869"/>
      <c r="I28" s="1869"/>
      <c r="J28" s="1869"/>
      <c r="K28" s="1939"/>
    </row>
    <row r="29" spans="1:14" s="1840" customFormat="1" ht="13.5" customHeight="1">
      <c r="A29" s="1906" t="s">
        <v>1094</v>
      </c>
      <c r="B29" s="1909" t="s">
        <v>1095</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1096</v>
      </c>
      <c r="C30" s="1916">
        <f ca="1">ROUND(C28*C29,0)</f>
        <v>0</v>
      </c>
      <c r="D30" s="1912"/>
      <c r="E30" s="1917"/>
      <c r="F30" s="1918"/>
      <c r="G30" s="1919" t="s">
        <v>1097</v>
      </c>
      <c r="H30" s="1920"/>
      <c r="I30" s="1920"/>
      <c r="J30" s="1869"/>
      <c r="K30" s="1939"/>
    </row>
    <row r="31" spans="1:14" s="1842" customFormat="1" ht="13.5" customHeight="1">
      <c r="A31" s="1921" t="s">
        <v>1098</v>
      </c>
      <c r="B31" s="1922"/>
      <c r="C31" s="1923">
        <f>ROUND(C6*F31/(1+'数据-取费表'!C42),0)</f>
        <v>0</v>
      </c>
      <c r="D31" s="1924"/>
      <c r="E31" s="1924"/>
      <c r="F31" s="1925">
        <f>'数据-取费表'!B41</f>
        <v>5.6000000000000001E-2</v>
      </c>
      <c r="G31" s="1926"/>
      <c r="H31" s="1926"/>
      <c r="I31" s="1926"/>
      <c r="J31" s="1942"/>
      <c r="K31" s="1943"/>
    </row>
    <row r="32" spans="1:14" s="988" customFormat="1" ht="13.5" customHeight="1">
      <c r="A32" s="1927" t="s">
        <v>1099</v>
      </c>
      <c r="B32" s="1928"/>
      <c r="C32" s="1929">
        <f ca="1">IF('数据-取费表'!B20&lt;=1,(C6-C30-C31)/(1+F21*'数据-取费表'!B20+F24)/(1+'数据-取费表'!B48+'数据-取费表'!B49),(C6-C30-C31)/(1+(POWER((1+F21),'数据-取费表'!B20)-1)+F24)/(1+'数据-取费表'!B48+'数据-取费表'!B49))</f>
        <v>0</v>
      </c>
      <c r="D32" s="1928"/>
      <c r="E32" s="1928"/>
      <c r="F32" s="1928"/>
      <c r="G32" s="1930" t="s">
        <v>1100</v>
      </c>
      <c r="H32" s="1928"/>
      <c r="I32" s="1928"/>
      <c r="J32" s="1928"/>
      <c r="K32" s="1944"/>
    </row>
    <row r="34" ht="12.75" customHeight="1"/>
  </sheetData>
  <sheetProtection password="C66D" sheet="1" objects="1" scenarios="1" formatCells="0" formatColumns="0" formatRows="0"/>
  <phoneticPr fontId="231"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0" sqref="G30:G33"/>
    </sheetView>
  </sheetViews>
  <sheetFormatPr defaultColWidth="9" defaultRowHeight="13.8"/>
  <cols>
    <col min="1" max="1" width="13.332031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912</v>
      </c>
      <c r="B1" s="529"/>
      <c r="C1" s="200" t="s">
        <v>1101</v>
      </c>
      <c r="D1" s="1737" t="s">
        <v>914</v>
      </c>
      <c r="E1" s="1738"/>
      <c r="F1" s="850"/>
      <c r="G1" s="1738"/>
      <c r="H1" s="1738"/>
      <c r="I1" s="1738"/>
      <c r="J1" s="1738"/>
      <c r="K1" s="1798"/>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173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40" t="s">
        <v>916</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41" t="s">
        <v>917</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918</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4.4">
      <c r="A6" s="214" t="s">
        <v>919</v>
      </c>
      <c r="B6" s="215"/>
      <c r="C6" s="3342" t="s">
        <v>920</v>
      </c>
      <c r="D6" s="3343"/>
      <c r="E6" s="3383" t="s">
        <v>921</v>
      </c>
      <c r="F6" s="3384"/>
      <c r="G6" s="3342" t="s">
        <v>922</v>
      </c>
      <c r="H6" s="3343"/>
      <c r="I6" s="3342" t="s">
        <v>923</v>
      </c>
      <c r="J6" s="3343"/>
      <c r="K6" s="376" t="s">
        <v>924</v>
      </c>
      <c r="L6" s="377"/>
      <c r="M6" s="378"/>
      <c r="N6" s="378"/>
      <c r="O6" s="378"/>
      <c r="P6" s="3370" t="s">
        <v>925</v>
      </c>
      <c r="Q6" s="3371"/>
      <c r="R6" s="3376" t="s">
        <v>921</v>
      </c>
      <c r="S6" s="3377"/>
      <c r="T6" s="3376" t="s">
        <v>922</v>
      </c>
      <c r="U6" s="3377"/>
      <c r="V6" s="3362" t="s">
        <v>923</v>
      </c>
      <c r="W6" s="3362"/>
      <c r="X6" s="443"/>
      <c r="Y6" s="3376" t="s">
        <v>925</v>
      </c>
      <c r="Z6" s="3377"/>
      <c r="AA6" s="3363" t="s">
        <v>921</v>
      </c>
      <c r="AB6" s="3364" t="s">
        <v>922</v>
      </c>
      <c r="AC6" s="3363" t="s">
        <v>923</v>
      </c>
    </row>
    <row r="7" spans="1:29">
      <c r="A7" s="216"/>
      <c r="B7" s="217"/>
      <c r="C7" s="3344" t="s">
        <v>926</v>
      </c>
      <c r="D7" s="3345"/>
      <c r="E7" s="3385" t="s">
        <v>1102</v>
      </c>
      <c r="F7" s="3386"/>
      <c r="G7" s="3344" t="s">
        <v>1103</v>
      </c>
      <c r="H7" s="3345"/>
      <c r="I7" s="3344" t="s">
        <v>1104</v>
      </c>
      <c r="J7" s="3345"/>
      <c r="K7" s="376"/>
      <c r="L7" s="377"/>
      <c r="M7" s="378"/>
      <c r="N7" s="378"/>
      <c r="O7" s="378"/>
      <c r="P7" s="3372"/>
      <c r="Q7" s="3373"/>
      <c r="R7" s="3378"/>
      <c r="S7" s="3379"/>
      <c r="T7" s="3378"/>
      <c r="U7" s="3379"/>
      <c r="V7" s="3362"/>
      <c r="W7" s="3362"/>
      <c r="X7" s="443"/>
      <c r="Y7" s="3378"/>
      <c r="Z7" s="3379"/>
      <c r="AA7" s="3364"/>
      <c r="AB7" s="3364"/>
      <c r="AC7" s="3364"/>
    </row>
    <row r="8" spans="1:29" ht="14.4">
      <c r="A8" s="218"/>
      <c r="B8" s="219"/>
      <c r="C8" s="3348" t="s">
        <v>927</v>
      </c>
      <c r="D8" s="3349"/>
      <c r="E8" s="3387" t="s">
        <v>927</v>
      </c>
      <c r="F8" s="3388"/>
      <c r="G8" s="3348" t="s">
        <v>927</v>
      </c>
      <c r="H8" s="3349"/>
      <c r="I8" s="3348" t="s">
        <v>927</v>
      </c>
      <c r="J8" s="3349"/>
      <c r="K8" s="376" t="s">
        <v>928</v>
      </c>
      <c r="L8" s="377"/>
      <c r="M8" s="378"/>
      <c r="N8" s="378"/>
      <c r="O8" s="378"/>
      <c r="P8" s="3374"/>
      <c r="Q8" s="3375"/>
      <c r="R8" s="3378"/>
      <c r="S8" s="3379"/>
      <c r="T8" s="3380"/>
      <c r="U8" s="3381"/>
      <c r="V8" s="3362"/>
      <c r="W8" s="3362"/>
      <c r="X8" s="443"/>
      <c r="Y8" s="3380"/>
      <c r="Z8" s="3381"/>
      <c r="AA8" s="3365"/>
      <c r="AB8" s="3365"/>
      <c r="AC8" s="3365"/>
    </row>
    <row r="9" spans="1:29" s="190" customFormat="1" ht="14.4">
      <c r="A9" s="220"/>
      <c r="B9" s="221" t="s">
        <v>929</v>
      </c>
      <c r="C9" s="222">
        <f>'数据-取费表'!B2</f>
        <v>43654</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50" t="s">
        <v>930</v>
      </c>
      <c r="Q9" s="3351"/>
      <c r="R9" s="444" t="s">
        <v>931</v>
      </c>
      <c r="S9" s="445">
        <f t="shared" ref="S9:S17" si="0">F9</f>
        <v>0</v>
      </c>
      <c r="T9" s="444" t="s">
        <v>931</v>
      </c>
      <c r="U9" s="445">
        <f t="shared" ref="U9:U17" si="1">H9</f>
        <v>0</v>
      </c>
      <c r="V9" s="444" t="s">
        <v>931</v>
      </c>
      <c r="W9" s="445">
        <f t="shared" ref="W9:W17" si="2">J9</f>
        <v>0</v>
      </c>
      <c r="X9" s="446"/>
      <c r="Y9" s="3350" t="s">
        <v>930</v>
      </c>
      <c r="Z9" s="3382"/>
      <c r="AA9" s="463" t="e">
        <f>D9/F9</f>
        <v>#DIV/0!</v>
      </c>
      <c r="AB9" s="463" t="e">
        <f>D9/H9</f>
        <v>#DIV/0!</v>
      </c>
      <c r="AC9" s="463" t="e">
        <f>D9/J9</f>
        <v>#DIV/0!</v>
      </c>
    </row>
    <row r="10" spans="1:29" s="190" customFormat="1" ht="14.4">
      <c r="A10" s="227"/>
      <c r="B10" s="228" t="s">
        <v>932</v>
      </c>
      <c r="C10" s="229" t="s">
        <v>933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50" t="s">
        <v>935</v>
      </c>
      <c r="Q10" s="3382"/>
      <c r="R10" s="444" t="s">
        <v>931</v>
      </c>
      <c r="S10" s="445">
        <f t="shared" si="0"/>
        <v>0</v>
      </c>
      <c r="T10" s="444" t="s">
        <v>931</v>
      </c>
      <c r="U10" s="445">
        <f t="shared" si="1"/>
        <v>0</v>
      </c>
      <c r="V10" s="444" t="s">
        <v>931</v>
      </c>
      <c r="W10" s="445">
        <f t="shared" si="2"/>
        <v>0</v>
      </c>
      <c r="X10" s="446"/>
      <c r="Y10" s="3350" t="s">
        <v>935</v>
      </c>
      <c r="Z10" s="3382"/>
      <c r="AA10" s="463" t="e">
        <f t="shared" ref="AA10:AA42" si="3">D10/F10</f>
        <v>#DIV/0!</v>
      </c>
      <c r="AB10" s="463" t="e">
        <f t="shared" ref="AB10:AB42" si="4">D10/H10</f>
        <v>#DIV/0!</v>
      </c>
      <c r="AC10" s="463" t="e">
        <f t="shared" ref="AC10:AC42" si="5">D10/J10</f>
        <v>#DIV/0!</v>
      </c>
    </row>
    <row r="11" spans="1:29" s="190" customFormat="1" ht="14.4">
      <c r="A11" s="230"/>
      <c r="B11" s="231" t="s">
        <v>936</v>
      </c>
      <c r="C11" s="1742"/>
      <c r="D11" s="233">
        <v>100</v>
      </c>
      <c r="E11" s="1742"/>
      <c r="F11" s="233">
        <f>SUMIF(72:72,E11,73:73)-SUMIF(72:72,C11,73:73)+100</f>
        <v>100</v>
      </c>
      <c r="G11" s="1742"/>
      <c r="H11" s="233">
        <f>SUMIF(72:72,G11,73:73)-SUMIF(72:72,C11,73:73)+100</f>
        <v>100</v>
      </c>
      <c r="I11" s="1742"/>
      <c r="J11" s="233">
        <f>SUMIF(72:72,I11,73:73)-SUMIF(72:72,C11,73:73)+100</f>
        <v>100</v>
      </c>
      <c r="K11" s="379"/>
      <c r="L11" s="380"/>
      <c r="M11" s="381"/>
      <c r="N11" s="381"/>
      <c r="O11" s="382"/>
      <c r="P11" s="3353" t="s">
        <v>938</v>
      </c>
      <c r="Q11" s="447" t="str">
        <f t="shared" ref="Q11:Q17" si="6">B11</f>
        <v>用途</v>
      </c>
      <c r="R11" s="444" t="s">
        <v>931</v>
      </c>
      <c r="S11" s="445">
        <f t="shared" si="0"/>
        <v>100</v>
      </c>
      <c r="T11" s="444" t="s">
        <v>931</v>
      </c>
      <c r="U11" s="445">
        <f t="shared" si="1"/>
        <v>100</v>
      </c>
      <c r="V11" s="444" t="s">
        <v>931</v>
      </c>
      <c r="W11" s="445">
        <f t="shared" si="2"/>
        <v>100</v>
      </c>
      <c r="X11" s="446"/>
      <c r="Y11" s="3341" t="s">
        <v>939</v>
      </c>
      <c r="Z11" s="464" t="str">
        <f t="shared" ref="Z11:Z17" si="7">Q11</f>
        <v>用途</v>
      </c>
      <c r="AA11" s="463">
        <f t="shared" si="3"/>
        <v>1</v>
      </c>
      <c r="AB11" s="463">
        <f t="shared" si="4"/>
        <v>1</v>
      </c>
      <c r="AC11" s="463">
        <f t="shared" si="5"/>
        <v>1</v>
      </c>
    </row>
    <row r="12" spans="1:29" s="191" customFormat="1" ht="28.8">
      <c r="A12" s="235"/>
      <c r="B12" s="228" t="s">
        <v>940</v>
      </c>
      <c r="C12" s="241"/>
      <c r="D12" s="237">
        <v>100</v>
      </c>
      <c r="E12" s="241"/>
      <c r="F12" s="237">
        <f>ROUND(100/'数据-取费表'!G16,0)</f>
        <v>103</v>
      </c>
      <c r="G12" s="241"/>
      <c r="H12" s="237">
        <f>ROUND(100/'数据-取费表'!G16,0)</f>
        <v>103</v>
      </c>
      <c r="I12" s="241"/>
      <c r="J12" s="237">
        <f>ROUND(100/'数据-取费表'!G16,0)</f>
        <v>103</v>
      </c>
      <c r="K12" s="1799"/>
      <c r="L12" s="385"/>
      <c r="M12" s="386"/>
      <c r="N12" s="386"/>
      <c r="O12" s="387"/>
      <c r="P12" s="3353"/>
      <c r="Q12" s="447" t="str">
        <f t="shared" si="6"/>
        <v>土地使用年限（年）</v>
      </c>
      <c r="R12" s="444" t="s">
        <v>931</v>
      </c>
      <c r="S12" s="445">
        <f t="shared" si="0"/>
        <v>103</v>
      </c>
      <c r="T12" s="444" t="s">
        <v>931</v>
      </c>
      <c r="U12" s="445">
        <f t="shared" si="1"/>
        <v>103</v>
      </c>
      <c r="V12" s="444" t="s">
        <v>931</v>
      </c>
      <c r="W12" s="445">
        <f t="shared" si="2"/>
        <v>103</v>
      </c>
      <c r="X12" s="446"/>
      <c r="Y12" s="3341"/>
      <c r="Z12" s="464" t="str">
        <f t="shared" si="7"/>
        <v>土地使用年限（年）</v>
      </c>
      <c r="AA12" s="463">
        <f t="shared" si="3"/>
        <v>0.970873786407767</v>
      </c>
      <c r="AB12" s="463">
        <f t="shared" si="4"/>
        <v>0.970873786407767</v>
      </c>
      <c r="AC12" s="463">
        <f t="shared" si="5"/>
        <v>0.970873786407767</v>
      </c>
    </row>
    <row r="13" spans="1:29" ht="15">
      <c r="A13" s="530"/>
      <c r="B13" s="228" t="s">
        <v>942</v>
      </c>
      <c r="C13" s="531"/>
      <c r="D13" s="237">
        <v>100</v>
      </c>
      <c r="E13" s="531"/>
      <c r="F13" s="237" t="e">
        <f>LOOKUP(E13,77:77,78:78)-LOOKUP(C13,77:77,78:78)+100</f>
        <v>#N/A</v>
      </c>
      <c r="G13" s="532"/>
      <c r="H13" s="237" t="e">
        <f>LOOKUP(G13,77:77,78:78)-LOOKUP(C13,77:77,78:78)+100</f>
        <v>#N/A</v>
      </c>
      <c r="I13" s="531"/>
      <c r="J13" s="237" t="e">
        <f>LOOKUP(I13,77:77,78:78)-LOOKUP(C13,77:77,78:78)+100</f>
        <v>#N/A</v>
      </c>
      <c r="K13" s="1800"/>
      <c r="L13" s="389"/>
      <c r="M13" s="378"/>
      <c r="N13" s="378"/>
      <c r="O13" s="390"/>
      <c r="P13" s="3353"/>
      <c r="Q13" s="447" t="str">
        <f t="shared" si="6"/>
        <v>容积率</v>
      </c>
      <c r="R13" s="444" t="s">
        <v>931</v>
      </c>
      <c r="S13" s="445" t="e">
        <f t="shared" si="0"/>
        <v>#N/A</v>
      </c>
      <c r="T13" s="444" t="s">
        <v>931</v>
      </c>
      <c r="U13" s="445" t="e">
        <f t="shared" si="1"/>
        <v>#N/A</v>
      </c>
      <c r="V13" s="444" t="s">
        <v>931</v>
      </c>
      <c r="W13" s="445" t="e">
        <f t="shared" si="2"/>
        <v>#N/A</v>
      </c>
      <c r="X13" s="446"/>
      <c r="Y13" s="3341"/>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3"/>
      <c r="H14" s="237">
        <f>SUMIF(79:79,G14,80:80)-SUMIF(79:79,C14,80:80)+100</f>
        <v>100</v>
      </c>
      <c r="I14" s="360"/>
      <c r="J14" s="237">
        <f>SUMIF(79:79,I14,80:80)-SUMIF(79:79,C14,80:80)+100</f>
        <v>100</v>
      </c>
      <c r="K14" s="1799"/>
      <c r="L14" s="380"/>
      <c r="M14" s="381"/>
      <c r="N14" s="381"/>
      <c r="O14" s="382"/>
      <c r="P14" s="3353"/>
      <c r="Q14" s="447">
        <f t="shared" si="6"/>
        <v>111</v>
      </c>
      <c r="R14" s="444" t="s">
        <v>931</v>
      </c>
      <c r="S14" s="445">
        <f t="shared" si="0"/>
        <v>100</v>
      </c>
      <c r="T14" s="444" t="s">
        <v>931</v>
      </c>
      <c r="U14" s="445">
        <f t="shared" si="1"/>
        <v>100</v>
      </c>
      <c r="V14" s="444" t="s">
        <v>931</v>
      </c>
      <c r="W14" s="445">
        <f t="shared" si="2"/>
        <v>100</v>
      </c>
      <c r="X14" s="446"/>
      <c r="Y14" s="3341"/>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3"/>
      <c r="H15" s="247">
        <f>SUMIF(81:81,G15,82:82)-SUMIF(81:81,C15,82:82)+100</f>
        <v>100</v>
      </c>
      <c r="I15" s="360"/>
      <c r="J15" s="247">
        <f>SUMIF(81:81,I15,82:82)-SUMIF(81:81,C15,82:82)+100</f>
        <v>100</v>
      </c>
      <c r="K15" s="1799"/>
      <c r="L15" s="391"/>
      <c r="M15" s="378"/>
      <c r="N15" s="378"/>
      <c r="O15" s="390"/>
      <c r="P15" s="3353"/>
      <c r="Q15" s="447">
        <f t="shared" si="6"/>
        <v>111</v>
      </c>
      <c r="R15" s="444" t="s">
        <v>931</v>
      </c>
      <c r="S15" s="445">
        <f t="shared" si="0"/>
        <v>100</v>
      </c>
      <c r="T15" s="444" t="s">
        <v>931</v>
      </c>
      <c r="U15" s="445">
        <f t="shared" si="1"/>
        <v>100</v>
      </c>
      <c r="V15" s="444" t="s">
        <v>931</v>
      </c>
      <c r="W15" s="445">
        <f t="shared" si="2"/>
        <v>100</v>
      </c>
      <c r="X15" s="446"/>
      <c r="Y15" s="3341"/>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3"/>
      <c r="H16" s="300">
        <f>SUMIF(83:83,G16,84:84)-SUMIF(83:83,C16,84:84)+100</f>
        <v>100</v>
      </c>
      <c r="I16" s="360"/>
      <c r="J16" s="300">
        <f>SUMIF(83:83,I16,84:84)-SUMIF(83:83,C16,84:84)+100</f>
        <v>100</v>
      </c>
      <c r="K16" s="1799"/>
      <c r="L16" s="391"/>
      <c r="M16" s="378"/>
      <c r="N16" s="378"/>
      <c r="O16" s="390"/>
      <c r="P16" s="3353"/>
      <c r="Q16" s="447">
        <f t="shared" si="6"/>
        <v>111</v>
      </c>
      <c r="R16" s="444" t="s">
        <v>931</v>
      </c>
      <c r="S16" s="445">
        <f t="shared" si="0"/>
        <v>100</v>
      </c>
      <c r="T16" s="444" t="s">
        <v>931</v>
      </c>
      <c r="U16" s="445">
        <f t="shared" si="1"/>
        <v>100</v>
      </c>
      <c r="V16" s="444" t="s">
        <v>931</v>
      </c>
      <c r="W16" s="445">
        <f t="shared" si="2"/>
        <v>100</v>
      </c>
      <c r="X16" s="446"/>
      <c r="Y16" s="3341"/>
      <c r="Z16" s="464">
        <f t="shared" si="7"/>
        <v>111</v>
      </c>
      <c r="AA16" s="463">
        <f t="shared" si="3"/>
        <v>1</v>
      </c>
      <c r="AB16" s="463">
        <f t="shared" si="4"/>
        <v>1</v>
      </c>
      <c r="AC16" s="463">
        <f t="shared" si="5"/>
        <v>1</v>
      </c>
    </row>
    <row r="17" spans="1:29" ht="69">
      <c r="A17" s="248" t="s">
        <v>944</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800"/>
      <c r="L17" s="391"/>
      <c r="M17" s="378"/>
      <c r="N17" s="378"/>
      <c r="O17" s="390"/>
      <c r="P17" s="3354" t="s">
        <v>945</v>
      </c>
      <c r="Q17" s="383" t="str">
        <f t="shared" si="6"/>
        <v>产业集聚程度</v>
      </c>
      <c r="R17" s="448" t="s">
        <v>931</v>
      </c>
      <c r="S17" s="449">
        <f t="shared" si="0"/>
        <v>100</v>
      </c>
      <c r="T17" s="448" t="s">
        <v>931</v>
      </c>
      <c r="U17" s="449">
        <f t="shared" si="1"/>
        <v>100</v>
      </c>
      <c r="V17" s="448" t="s">
        <v>931</v>
      </c>
      <c r="W17" s="449">
        <f t="shared" si="2"/>
        <v>100</v>
      </c>
      <c r="X17" s="443"/>
      <c r="Y17" s="3354" t="s">
        <v>945</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9"/>
      <c r="L18" s="391"/>
      <c r="M18" s="378"/>
      <c r="N18" s="378"/>
      <c r="O18" s="390"/>
      <c r="P18" s="3355"/>
      <c r="Q18" s="383"/>
      <c r="R18" s="448"/>
      <c r="S18" s="449"/>
      <c r="T18" s="448"/>
      <c r="U18" s="449"/>
      <c r="V18" s="448"/>
      <c r="W18" s="449"/>
      <c r="X18" s="443"/>
      <c r="Y18" s="3355"/>
      <c r="Z18" s="442"/>
      <c r="AA18" s="454">
        <v>1</v>
      </c>
      <c r="AB18" s="454">
        <v>1</v>
      </c>
      <c r="AC18" s="454">
        <v>1</v>
      </c>
    </row>
    <row r="19" spans="1:29" ht="96.6">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800"/>
      <c r="L19" s="391"/>
      <c r="M19" s="378"/>
      <c r="N19" s="378"/>
      <c r="O19" s="390"/>
      <c r="P19" s="3355"/>
      <c r="Q19" s="383" t="str">
        <f>B19</f>
        <v>交通便捷度</v>
      </c>
      <c r="R19" s="448" t="s">
        <v>931</v>
      </c>
      <c r="S19" s="449">
        <f>F19</f>
        <v>100</v>
      </c>
      <c r="T19" s="448" t="s">
        <v>931</v>
      </c>
      <c r="U19" s="449">
        <f>H19</f>
        <v>100</v>
      </c>
      <c r="V19" s="448" t="s">
        <v>931</v>
      </c>
      <c r="W19" s="449">
        <f>J19</f>
        <v>100</v>
      </c>
      <c r="X19" s="443"/>
      <c r="Y19" s="3355"/>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9"/>
      <c r="L20" s="391"/>
      <c r="M20" s="378"/>
      <c r="N20" s="378"/>
      <c r="O20" s="390"/>
      <c r="P20" s="3355"/>
      <c r="Q20" s="383"/>
      <c r="R20" s="448"/>
      <c r="S20" s="449"/>
      <c r="T20" s="448"/>
      <c r="U20" s="449"/>
      <c r="V20" s="448"/>
      <c r="W20" s="449"/>
      <c r="X20" s="443"/>
      <c r="Y20" s="3355"/>
      <c r="Z20" s="442"/>
      <c r="AA20" s="454">
        <v>1</v>
      </c>
      <c r="AB20" s="454">
        <v>1</v>
      </c>
      <c r="AC20" s="454">
        <v>1</v>
      </c>
    </row>
    <row r="21" spans="1:29" ht="28.8">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801"/>
      <c r="L21" s="391"/>
      <c r="M21" s="378"/>
      <c r="N21" s="378"/>
      <c r="O21" s="390"/>
      <c r="P21" s="3355"/>
      <c r="Q21" s="383" t="str">
        <f t="shared" ref="Q21:Q36" si="8">B21</f>
        <v>区域土地利用方向</v>
      </c>
      <c r="R21" s="448" t="s">
        <v>931</v>
      </c>
      <c r="S21" s="449">
        <f>F21</f>
        <v>100</v>
      </c>
      <c r="T21" s="448" t="s">
        <v>931</v>
      </c>
      <c r="U21" s="449">
        <f>H21</f>
        <v>100</v>
      </c>
      <c r="V21" s="448" t="s">
        <v>931</v>
      </c>
      <c r="W21" s="449">
        <f>J21</f>
        <v>100</v>
      </c>
      <c r="X21" s="443"/>
      <c r="Y21" s="3355"/>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2"/>
      <c r="L22" s="391"/>
      <c r="M22" s="378"/>
      <c r="N22" s="378"/>
      <c r="O22" s="390"/>
      <c r="P22" s="3355"/>
      <c r="Q22" s="383"/>
      <c r="R22" s="448"/>
      <c r="S22" s="449"/>
      <c r="T22" s="448"/>
      <c r="U22" s="449"/>
      <c r="V22" s="448"/>
      <c r="W22" s="449"/>
      <c r="X22" s="443"/>
      <c r="Y22" s="3355"/>
      <c r="Z22" s="442"/>
      <c r="AA22" s="454"/>
      <c r="AB22" s="454"/>
      <c r="AC22" s="454"/>
    </row>
    <row r="23" spans="1:29" ht="82.8">
      <c r="A23" s="216"/>
      <c r="B23" s="538" t="s">
        <v>1105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800"/>
      <c r="L23" s="391"/>
      <c r="M23" s="378"/>
      <c r="N23" s="378"/>
      <c r="O23" s="390"/>
      <c r="P23" s="3355"/>
      <c r="Q23" s="383" t="str">
        <f t="shared" si="8"/>
        <v>环境状况</v>
      </c>
      <c r="R23" s="448" t="s">
        <v>931</v>
      </c>
      <c r="S23" s="449">
        <f>F23</f>
        <v>100</v>
      </c>
      <c r="T23" s="448" t="s">
        <v>931</v>
      </c>
      <c r="U23" s="449">
        <f>H23</f>
        <v>100</v>
      </c>
      <c r="V23" s="448" t="s">
        <v>931</v>
      </c>
      <c r="W23" s="449">
        <f>J23</f>
        <v>100</v>
      </c>
      <c r="X23" s="443"/>
      <c r="Y23" s="3355"/>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9"/>
      <c r="L24" s="391"/>
      <c r="M24" s="378"/>
      <c r="N24" s="378"/>
      <c r="O24" s="390"/>
      <c r="P24" s="3355"/>
      <c r="Q24" s="383"/>
      <c r="R24" s="448"/>
      <c r="S24" s="449"/>
      <c r="T24" s="448"/>
      <c r="U24" s="449"/>
      <c r="V24" s="448"/>
      <c r="W24" s="449"/>
      <c r="X24" s="443"/>
      <c r="Y24" s="3355"/>
      <c r="Z24" s="442"/>
      <c r="AA24" s="454">
        <v>1</v>
      </c>
      <c r="AB24" s="454">
        <v>1</v>
      </c>
      <c r="AC24" s="454">
        <v>1</v>
      </c>
    </row>
    <row r="25" spans="1:29" s="190" customFormat="1" ht="41.4">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800"/>
      <c r="L25" s="380"/>
      <c r="M25" s="381"/>
      <c r="N25" s="381"/>
      <c r="O25" s="382"/>
      <c r="P25" s="3355"/>
      <c r="Q25" s="447" t="str">
        <f t="shared" si="8"/>
        <v>公共配套设施</v>
      </c>
      <c r="R25" s="444" t="s">
        <v>931</v>
      </c>
      <c r="S25" s="445">
        <f>F25</f>
        <v>100</v>
      </c>
      <c r="T25" s="444" t="s">
        <v>931</v>
      </c>
      <c r="U25" s="445">
        <f>H25</f>
        <v>100</v>
      </c>
      <c r="V25" s="444" t="s">
        <v>931</v>
      </c>
      <c r="W25" s="445">
        <f>J25</f>
        <v>100</v>
      </c>
      <c r="X25" s="446"/>
      <c r="Y25" s="3355"/>
      <c r="Z25" s="464" t="str">
        <f>Q25</f>
        <v>公共配套设施</v>
      </c>
      <c r="AA25" s="454">
        <f>D25/F25</f>
        <v>1</v>
      </c>
      <c r="AB25" s="454">
        <f>D25/H25</f>
        <v>1</v>
      </c>
      <c r="AC25" s="454">
        <f>D25/J25</f>
        <v>1</v>
      </c>
    </row>
    <row r="26" spans="1:29" s="190" customFormat="1" ht="15">
      <c r="A26" s="502"/>
      <c r="B26" s="275"/>
      <c r="C26" s="1744"/>
      <c r="D26" s="258"/>
      <c r="E26" s="569"/>
      <c r="F26" s="258"/>
      <c r="G26" s="569"/>
      <c r="H26" s="258"/>
      <c r="I26" s="257"/>
      <c r="J26" s="258"/>
      <c r="K26" s="1799"/>
      <c r="L26" s="380"/>
      <c r="M26" s="381"/>
      <c r="N26" s="381"/>
      <c r="O26" s="382"/>
      <c r="P26" s="3355"/>
      <c r="Q26" s="447"/>
      <c r="R26" s="444"/>
      <c r="S26" s="445"/>
      <c r="T26" s="444"/>
      <c r="U26" s="445"/>
      <c r="V26" s="444"/>
      <c r="W26" s="445"/>
      <c r="X26" s="446"/>
      <c r="Y26" s="3355"/>
      <c r="Z26" s="464"/>
      <c r="AA26" s="463">
        <v>1</v>
      </c>
      <c r="AB26" s="463">
        <v>1</v>
      </c>
      <c r="AC26" s="463">
        <v>1</v>
      </c>
    </row>
    <row r="27" spans="1:29" s="190" customFormat="1" ht="41.4">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800"/>
      <c r="L27" s="380"/>
      <c r="M27" s="381"/>
      <c r="N27" s="381"/>
      <c r="O27" s="382"/>
      <c r="P27" s="3355"/>
      <c r="Q27" s="447" t="str">
        <f t="shared" ref="Q27" si="9">B27</f>
        <v>基础设施水平</v>
      </c>
      <c r="R27" s="444" t="s">
        <v>931</v>
      </c>
      <c r="S27" s="445">
        <f>F27</f>
        <v>100</v>
      </c>
      <c r="T27" s="444" t="s">
        <v>931</v>
      </c>
      <c r="U27" s="445">
        <f>H27</f>
        <v>100</v>
      </c>
      <c r="V27" s="444" t="s">
        <v>931</v>
      </c>
      <c r="W27" s="445">
        <f>J27</f>
        <v>100</v>
      </c>
      <c r="X27" s="446"/>
      <c r="Y27" s="3355"/>
      <c r="Z27" s="464" t="str">
        <f>Q27</f>
        <v>基础设施水平</v>
      </c>
      <c r="AA27" s="454">
        <f>D27/F27</f>
        <v>1</v>
      </c>
      <c r="AB27" s="454">
        <f>D27/H27</f>
        <v>1</v>
      </c>
      <c r="AC27" s="454">
        <f>D27/J27</f>
        <v>1</v>
      </c>
    </row>
    <row r="28" spans="1:29" s="190" customFormat="1" ht="15">
      <c r="A28" s="502"/>
      <c r="B28" s="275"/>
      <c r="C28" s="1744"/>
      <c r="D28" s="258"/>
      <c r="E28" s="1745"/>
      <c r="F28" s="258"/>
      <c r="G28" s="1745"/>
      <c r="H28" s="258"/>
      <c r="I28" s="1745"/>
      <c r="J28" s="258"/>
      <c r="K28" s="1799"/>
      <c r="L28" s="380"/>
      <c r="M28" s="381"/>
      <c r="N28" s="381"/>
      <c r="O28" s="382"/>
      <c r="P28" s="3355"/>
      <c r="Q28" s="447"/>
      <c r="R28" s="444"/>
      <c r="S28" s="445"/>
      <c r="T28" s="444"/>
      <c r="U28" s="445"/>
      <c r="V28" s="444"/>
      <c r="W28" s="445"/>
      <c r="X28" s="446"/>
      <c r="Y28" s="3355"/>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800"/>
      <c r="L29" s="391"/>
      <c r="M29" s="378"/>
      <c r="N29" s="378"/>
      <c r="O29" s="390"/>
      <c r="P29" s="3355"/>
      <c r="Q29" s="383" t="str">
        <f t="shared" si="8"/>
        <v>临街状况</v>
      </c>
      <c r="R29" s="448" t="s">
        <v>931</v>
      </c>
      <c r="S29" s="449">
        <f t="shared" ref="S29:S42" si="10">F29</f>
        <v>100</v>
      </c>
      <c r="T29" s="448" t="s">
        <v>931</v>
      </c>
      <c r="U29" s="449">
        <f t="shared" ref="U29:U42" si="11">H29</f>
        <v>100</v>
      </c>
      <c r="V29" s="448" t="s">
        <v>931</v>
      </c>
      <c r="W29" s="449">
        <f t="shared" ref="W29:W42" si="12">J29</f>
        <v>100</v>
      </c>
      <c r="X29" s="443"/>
      <c r="Y29" s="3355"/>
      <c r="Z29" s="442" t="str">
        <f t="shared" ref="Z29:Z42" si="13">Q29</f>
        <v>临街状况</v>
      </c>
      <c r="AA29" s="454">
        <f t="shared" si="3"/>
        <v>1</v>
      </c>
      <c r="AB29" s="454">
        <f t="shared" si="4"/>
        <v>1</v>
      </c>
      <c r="AC29" s="454">
        <f t="shared" si="5"/>
        <v>1</v>
      </c>
    </row>
    <row r="30" spans="1:29" ht="28.8">
      <c r="A30" s="255"/>
      <c r="B30" s="538" t="s">
        <v>951</v>
      </c>
      <c r="C30" s="174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800"/>
      <c r="L30" s="391"/>
      <c r="M30" s="378"/>
      <c r="N30" s="378"/>
      <c r="O30" s="390"/>
      <c r="P30" s="3355"/>
      <c r="Q30" s="383" t="str">
        <f t="shared" si="8"/>
        <v>毗邻道路的类型与等级</v>
      </c>
      <c r="R30" s="448" t="s">
        <v>931</v>
      </c>
      <c r="S30" s="449">
        <f t="shared" si="10"/>
        <v>100</v>
      </c>
      <c r="T30" s="448" t="s">
        <v>931</v>
      </c>
      <c r="U30" s="449">
        <f t="shared" si="11"/>
        <v>100</v>
      </c>
      <c r="V30" s="448" t="s">
        <v>931</v>
      </c>
      <c r="W30" s="449">
        <f t="shared" si="12"/>
        <v>100</v>
      </c>
      <c r="X30" s="443"/>
      <c r="Y30" s="3355"/>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5"/>
      <c r="Q31" s="383"/>
      <c r="R31" s="448"/>
      <c r="S31" s="449"/>
      <c r="T31" s="448"/>
      <c r="U31" s="449"/>
      <c r="V31" s="448"/>
      <c r="W31" s="449"/>
      <c r="X31" s="443"/>
      <c r="Y31" s="3355"/>
      <c r="Z31" s="442"/>
      <c r="AA31" s="454">
        <v>1</v>
      </c>
      <c r="AB31" s="454">
        <v>1</v>
      </c>
      <c r="AC31" s="454">
        <v>1</v>
      </c>
    </row>
    <row r="32" spans="1:29" ht="15">
      <c r="A32" s="255"/>
      <c r="B32" s="289" t="s">
        <v>953</v>
      </c>
      <c r="C32" s="174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5"/>
      <c r="Q32" s="383" t="str">
        <f t="shared" si="8"/>
        <v>土地级别</v>
      </c>
      <c r="R32" s="448" t="s">
        <v>931</v>
      </c>
      <c r="S32" s="449">
        <f t="shared" si="10"/>
        <v>100</v>
      </c>
      <c r="T32" s="448" t="s">
        <v>931</v>
      </c>
      <c r="U32" s="449">
        <f t="shared" si="11"/>
        <v>100</v>
      </c>
      <c r="V32" s="448" t="s">
        <v>931</v>
      </c>
      <c r="W32" s="449">
        <f t="shared" si="12"/>
        <v>100</v>
      </c>
      <c r="X32" s="443"/>
      <c r="Y32" s="3355"/>
      <c r="Z32" s="442" t="str">
        <f t="shared" si="13"/>
        <v>土地级别</v>
      </c>
      <c r="AA32" s="454">
        <f t="shared" si="3"/>
        <v>1</v>
      </c>
      <c r="AB32" s="454">
        <f t="shared" si="4"/>
        <v>1</v>
      </c>
      <c r="AC32" s="454">
        <f t="shared" si="5"/>
        <v>1</v>
      </c>
    </row>
    <row r="33" spans="1:29" ht="15">
      <c r="A33" s="216"/>
      <c r="B33" s="539">
        <v>111</v>
      </c>
      <c r="C33" s="1743"/>
      <c r="D33" s="247">
        <v>100</v>
      </c>
      <c r="E33" s="1332"/>
      <c r="F33" s="247">
        <f>SUMIF(103:103,E33,104:104)-SUMIF(103:103,C33,104:104)+100</f>
        <v>100</v>
      </c>
      <c r="G33" s="1332"/>
      <c r="H33" s="247">
        <f>SUMIF(103:103,G33,104:104)-SUMIF(103:103,C33,104:104)+100</f>
        <v>100</v>
      </c>
      <c r="I33" s="360"/>
      <c r="J33" s="247">
        <f>SUMIF(103:103,I33,104:104)-SUMIF(103:103,C33,104:104)+100</f>
        <v>100</v>
      </c>
      <c r="K33" s="388"/>
      <c r="L33" s="391"/>
      <c r="M33" s="378"/>
      <c r="N33" s="378"/>
      <c r="O33" s="390"/>
      <c r="P33" s="3355"/>
      <c r="Q33" s="383">
        <f t="shared" si="8"/>
        <v>111</v>
      </c>
      <c r="R33" s="448" t="s">
        <v>931</v>
      </c>
      <c r="S33" s="449">
        <f t="shared" si="10"/>
        <v>100</v>
      </c>
      <c r="T33" s="448" t="s">
        <v>931</v>
      </c>
      <c r="U33" s="449">
        <f t="shared" si="11"/>
        <v>100</v>
      </c>
      <c r="V33" s="448" t="s">
        <v>931</v>
      </c>
      <c r="W33" s="449">
        <f t="shared" si="12"/>
        <v>100</v>
      </c>
      <c r="X33" s="443"/>
      <c r="Y33" s="3355"/>
      <c r="Z33" s="442">
        <f t="shared" si="13"/>
        <v>111</v>
      </c>
      <c r="AA33" s="454">
        <f t="shared" si="3"/>
        <v>1</v>
      </c>
      <c r="AB33" s="454">
        <f t="shared" si="4"/>
        <v>1</v>
      </c>
      <c r="AC33" s="454">
        <f t="shared" si="5"/>
        <v>1</v>
      </c>
    </row>
    <row r="34" spans="1:29" ht="15">
      <c r="A34" s="1748"/>
      <c r="B34" s="1749">
        <v>111</v>
      </c>
      <c r="C34" s="1743"/>
      <c r="D34" s="247">
        <v>100</v>
      </c>
      <c r="E34" s="1332"/>
      <c r="F34" s="247">
        <f>SUMIF(105:105,E35,106:106)-SUMIF(105:105,C35,106:106)+100</f>
        <v>100</v>
      </c>
      <c r="G34" s="1332"/>
      <c r="H34" s="247">
        <f>SUMIF(105:105,G34,106:106)-SUMIF(105:105,C34,106:106)+100</f>
        <v>100</v>
      </c>
      <c r="I34" s="1743"/>
      <c r="J34" s="247">
        <f>SUMIF(105:105,I34,106:106)-SUMIF(105:105,C34,106:106)+100</f>
        <v>100</v>
      </c>
      <c r="K34" s="388"/>
      <c r="L34" s="391"/>
      <c r="M34" s="378"/>
      <c r="N34" s="378"/>
      <c r="O34" s="390"/>
      <c r="P34" s="3356" t="s">
        <v>954</v>
      </c>
      <c r="Q34" s="383">
        <f t="shared" si="8"/>
        <v>111</v>
      </c>
      <c r="R34" s="448" t="s">
        <v>931</v>
      </c>
      <c r="S34" s="449">
        <f t="shared" si="10"/>
        <v>100</v>
      </c>
      <c r="T34" s="448" t="s">
        <v>931</v>
      </c>
      <c r="U34" s="449">
        <f t="shared" si="11"/>
        <v>100</v>
      </c>
      <c r="V34" s="448" t="s">
        <v>931</v>
      </c>
      <c r="W34" s="449">
        <f t="shared" si="12"/>
        <v>100</v>
      </c>
      <c r="X34" s="443"/>
      <c r="Y34" s="3357" t="s">
        <v>954</v>
      </c>
      <c r="Z34" s="442">
        <f t="shared" si="13"/>
        <v>111</v>
      </c>
      <c r="AA34" s="454">
        <f t="shared" si="3"/>
        <v>1</v>
      </c>
      <c r="AB34" s="454">
        <f t="shared" si="4"/>
        <v>1</v>
      </c>
      <c r="AC34" s="454">
        <f t="shared" si="5"/>
        <v>1</v>
      </c>
    </row>
    <row r="35" spans="1:29" s="192" customFormat="1" ht="15">
      <c r="A35" s="1750"/>
      <c r="B35" s="1751">
        <v>111</v>
      </c>
      <c r="C35" s="1752"/>
      <c r="D35" s="1753">
        <v>100</v>
      </c>
      <c r="E35" s="1754"/>
      <c r="F35" s="300">
        <f>SUMIF(107:107,E35,108:108)-SUMIF(107:107,C35,108:108)+100</f>
        <v>100</v>
      </c>
      <c r="G35" s="1754"/>
      <c r="H35" s="300">
        <f>SUMIF(107:107,G35,108:108)-SUMIF(107:107,C35,108:108)+100</f>
        <v>100</v>
      </c>
      <c r="I35" s="1752"/>
      <c r="J35" s="300">
        <f>SUMIF(107:107,I35,108:108)-SUMIF(107:107,C35,108:108)+100</f>
        <v>100</v>
      </c>
      <c r="K35" s="388"/>
      <c r="L35" s="389"/>
      <c r="M35" s="395"/>
      <c r="N35" s="395"/>
      <c r="O35" s="396"/>
      <c r="P35" s="3357"/>
      <c r="Q35" s="383">
        <f t="shared" si="8"/>
        <v>111</v>
      </c>
      <c r="R35" s="451" t="s">
        <v>931</v>
      </c>
      <c r="S35" s="452">
        <f t="shared" si="10"/>
        <v>100</v>
      </c>
      <c r="T35" s="451" t="s">
        <v>931</v>
      </c>
      <c r="U35" s="452">
        <f t="shared" si="11"/>
        <v>100</v>
      </c>
      <c r="V35" s="451" t="s">
        <v>931</v>
      </c>
      <c r="W35" s="452">
        <f t="shared" si="12"/>
        <v>100</v>
      </c>
      <c r="X35" s="453"/>
      <c r="Y35" s="3357"/>
      <c r="Z35" s="465">
        <f t="shared" si="13"/>
        <v>111</v>
      </c>
      <c r="AA35" s="454">
        <f t="shared" si="3"/>
        <v>1</v>
      </c>
      <c r="AB35" s="454">
        <f t="shared" si="4"/>
        <v>1</v>
      </c>
      <c r="AC35" s="454">
        <f t="shared" si="5"/>
        <v>1</v>
      </c>
    </row>
    <row r="36" spans="1:29" ht="15">
      <c r="A36" s="283" t="s">
        <v>955</v>
      </c>
      <c r="B36" s="275" t="s">
        <v>956</v>
      </c>
      <c r="C36" s="1755"/>
      <c r="D36" s="286">
        <v>100</v>
      </c>
      <c r="E36" s="1755"/>
      <c r="F36" s="286" t="e">
        <f>LOOKUP(E36,110:110,111:111)-LOOKUP(C36,110:110,111:111)+100</f>
        <v>#N/A</v>
      </c>
      <c r="G36" s="1755"/>
      <c r="H36" s="286" t="e">
        <f>LOOKUP(G36,110:110,111:111)-LOOKUP(C36,110:110,111:111)+100</f>
        <v>#N/A</v>
      </c>
      <c r="I36" s="351"/>
      <c r="J36" s="286" t="e">
        <f>LOOKUP(I36,110:110,111:111)-LOOKUP(C36,110:110,111:111)+100</f>
        <v>#N/A</v>
      </c>
      <c r="K36" s="388"/>
      <c r="L36" s="391"/>
      <c r="M36" s="378"/>
      <c r="N36" s="378"/>
      <c r="O36" s="390"/>
      <c r="P36" s="3357"/>
      <c r="Q36" s="383" t="str">
        <f t="shared" si="8"/>
        <v>宗地面积</v>
      </c>
      <c r="R36" s="448" t="s">
        <v>931</v>
      </c>
      <c r="S36" s="449" t="e">
        <f t="shared" si="10"/>
        <v>#N/A</v>
      </c>
      <c r="T36" s="448" t="s">
        <v>931</v>
      </c>
      <c r="U36" s="449" t="e">
        <f t="shared" si="11"/>
        <v>#N/A</v>
      </c>
      <c r="V36" s="448" t="s">
        <v>931</v>
      </c>
      <c r="W36" s="449" t="e">
        <f t="shared" si="12"/>
        <v>#N/A</v>
      </c>
      <c r="X36" s="443"/>
      <c r="Y36" s="3357"/>
      <c r="Z36" s="442" t="str">
        <f t="shared" si="13"/>
        <v>宗地面积</v>
      </c>
      <c r="AA36" s="454" t="e">
        <f t="shared" si="3"/>
        <v>#N/A</v>
      </c>
      <c r="AB36" s="454" t="e">
        <f t="shared" si="4"/>
        <v>#N/A</v>
      </c>
      <c r="AC36" s="454" t="e">
        <f t="shared" si="5"/>
        <v>#N/A</v>
      </c>
    </row>
    <row r="37" spans="1:29" ht="15">
      <c r="A37" s="293"/>
      <c r="B37" s="289" t="s">
        <v>957</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7"/>
      <c r="Q37" s="383" t="str">
        <f t="shared" ref="Q37:Q42" si="14">B37</f>
        <v>宗地形状</v>
      </c>
      <c r="R37" s="448" t="s">
        <v>931</v>
      </c>
      <c r="S37" s="449">
        <f t="shared" si="10"/>
        <v>100</v>
      </c>
      <c r="T37" s="448" t="s">
        <v>931</v>
      </c>
      <c r="U37" s="449">
        <f t="shared" si="11"/>
        <v>100</v>
      </c>
      <c r="V37" s="448" t="s">
        <v>931</v>
      </c>
      <c r="W37" s="449">
        <f t="shared" si="12"/>
        <v>100</v>
      </c>
      <c r="X37" s="443"/>
      <c r="Y37" s="3357"/>
      <c r="Z37" s="442" t="str">
        <f t="shared" si="13"/>
        <v>宗地形状</v>
      </c>
      <c r="AA37" s="454">
        <f t="shared" si="3"/>
        <v>1</v>
      </c>
      <c r="AB37" s="454">
        <f t="shared" si="4"/>
        <v>1</v>
      </c>
      <c r="AC37" s="454">
        <f t="shared" si="5"/>
        <v>1</v>
      </c>
    </row>
    <row r="38" spans="1:29" s="190" customFormat="1" ht="15">
      <c r="A38" s="296"/>
      <c r="B38" s="544" t="s">
        <v>962</v>
      </c>
      <c r="C38" s="1756"/>
      <c r="D38" s="237">
        <v>100</v>
      </c>
      <c r="E38" s="1756"/>
      <c r="F38" s="247">
        <f>SUMIF(114:114,E38,115:115)-SUMIF(114:114,C38,115:115)+100</f>
        <v>100</v>
      </c>
      <c r="G38" s="1756"/>
      <c r="H38" s="247">
        <f>SUMIF(114:114,G38,115:115)-SUMIF(114:114,C38,115:115)+100</f>
        <v>100</v>
      </c>
      <c r="I38" s="1756"/>
      <c r="J38" s="247">
        <f>SUMIF(114:114,I38,115:115)-SUMIF(114:114,C38,115:115)+100</f>
        <v>100</v>
      </c>
      <c r="K38" s="384"/>
      <c r="L38" s="380"/>
      <c r="M38" s="381"/>
      <c r="N38" s="381"/>
      <c r="O38" s="382"/>
      <c r="P38" s="3357"/>
      <c r="Q38" s="383" t="str">
        <f t="shared" si="14"/>
        <v>宗地开发程度</v>
      </c>
      <c r="R38" s="444" t="s">
        <v>931</v>
      </c>
      <c r="S38" s="445">
        <f t="shared" si="10"/>
        <v>100</v>
      </c>
      <c r="T38" s="444" t="s">
        <v>931</v>
      </c>
      <c r="U38" s="445">
        <f t="shared" si="11"/>
        <v>100</v>
      </c>
      <c r="V38" s="444" t="s">
        <v>931</v>
      </c>
      <c r="W38" s="445">
        <f t="shared" si="12"/>
        <v>100</v>
      </c>
      <c r="X38" s="446"/>
      <c r="Y38" s="3357"/>
      <c r="Z38" s="464" t="str">
        <f t="shared" si="13"/>
        <v>宗地开发程度</v>
      </c>
      <c r="AA38" s="463">
        <f t="shared" si="3"/>
        <v>1</v>
      </c>
      <c r="AB38" s="463">
        <f t="shared" si="4"/>
        <v>1</v>
      </c>
      <c r="AC38" s="463">
        <f t="shared" si="5"/>
        <v>1</v>
      </c>
    </row>
    <row r="39" spans="1:29" ht="15">
      <c r="A39" s="293"/>
      <c r="B39" s="289" t="s">
        <v>963</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7" t="s">
        <v>954</v>
      </c>
      <c r="Q39" s="383" t="str">
        <f t="shared" si="14"/>
        <v>工程地质条件</v>
      </c>
      <c r="R39" s="448" t="s">
        <v>931</v>
      </c>
      <c r="S39" s="449">
        <f t="shared" si="10"/>
        <v>100</v>
      </c>
      <c r="T39" s="448" t="s">
        <v>931</v>
      </c>
      <c r="U39" s="449">
        <f t="shared" si="11"/>
        <v>100</v>
      </c>
      <c r="V39" s="448" t="s">
        <v>931</v>
      </c>
      <c r="W39" s="449">
        <f t="shared" si="12"/>
        <v>100</v>
      </c>
      <c r="X39" s="443"/>
      <c r="Y39" s="3357" t="s">
        <v>954</v>
      </c>
      <c r="Z39" s="442" t="str">
        <f t="shared" si="13"/>
        <v>工程地质条件</v>
      </c>
      <c r="AA39" s="454">
        <f t="shared" si="3"/>
        <v>1</v>
      </c>
      <c r="AB39" s="454">
        <f t="shared" si="4"/>
        <v>1</v>
      </c>
      <c r="AC39" s="454">
        <f t="shared" si="5"/>
        <v>1</v>
      </c>
    </row>
    <row r="40" spans="1:29" ht="15">
      <c r="A40" s="293"/>
      <c r="B40" s="1749">
        <v>111</v>
      </c>
      <c r="C40" s="1743"/>
      <c r="D40" s="247">
        <v>100</v>
      </c>
      <c r="E40" s="1743"/>
      <c r="F40" s="247">
        <f>SUMIF(118:118,E40,119:119)-SUMIF(118:118,C40,119:119)+100</f>
        <v>100</v>
      </c>
      <c r="G40" s="1743"/>
      <c r="H40" s="247">
        <f>SUMIF(118:118,G40,119:119)-SUMIF(118:118,C40,119:119)+100</f>
        <v>100</v>
      </c>
      <c r="I40" s="360"/>
      <c r="J40" s="247">
        <f>SUMIF(118:118,I40,119:119)-SUMIF(118:118,C40,119:119)+100</f>
        <v>100</v>
      </c>
      <c r="K40" s="388"/>
      <c r="L40" s="391"/>
      <c r="M40" s="378"/>
      <c r="N40" s="378"/>
      <c r="O40" s="390"/>
      <c r="P40" s="3357"/>
      <c r="Q40" s="383">
        <f t="shared" si="14"/>
        <v>111</v>
      </c>
      <c r="R40" s="448" t="s">
        <v>931</v>
      </c>
      <c r="S40" s="449">
        <f t="shared" si="10"/>
        <v>100</v>
      </c>
      <c r="T40" s="448" t="s">
        <v>931</v>
      </c>
      <c r="U40" s="449">
        <f t="shared" si="11"/>
        <v>100</v>
      </c>
      <c r="V40" s="448" t="s">
        <v>931</v>
      </c>
      <c r="W40" s="449">
        <f t="shared" si="12"/>
        <v>100</v>
      </c>
      <c r="X40" s="443"/>
      <c r="Y40" s="3357"/>
      <c r="Z40" s="442">
        <f t="shared" si="13"/>
        <v>111</v>
      </c>
      <c r="AA40" s="454">
        <f t="shared" si="3"/>
        <v>1</v>
      </c>
      <c r="AB40" s="454">
        <f t="shared" si="4"/>
        <v>1</v>
      </c>
      <c r="AC40" s="454">
        <f t="shared" si="5"/>
        <v>1</v>
      </c>
    </row>
    <row r="41" spans="1:29" ht="15">
      <c r="A41" s="293"/>
      <c r="B41" s="1749">
        <v>111</v>
      </c>
      <c r="C41" s="1743"/>
      <c r="D41" s="247">
        <v>100</v>
      </c>
      <c r="E41" s="1743"/>
      <c r="F41" s="247">
        <f>SUMIF(120:120,E41,121:121)-SUMIF(120:120,C41,121:121)+100</f>
        <v>100</v>
      </c>
      <c r="G41" s="1743"/>
      <c r="H41" s="247">
        <f>SUMIF(120:120,G41,121:121)-SUMIF(120:120,C41,121:121)+100</f>
        <v>100</v>
      </c>
      <c r="I41" s="360"/>
      <c r="J41" s="247">
        <f>SUMIF(120:120,I41,121:121)-SUMIF(120:120,C41,121:121)+100</f>
        <v>100</v>
      </c>
      <c r="K41" s="388"/>
      <c r="L41" s="391"/>
      <c r="M41" s="378"/>
      <c r="N41" s="378"/>
      <c r="O41" s="390"/>
      <c r="P41" s="3357"/>
      <c r="Q41" s="383">
        <f t="shared" si="14"/>
        <v>111</v>
      </c>
      <c r="R41" s="448" t="s">
        <v>931</v>
      </c>
      <c r="S41" s="449">
        <f t="shared" si="10"/>
        <v>100</v>
      </c>
      <c r="T41" s="448" t="s">
        <v>931</v>
      </c>
      <c r="U41" s="449">
        <f t="shared" si="11"/>
        <v>100</v>
      </c>
      <c r="V41" s="448" t="s">
        <v>931</v>
      </c>
      <c r="W41" s="449">
        <f t="shared" si="12"/>
        <v>100</v>
      </c>
      <c r="X41" s="443"/>
      <c r="Y41" s="3357"/>
      <c r="Z41" s="442">
        <f t="shared" si="13"/>
        <v>111</v>
      </c>
      <c r="AA41" s="454">
        <f t="shared" si="3"/>
        <v>1</v>
      </c>
      <c r="AB41" s="454">
        <f t="shared" si="4"/>
        <v>1</v>
      </c>
      <c r="AC41" s="454">
        <f t="shared" si="5"/>
        <v>1</v>
      </c>
    </row>
    <row r="42" spans="1:29" s="192" customFormat="1" ht="15">
      <c r="A42" s="288"/>
      <c r="B42" s="1749">
        <v>111</v>
      </c>
      <c r="C42" s="1757"/>
      <c r="D42" s="1753">
        <v>100</v>
      </c>
      <c r="E42" s="1743"/>
      <c r="F42" s="300">
        <f>SUMIF(122:122,E42,123:123)-SUMIF(122:122,C42,123:123)+100</f>
        <v>100</v>
      </c>
      <c r="G42" s="1743"/>
      <c r="H42" s="300">
        <f>SUMIF(122:122,G42,123:123)-SUMIF(122:122,C42,123:123)+100</f>
        <v>100</v>
      </c>
      <c r="I42" s="360"/>
      <c r="J42" s="300">
        <f>SUMIF(122:122,I42,123:123)-SUMIF(122:122,C42,123:123)+100</f>
        <v>100</v>
      </c>
      <c r="K42" s="1803"/>
      <c r="L42" s="389"/>
      <c r="M42" s="395"/>
      <c r="N42" s="395"/>
      <c r="O42" s="396"/>
      <c r="P42" s="3357"/>
      <c r="Q42" s="383">
        <f t="shared" si="14"/>
        <v>111</v>
      </c>
      <c r="R42" s="451" t="s">
        <v>931</v>
      </c>
      <c r="S42" s="452">
        <f t="shared" si="10"/>
        <v>100</v>
      </c>
      <c r="T42" s="451" t="s">
        <v>931</v>
      </c>
      <c r="U42" s="452">
        <f t="shared" si="11"/>
        <v>100</v>
      </c>
      <c r="V42" s="451" t="s">
        <v>931</v>
      </c>
      <c r="W42" s="452">
        <f t="shared" si="12"/>
        <v>100</v>
      </c>
      <c r="X42" s="453"/>
      <c r="Y42" s="3357"/>
      <c r="Z42" s="465">
        <f t="shared" si="13"/>
        <v>111</v>
      </c>
      <c r="AA42" s="454">
        <f t="shared" si="3"/>
        <v>1</v>
      </c>
      <c r="AB42" s="454">
        <f t="shared" si="4"/>
        <v>1</v>
      </c>
      <c r="AC42" s="454">
        <f t="shared" si="5"/>
        <v>1</v>
      </c>
    </row>
    <row r="43" spans="1:29" ht="14.4">
      <c r="A43" s="303" t="s">
        <v>964</v>
      </c>
      <c r="B43" s="1758" t="s">
        <v>1106</v>
      </c>
      <c r="C43" s="1759" t="s">
        <v>138</v>
      </c>
      <c r="D43" s="1760"/>
      <c r="E43" s="1761"/>
      <c r="F43" s="1762"/>
      <c r="G43" s="1763"/>
      <c r="H43" s="1764"/>
      <c r="I43" s="1761"/>
      <c r="J43" s="1764"/>
      <c r="K43" s="1804"/>
      <c r="L43" s="398"/>
      <c r="M43" s="378"/>
      <c r="N43" s="378"/>
      <c r="O43" s="319"/>
      <c r="P43" s="3353" t="str">
        <f>A43</f>
        <v>成交单价</v>
      </c>
      <c r="Q43" s="3353"/>
      <c r="R43" s="3362">
        <f>E43</f>
        <v>0</v>
      </c>
      <c r="S43" s="3362"/>
      <c r="T43" s="3362">
        <f>G43</f>
        <v>0</v>
      </c>
      <c r="U43" s="3362"/>
      <c r="V43" s="3362">
        <f>I43</f>
        <v>0</v>
      </c>
      <c r="W43" s="3362"/>
      <c r="X43" s="330"/>
      <c r="Y43" s="466"/>
      <c r="Z43" s="330"/>
      <c r="AA43" s="330"/>
      <c r="AB43" s="330"/>
      <c r="AC43" s="330"/>
    </row>
    <row r="44" spans="1:29" ht="14.4">
      <c r="A44" s="311" t="s">
        <v>965</v>
      </c>
      <c r="B44" s="1765"/>
      <c r="C44" s="1766" t="e">
        <f>R45</f>
        <v>#DIV/0!</v>
      </c>
      <c r="D44" s="1767"/>
      <c r="E44" s="1766" t="e">
        <f>R44</f>
        <v>#DIV/0!</v>
      </c>
      <c r="F44" s="1768"/>
      <c r="G44" s="1769" t="e">
        <f>T44</f>
        <v>#DIV/0!</v>
      </c>
      <c r="H44" s="1767"/>
      <c r="I44" s="1766" t="e">
        <f>V44</f>
        <v>#DIV/0!</v>
      </c>
      <c r="J44" s="1767"/>
      <c r="K44" s="1805"/>
      <c r="L44" s="398"/>
      <c r="M44" s="378"/>
      <c r="N44" s="378"/>
      <c r="O44" s="319"/>
      <c r="P44" s="3353" t="str">
        <f>A44</f>
        <v>比较价格（元/平方米）</v>
      </c>
      <c r="Q44" s="3353"/>
      <c r="R44" s="3358" t="e">
        <f>ROUND(PRODUCT(R43,AA9:AA42),0)</f>
        <v>#DIV/0!</v>
      </c>
      <c r="S44" s="3358"/>
      <c r="T44" s="3358" t="e">
        <f>ROUND(PRODUCT(T43,AB9:AB42),0)</f>
        <v>#DIV/0!</v>
      </c>
      <c r="U44" s="3358"/>
      <c r="V44" s="3358" t="e">
        <f>ROUND(PRODUCT(V43,AC9:AC42),0)</f>
        <v>#DIV/0!</v>
      </c>
      <c r="W44" s="3358"/>
      <c r="X44" s="330"/>
      <c r="Y44" s="330"/>
      <c r="Z44" s="330"/>
      <c r="AA44" s="330"/>
      <c r="AB44" s="330"/>
      <c r="AC44" s="330"/>
    </row>
    <row r="45" spans="1:29" ht="14.4">
      <c r="A45" s="316" t="s">
        <v>966</v>
      </c>
      <c r="B45" s="317"/>
      <c r="C45" s="1770" t="e">
        <f>R45</f>
        <v>#DIV/0!</v>
      </c>
      <c r="D45" s="1770"/>
      <c r="E45" s="1770"/>
      <c r="F45" s="1770"/>
      <c r="G45" s="1770"/>
      <c r="H45" s="1770"/>
      <c r="I45" s="1770"/>
      <c r="J45" s="1770"/>
      <c r="K45" s="1806"/>
      <c r="L45" s="398"/>
      <c r="M45" s="378"/>
      <c r="N45" s="378"/>
      <c r="O45" s="319"/>
      <c r="P45" s="3359" t="str">
        <f>A45</f>
        <v>估价对象XX用房的比较价格（楼面单价，元/平方米）</v>
      </c>
      <c r="Q45" s="3360"/>
      <c r="R45" s="3361" t="e">
        <f>ROUND(AVERAGE(R44:V44),0)</f>
        <v>#DIV/0!</v>
      </c>
      <c r="S45" s="3361"/>
      <c r="T45" s="3361"/>
      <c r="U45" s="3361"/>
      <c r="V45" s="3361"/>
      <c r="W45" s="3361"/>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967</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968</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969</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8.8">
      <c r="A52" s="1771" t="s">
        <v>970</v>
      </c>
      <c r="B52" s="1772" t="s">
        <v>971</v>
      </c>
      <c r="C52" s="1773" t="s">
        <v>972</v>
      </c>
      <c r="D52" s="1774" t="s">
        <v>973</v>
      </c>
      <c r="E52" s="1775" t="s">
        <v>974</v>
      </c>
      <c r="F52" s="1776" t="s">
        <v>975</v>
      </c>
      <c r="G52" s="3390" t="s">
        <v>976</v>
      </c>
      <c r="H52" s="3391"/>
      <c r="I52" s="1807" t="s">
        <v>427</v>
      </c>
      <c r="J52" s="1808" t="str">
        <f>项目基本情况!F41</f>
        <v>江苏省苏州市姑苏区</v>
      </c>
      <c r="K52" s="1809" t="s">
        <v>977</v>
      </c>
      <c r="L52" s="403"/>
      <c r="M52" s="319"/>
      <c r="N52" s="319"/>
      <c r="O52" s="319"/>
      <c r="P52" s="319"/>
      <c r="Q52" s="319"/>
      <c r="R52" s="319"/>
      <c r="S52" s="319"/>
      <c r="T52" s="319"/>
      <c r="U52" s="319"/>
      <c r="V52" s="319"/>
      <c r="W52" s="319"/>
      <c r="X52" s="319"/>
      <c r="Y52" s="319"/>
      <c r="Z52" s="319"/>
      <c r="AA52" s="319"/>
      <c r="AB52" s="319"/>
      <c r="AC52" s="319"/>
    </row>
    <row r="53" spans="1:29" s="1736" customFormat="1" ht="13.2">
      <c r="A53" s="1777" t="s">
        <v>978</v>
      </c>
      <c r="B53" s="1778" t="e">
        <f>C45</f>
        <v>#DIV/0!</v>
      </c>
      <c r="C53" s="1779">
        <v>1</v>
      </c>
      <c r="D53" s="1780">
        <v>1</v>
      </c>
      <c r="E53" s="1779">
        <f>'数据-汇总表'!E8+'数据-汇总表'!E9</f>
        <v>99302.86</v>
      </c>
      <c r="F53" s="1781" t="e">
        <f t="shared" ref="F53:F62" si="15">ROUND(B53*E53/10000,0)</f>
        <v>#DIV/0!</v>
      </c>
      <c r="G53" s="3392"/>
      <c r="H53" s="3393"/>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6" customFormat="1" ht="13.2">
      <c r="A54" s="1782" t="s">
        <v>979</v>
      </c>
      <c r="B54" s="1783" t="e">
        <f>ROUND($C$45*C54*D54,0)</f>
        <v>#DIV/0!</v>
      </c>
      <c r="C54" s="1555">
        <f t="shared" ref="C54:C62" si="16">IF($C$52="北京市系数",I54,J54)</f>
        <v>0</v>
      </c>
      <c r="D54" s="1784">
        <v>0.25</v>
      </c>
      <c r="E54" s="1785"/>
      <c r="F54" s="1781" t="e">
        <f t="shared" si="15"/>
        <v>#DIV/0!</v>
      </c>
      <c r="G54" s="3389" t="s">
        <v>980</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6" customFormat="1" ht="13.2">
      <c r="A55" s="1782" t="s">
        <v>981</v>
      </c>
      <c r="B55" s="1783" t="e">
        <f t="shared" ref="B55:B62" si="17">ROUND($C$45*C55*D55,0)</f>
        <v>#DIV/0!</v>
      </c>
      <c r="C55" s="1555">
        <f t="shared" si="16"/>
        <v>0</v>
      </c>
      <c r="D55" s="1784">
        <v>0.25</v>
      </c>
      <c r="E55" s="1785"/>
      <c r="F55" s="1781" t="e">
        <f t="shared" si="15"/>
        <v>#DIV/0!</v>
      </c>
      <c r="G55" s="3389"/>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6" customFormat="1" ht="13.2">
      <c r="A56" s="1782" t="s">
        <v>982</v>
      </c>
      <c r="B56" s="1783" t="e">
        <f t="shared" si="17"/>
        <v>#DIV/0!</v>
      </c>
      <c r="C56" s="1555">
        <f t="shared" si="16"/>
        <v>0</v>
      </c>
      <c r="D56" s="1784">
        <v>0.25</v>
      </c>
      <c r="E56" s="1785"/>
      <c r="F56" s="1781" t="e">
        <f t="shared" si="15"/>
        <v>#DIV/0!</v>
      </c>
      <c r="G56" s="3389"/>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6" customFormat="1" ht="13.2">
      <c r="A57" s="1782" t="s">
        <v>983</v>
      </c>
      <c r="B57" s="1783" t="e">
        <f t="shared" si="17"/>
        <v>#DIV/0!</v>
      </c>
      <c r="C57" s="1555">
        <f t="shared" si="16"/>
        <v>0</v>
      </c>
      <c r="D57" s="1784">
        <v>0.25</v>
      </c>
      <c r="E57" s="1785"/>
      <c r="F57" s="1781" t="e">
        <f t="shared" si="15"/>
        <v>#DIV/0!</v>
      </c>
      <c r="G57" s="3389"/>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6" customFormat="1" ht="13.2">
      <c r="A58" s="1789" t="s">
        <v>534</v>
      </c>
      <c r="B58" s="1783" t="e">
        <f t="shared" si="17"/>
        <v>#DIV/0!</v>
      </c>
      <c r="C58" s="1555">
        <f t="shared" si="16"/>
        <v>0</v>
      </c>
      <c r="D58" s="1784">
        <v>0.25</v>
      </c>
      <c r="E58" s="1790">
        <f>'数据-汇总表'!E11</f>
        <v>0</v>
      </c>
      <c r="F58" s="1781" t="e">
        <f t="shared" si="15"/>
        <v>#DIV/0!</v>
      </c>
      <c r="G58" s="1786" t="s">
        <v>984</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6" customFormat="1" ht="13.2">
      <c r="A59" s="1782" t="s">
        <v>985</v>
      </c>
      <c r="B59" s="1783" t="e">
        <f t="shared" si="17"/>
        <v>#DIV/0!</v>
      </c>
      <c r="C59" s="1555">
        <f t="shared" si="16"/>
        <v>0</v>
      </c>
      <c r="D59" s="1784">
        <v>0.25</v>
      </c>
      <c r="E59" s="1790">
        <f>'数据-汇总表'!E12</f>
        <v>0</v>
      </c>
      <c r="F59" s="1781" t="e">
        <f t="shared" si="15"/>
        <v>#DIV/0!</v>
      </c>
      <c r="G59" s="1791" t="s">
        <v>381</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6" customFormat="1" ht="13.2">
      <c r="A60" s="1782" t="s">
        <v>986</v>
      </c>
      <c r="B60" s="1783" t="e">
        <f t="shared" si="17"/>
        <v>#DIV/0!</v>
      </c>
      <c r="C60" s="1555">
        <f t="shared" si="16"/>
        <v>0</v>
      </c>
      <c r="D60" s="1784">
        <v>0.25</v>
      </c>
      <c r="E60" s="1790">
        <f>'数据-汇总表'!E13</f>
        <v>16213.73</v>
      </c>
      <c r="F60" s="1781" t="e">
        <f t="shared" si="15"/>
        <v>#DIV/0!</v>
      </c>
      <c r="G60" s="1791" t="s">
        <v>379</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6" customFormat="1" ht="13.2">
      <c r="A61" s="1782" t="s">
        <v>987</v>
      </c>
      <c r="B61" s="1783" t="e">
        <f t="shared" si="17"/>
        <v>#DIV/0!</v>
      </c>
      <c r="C61" s="1555">
        <f t="shared" si="16"/>
        <v>0</v>
      </c>
      <c r="D61" s="1784">
        <v>0.25</v>
      </c>
      <c r="E61" s="1790">
        <f>'数据-汇总表'!E14</f>
        <v>0</v>
      </c>
      <c r="F61" s="1781" t="e">
        <f t="shared" si="15"/>
        <v>#DIV/0!</v>
      </c>
      <c r="G61" s="1786" t="s">
        <v>980</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6" customFormat="1" ht="13.2">
      <c r="A62" s="1782" t="s">
        <v>988</v>
      </c>
      <c r="B62" s="1783" t="e">
        <f t="shared" si="17"/>
        <v>#DIV/0!</v>
      </c>
      <c r="C62" s="1555">
        <f t="shared" si="16"/>
        <v>0</v>
      </c>
      <c r="D62" s="1784">
        <v>0.25</v>
      </c>
      <c r="E62" s="1790">
        <f>'数据-汇总表'!E15</f>
        <v>0</v>
      </c>
      <c r="F62" s="1781" t="e">
        <f t="shared" si="15"/>
        <v>#DIV/0!</v>
      </c>
      <c r="G62" s="1792" t="s">
        <v>984</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6" customFormat="1" ht="13.2">
      <c r="A63" s="1794" t="s">
        <v>989</v>
      </c>
      <c r="B63" s="1795" t="s">
        <v>990</v>
      </c>
      <c r="C63" s="1795" t="s">
        <v>990</v>
      </c>
      <c r="D63" s="1795" t="s">
        <v>990</v>
      </c>
      <c r="E63" s="1795">
        <f>IF(B43="楼面地价",SUM(E53:E62),'数据-汇总表'!D3)</f>
        <v>10309.6</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4" t="str">
        <f>YEAR(C9)&amp;"-"&amp;MONTH(C9)&amp;"-1"</f>
        <v>2019-7-1</v>
      </c>
      <c r="D65" s="1815">
        <f>EDATE(C65,-3)</f>
        <v>43556</v>
      </c>
      <c r="E65" s="1815">
        <f t="shared" ref="E65:N65" si="18">EDATE(D65,-3)</f>
        <v>43466</v>
      </c>
      <c r="F65" s="1815">
        <f t="shared" si="18"/>
        <v>43374</v>
      </c>
      <c r="G65" s="1815">
        <f t="shared" si="18"/>
        <v>43282</v>
      </c>
      <c r="H65" s="1815">
        <f t="shared" si="18"/>
        <v>43191</v>
      </c>
      <c r="I65" s="1815">
        <f t="shared" si="18"/>
        <v>43101</v>
      </c>
      <c r="J65" s="1815">
        <f t="shared" si="18"/>
        <v>43009</v>
      </c>
      <c r="K65" s="1815">
        <f t="shared" si="18"/>
        <v>42917</v>
      </c>
      <c r="L65" s="1815">
        <f t="shared" si="18"/>
        <v>42826</v>
      </c>
      <c r="M65" s="1815">
        <f t="shared" si="18"/>
        <v>42736</v>
      </c>
      <c r="N65" s="1815">
        <f t="shared" si="18"/>
        <v>42644</v>
      </c>
      <c r="O65" s="319"/>
      <c r="P65" s="319"/>
      <c r="Q65" s="319"/>
      <c r="R65" s="319"/>
      <c r="S65" s="319"/>
      <c r="T65" s="319"/>
      <c r="U65" s="319"/>
      <c r="V65" s="319"/>
      <c r="W65" s="319"/>
      <c r="X65" s="319"/>
      <c r="Y65" s="319"/>
      <c r="Z65" s="319"/>
      <c r="AA65" s="319"/>
      <c r="AB65" s="319"/>
      <c r="AC65" s="319"/>
    </row>
    <row r="66" spans="1:29" ht="21.6">
      <c r="A66" s="329" t="s">
        <v>991</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4.4">
      <c r="A67" s="1816" t="s">
        <v>1107</v>
      </c>
      <c r="B67" s="334"/>
      <c r="C67" s="1817" t="str">
        <f>YEAR(C65)&amp;"-"&amp;ROUNDUP(MONTH(C65)/3,0)</f>
        <v>2019-3</v>
      </c>
      <c r="D67" s="1817" t="str">
        <f t="shared" ref="D67:N67" si="19">YEAR(D65)&amp;"-"&amp;ROUNDUP(MONTH(D65)/3,0)</f>
        <v>2019-2</v>
      </c>
      <c r="E67" s="1817" t="str">
        <f t="shared" si="19"/>
        <v>2019-1</v>
      </c>
      <c r="F67" s="1817" t="str">
        <f t="shared" si="19"/>
        <v>2018-4</v>
      </c>
      <c r="G67" s="1817" t="str">
        <f t="shared" si="19"/>
        <v>2018-3</v>
      </c>
      <c r="H67" s="1817" t="str">
        <f t="shared" si="19"/>
        <v>2018-2</v>
      </c>
      <c r="I67" s="1817" t="str">
        <f t="shared" si="19"/>
        <v>2018-1</v>
      </c>
      <c r="J67" s="1817" t="str">
        <f t="shared" si="19"/>
        <v>2017-4</v>
      </c>
      <c r="K67" s="1817" t="str">
        <f t="shared" si="19"/>
        <v>2017-3</v>
      </c>
      <c r="L67" s="1817" t="str">
        <f t="shared" si="19"/>
        <v>2017-2</v>
      </c>
      <c r="M67" s="1817" t="str">
        <f t="shared" si="19"/>
        <v>2017-1</v>
      </c>
      <c r="N67" s="1817" t="str">
        <f t="shared" si="19"/>
        <v>2016-4</v>
      </c>
      <c r="O67" s="1825"/>
      <c r="P67" s="409"/>
      <c r="Q67" s="455"/>
      <c r="R67" s="455"/>
      <c r="S67" s="455"/>
      <c r="T67" s="455"/>
      <c r="U67" s="455"/>
      <c r="V67" s="455"/>
      <c r="W67" s="455"/>
      <c r="X67" s="455"/>
      <c r="Y67" s="455"/>
      <c r="Z67" s="455"/>
      <c r="AA67" s="455"/>
      <c r="AB67" s="455"/>
      <c r="AC67" s="455"/>
    </row>
    <row r="68" spans="1:29" s="190" customFormat="1" ht="27.75" customHeight="1">
      <c r="A68" s="1818" t="s">
        <v>164</v>
      </c>
      <c r="B68" s="1819" t="str">
        <f>"北京市平均增长率"&amp;TEXT(基准地价!P24,"0.00%")</f>
        <v>北京市平均增长率0.00%</v>
      </c>
      <c r="C68" s="472">
        <v>100</v>
      </c>
      <c r="D68" s="475"/>
      <c r="E68" s="475"/>
      <c r="F68" s="475"/>
      <c r="G68" s="475"/>
      <c r="H68" s="475"/>
      <c r="I68" s="475"/>
      <c r="J68" s="475"/>
      <c r="K68" s="475"/>
      <c r="L68" s="475"/>
      <c r="M68" s="1826"/>
      <c r="N68" s="1827"/>
      <c r="O68" s="417"/>
      <c r="P68" s="412"/>
      <c r="Q68" s="456"/>
      <c r="R68" s="456"/>
      <c r="S68" s="456"/>
      <c r="T68" s="456"/>
      <c r="U68" s="456"/>
      <c r="V68" s="456"/>
      <c r="W68" s="456"/>
      <c r="X68" s="456"/>
      <c r="Y68" s="456"/>
      <c r="Z68" s="456"/>
      <c r="AA68" s="456"/>
      <c r="AB68" s="456"/>
      <c r="AC68" s="456"/>
    </row>
    <row r="69" spans="1:29" s="190" customFormat="1" ht="14.4">
      <c r="A69" s="341" t="s">
        <v>1108</v>
      </c>
      <c r="B69" s="342"/>
      <c r="C69" s="1820"/>
      <c r="D69" s="1821"/>
      <c r="E69" s="1821"/>
      <c r="F69" s="1821"/>
      <c r="G69" s="1821"/>
      <c r="H69" s="1821"/>
      <c r="I69" s="1821"/>
      <c r="J69" s="1821"/>
      <c r="K69" s="1821"/>
      <c r="L69" s="1821"/>
      <c r="M69" s="1821"/>
      <c r="N69" s="1821"/>
      <c r="O69" s="417"/>
      <c r="P69" s="412"/>
      <c r="Q69" s="412"/>
      <c r="R69" s="456"/>
      <c r="S69" s="456"/>
      <c r="T69" s="456"/>
      <c r="U69" s="456"/>
      <c r="V69" s="456"/>
      <c r="W69" s="456"/>
      <c r="X69" s="456"/>
      <c r="Y69" s="456"/>
      <c r="Z69" s="456"/>
      <c r="AA69" s="456"/>
      <c r="AB69" s="456"/>
      <c r="AC69" s="456"/>
    </row>
    <row r="70" spans="1:29" s="190" customFormat="1" ht="14.4">
      <c r="A70" s="345" t="s">
        <v>932</v>
      </c>
      <c r="B70" s="338"/>
      <c r="C70" s="346" t="s">
        <v>933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ht="14.4">
      <c r="A72" s="348" t="s">
        <v>995</v>
      </c>
      <c r="B72" s="349" t="s">
        <v>996</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8.8">
      <c r="A74" s="352"/>
      <c r="B74" s="355" t="s">
        <v>997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4.4">
      <c r="A76" s="352"/>
      <c r="B76" s="469" t="s">
        <v>998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ht="14.4">
      <c r="A85" s="348" t="s">
        <v>999</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4.4">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8.8">
      <c r="A89" s="471"/>
      <c r="B89" s="355" t="s">
        <v>232</v>
      </c>
      <c r="C89" s="368" t="s">
        <v>248</v>
      </c>
      <c r="D89" s="368" t="s">
        <v>260</v>
      </c>
      <c r="E89" s="368" t="s">
        <v>271</v>
      </c>
      <c r="F89" s="368" t="s">
        <v>281</v>
      </c>
      <c r="G89" s="368" t="s">
        <v>289</v>
      </c>
      <c r="H89" s="368"/>
      <c r="I89" s="368"/>
      <c r="J89" s="368"/>
      <c r="K89" s="368"/>
      <c r="L89" s="1828"/>
      <c r="M89" s="488"/>
      <c r="N89" s="417"/>
      <c r="O89" s="417"/>
      <c r="P89" s="423"/>
      <c r="Q89" s="412"/>
      <c r="R89" s="456"/>
      <c r="S89" s="456"/>
      <c r="T89" s="456"/>
      <c r="U89" s="456"/>
      <c r="V89" s="456"/>
      <c r="W89" s="456"/>
      <c r="X89" s="456"/>
      <c r="Y89" s="456"/>
      <c r="Z89" s="456"/>
      <c r="AA89" s="456"/>
      <c r="AB89" s="456"/>
      <c r="AC89" s="456"/>
    </row>
    <row r="90" spans="1:29" s="190" customFormat="1">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8.8">
      <c r="A91" s="471"/>
      <c r="B91" s="355" t="s">
        <v>947</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4.4">
      <c r="A93" s="362"/>
      <c r="B93" s="367" t="s">
        <v>233</v>
      </c>
      <c r="C93" s="366" t="s">
        <v>248</v>
      </c>
      <c r="D93" s="366" t="s">
        <v>260</v>
      </c>
      <c r="E93" s="366" t="s">
        <v>271</v>
      </c>
      <c r="F93" s="366" t="s">
        <v>281</v>
      </c>
      <c r="G93" s="366" t="s">
        <v>289</v>
      </c>
      <c r="H93" s="1342"/>
      <c r="I93" s="1342"/>
      <c r="J93" s="1342"/>
      <c r="K93" s="1342"/>
      <c r="L93" s="1343"/>
      <c r="M93" s="1344"/>
      <c r="N93" s="435"/>
      <c r="O93" s="435"/>
      <c r="P93" s="436"/>
      <c r="Q93" s="457"/>
      <c r="R93" s="458"/>
      <c r="S93" s="458"/>
      <c r="T93" s="458"/>
      <c r="U93" s="458"/>
      <c r="V93" s="458"/>
      <c r="W93" s="458"/>
      <c r="X93" s="458"/>
      <c r="Y93" s="458"/>
      <c r="Z93" s="458"/>
      <c r="AA93" s="458"/>
      <c r="AB93" s="458"/>
      <c r="AC93" s="458"/>
    </row>
    <row r="94" spans="1:29" s="192" customFormat="1">
      <c r="A94" s="362"/>
      <c r="B94" s="357"/>
      <c r="C94" s="358">
        <v>100</v>
      </c>
      <c r="D94" s="358">
        <f>C94-$K25</f>
        <v>100</v>
      </c>
      <c r="E94" s="358">
        <f>D94-$K25</f>
        <v>100</v>
      </c>
      <c r="F94" s="358">
        <f>E94-$K25</f>
        <v>100</v>
      </c>
      <c r="G94" s="358">
        <f>F94-$K25</f>
        <v>100</v>
      </c>
      <c r="H94" s="1348"/>
      <c r="I94" s="1348"/>
      <c r="J94" s="1348"/>
      <c r="K94" s="1348"/>
      <c r="L94" s="1348"/>
      <c r="M94" s="1349"/>
      <c r="N94" s="435"/>
      <c r="O94" s="435"/>
      <c r="P94" s="436"/>
      <c r="Q94" s="457"/>
      <c r="R94" s="458"/>
      <c r="S94" s="458"/>
      <c r="T94" s="458"/>
      <c r="U94" s="458"/>
      <c r="V94" s="458"/>
      <c r="W94" s="458"/>
      <c r="X94" s="458"/>
      <c r="Y94" s="458"/>
      <c r="Z94" s="458"/>
      <c r="AA94" s="458"/>
      <c r="AB94" s="458"/>
      <c r="AC94" s="458"/>
    </row>
    <row r="95" spans="1:29" s="192" customFormat="1" ht="14.4">
      <c r="A95" s="362"/>
      <c r="B95" s="467" t="s">
        <v>234</v>
      </c>
      <c r="C95" s="468" t="s">
        <v>249</v>
      </c>
      <c r="D95" s="468" t="s">
        <v>261</v>
      </c>
      <c r="E95" s="468" t="s">
        <v>272</v>
      </c>
      <c r="F95" s="468" t="s">
        <v>282</v>
      </c>
      <c r="G95" s="468" t="s">
        <v>290</v>
      </c>
      <c r="H95" s="1342"/>
      <c r="I95" s="1342"/>
      <c r="J95" s="1342"/>
      <c r="K95" s="1342"/>
      <c r="L95" s="1342"/>
      <c r="M95" s="1344"/>
      <c r="N95" s="435"/>
      <c r="O95" s="435"/>
      <c r="P95" s="436"/>
      <c r="Q95" s="457"/>
      <c r="R95" s="458"/>
      <c r="S95" s="458"/>
      <c r="T95" s="458"/>
      <c r="U95" s="458"/>
      <c r="V95" s="458"/>
      <c r="W95" s="458"/>
      <c r="X95" s="458"/>
      <c r="Y95" s="458"/>
      <c r="Z95" s="458"/>
      <c r="AA95" s="458"/>
      <c r="AB95" s="458"/>
      <c r="AC95" s="458"/>
    </row>
    <row r="96" spans="1:29" s="192" customFormat="1">
      <c r="A96" s="362"/>
      <c r="B96" s="469"/>
      <c r="C96" s="358">
        <v>100</v>
      </c>
      <c r="D96" s="358">
        <f>C96-$K27</f>
        <v>100</v>
      </c>
      <c r="E96" s="358">
        <f>D96-$K27</f>
        <v>100</v>
      </c>
      <c r="F96" s="358">
        <f>E96-$K27</f>
        <v>100</v>
      </c>
      <c r="G96" s="358">
        <f>F96-$K27</f>
        <v>100</v>
      </c>
      <c r="H96" s="546"/>
      <c r="I96" s="546"/>
      <c r="J96" s="546"/>
      <c r="K96" s="546"/>
      <c r="L96" s="546"/>
      <c r="M96" s="1829"/>
      <c r="N96" s="435"/>
      <c r="O96" s="435"/>
      <c r="P96" s="436"/>
      <c r="Q96" s="457"/>
      <c r="R96" s="458"/>
      <c r="S96" s="458"/>
      <c r="T96" s="458"/>
      <c r="U96" s="458"/>
      <c r="V96" s="458"/>
      <c r="W96" s="458"/>
      <c r="X96" s="458"/>
      <c r="Y96" s="458"/>
      <c r="Z96" s="458"/>
      <c r="AA96" s="458"/>
      <c r="AB96" s="458"/>
      <c r="AC96" s="458"/>
    </row>
    <row r="97" spans="1:29" ht="14.4">
      <c r="A97" s="352"/>
      <c r="B97" s="355" t="str">
        <f>B29</f>
        <v>临街状况</v>
      </c>
      <c r="C97" s="356" t="s">
        <v>1000</v>
      </c>
      <c r="D97" s="356" t="s">
        <v>1001</v>
      </c>
      <c r="E97" s="356" t="s">
        <v>1002</v>
      </c>
      <c r="F97" s="356" t="s">
        <v>1003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8.8">
      <c r="A99" s="352"/>
      <c r="B99" s="355" t="s">
        <v>951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4.4">
      <c r="A101" s="352"/>
      <c r="B101" s="355" t="s">
        <v>953</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8"/>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c r="A108" s="362"/>
      <c r="B108" s="469"/>
      <c r="C108" s="550"/>
      <c r="D108" s="550"/>
      <c r="E108" s="550"/>
      <c r="F108" s="550"/>
      <c r="G108" s="1822"/>
      <c r="H108" s="1822"/>
      <c r="I108" s="1822"/>
      <c r="J108" s="1822"/>
      <c r="K108" s="1822"/>
      <c r="L108" s="1822"/>
      <c r="M108" s="1830"/>
      <c r="N108" s="425"/>
      <c r="O108" s="425"/>
      <c r="P108" s="436"/>
      <c r="Q108" s="457"/>
      <c r="R108" s="458"/>
      <c r="S108" s="458"/>
      <c r="T108" s="458"/>
      <c r="U108" s="458"/>
      <c r="V108" s="458"/>
      <c r="W108" s="458"/>
      <c r="X108" s="458"/>
      <c r="Y108" s="458"/>
      <c r="Z108" s="458"/>
      <c r="AA108" s="458"/>
      <c r="AB108" s="458"/>
      <c r="AC108" s="458"/>
    </row>
    <row r="109" spans="1:29" ht="14.4">
      <c r="A109" s="348" t="s">
        <v>1008</v>
      </c>
      <c r="B109" s="349" t="s">
        <v>956</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31" t="str">
        <f t="shared" si="25"/>
        <v>(含)-</v>
      </c>
      <c r="L109" s="1832" t="str">
        <f t="shared" si="25"/>
        <v>(含)-</v>
      </c>
      <c r="M109" s="1833" t="str">
        <f>M110&amp;"(含)"&amp;"-"&amp;P110</f>
        <v>(含)-</v>
      </c>
      <c r="N109" s="422"/>
      <c r="O109" s="422"/>
      <c r="P109" s="423"/>
      <c r="Q109" s="412"/>
      <c r="R109" s="319"/>
      <c r="S109" s="319"/>
      <c r="T109" s="319"/>
      <c r="U109" s="319"/>
      <c r="V109" s="319"/>
      <c r="W109" s="319"/>
      <c r="X109" s="319"/>
      <c r="Y109" s="319"/>
      <c r="Z109" s="319"/>
      <c r="AA109" s="319"/>
      <c r="AB109" s="319"/>
      <c r="AC109" s="319"/>
    </row>
    <row r="110" spans="1:29">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ht="14.4">
      <c r="A112" s="474"/>
      <c r="B112" s="355" t="s">
        <v>957</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ht="14.4">
      <c r="A114" s="476"/>
      <c r="B114" s="367" t="s">
        <v>962</v>
      </c>
      <c r="C114" s="1823"/>
      <c r="D114" s="1823"/>
      <c r="E114" s="1823"/>
      <c r="F114" s="1823"/>
      <c r="G114" s="1823"/>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ht="14.4">
      <c r="A116" s="474"/>
      <c r="B116" s="355" t="s">
        <v>963</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c r="A123" s="548"/>
      <c r="B123" s="1824"/>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31"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D54:D62">
      <formula1>"25%,1"</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K25" sqref="K25"/>
    </sheetView>
  </sheetViews>
  <sheetFormatPr defaultColWidth="12" defaultRowHeight="12"/>
  <cols>
    <col min="1" max="1" width="9.77734375" style="1396" customWidth="1"/>
    <col min="2" max="2" width="19.21875" style="1397" customWidth="1"/>
    <col min="3" max="4" width="12" style="1398"/>
    <col min="5" max="5" width="14.6640625" style="1398" customWidth="1"/>
    <col min="6" max="8" width="12" style="1398"/>
    <col min="9" max="9" width="12.21875" style="1398" customWidth="1"/>
    <col min="10" max="10" width="12" style="1398"/>
    <col min="11" max="11" width="9.6640625" style="1395" customWidth="1"/>
    <col min="12" max="12" width="12" style="1398"/>
    <col min="13" max="14" width="10.6640625" style="1398" customWidth="1"/>
    <col min="15" max="17" width="12" style="1398"/>
    <col min="18" max="18" width="12" style="1396"/>
    <col min="19" max="22" width="15.44140625" style="1396" customWidth="1"/>
    <col min="23" max="28" width="12" style="1398"/>
    <col min="29" max="29" width="9.33203125" style="1396" customWidth="1"/>
    <col min="30" max="35" width="9.33203125" style="1399" customWidth="1"/>
    <col min="36" max="39" width="9.33203125" style="1396" customWidth="1"/>
    <col min="40" max="41" width="9.33203125" style="1398" customWidth="1"/>
    <col min="42" max="16384" width="12" style="1398"/>
  </cols>
  <sheetData>
    <row r="1" spans="1:39" ht="20.399999999999999">
      <c r="A1" s="1400" t="s">
        <v>1109</v>
      </c>
      <c r="B1" s="1401"/>
      <c r="C1" s="1402" t="s">
        <v>391</v>
      </c>
      <c r="D1" s="1403">
        <f>SUM(D29:D30,D33:D39)</f>
        <v>0</v>
      </c>
      <c r="E1" s="1402" t="s">
        <v>394</v>
      </c>
      <c r="F1" s="1404"/>
      <c r="G1" s="1405"/>
      <c r="H1" s="1405"/>
      <c r="I1" s="1405"/>
      <c r="J1" s="1405"/>
      <c r="K1" s="1405"/>
      <c r="L1" s="1593" t="s">
        <v>1110</v>
      </c>
      <c r="M1" s="1594">
        <f>SUMPRODUCT((区片价!B5:B9=I2)*(区片价!C3:F3=E2)*(区片价!C5:F9))</f>
        <v>0</v>
      </c>
      <c r="N1" s="1595">
        <f>SUMPRODUCT((因素修正幅度!B5:B9=I2)*(因素修正幅度!C3:F3=E2)*(因素修正幅度!C5:F9))</f>
        <v>0</v>
      </c>
      <c r="O1" s="1596"/>
      <c r="P1" s="1596"/>
      <c r="Q1" s="1596"/>
      <c r="R1" s="1671" t="s">
        <v>1111</v>
      </c>
      <c r="S1" s="1671" t="s">
        <v>1112</v>
      </c>
      <c r="T1" s="1671" t="s">
        <v>1113</v>
      </c>
      <c r="U1" s="1671" t="s">
        <v>1114</v>
      </c>
      <c r="V1" s="1671" t="s">
        <v>619</v>
      </c>
      <c r="W1" s="1596"/>
      <c r="X1" s="1596"/>
      <c r="Y1" s="1596"/>
      <c r="Z1" s="1596"/>
      <c r="AA1" s="1596"/>
      <c r="AB1" s="1596"/>
      <c r="AC1" s="1682"/>
    </row>
    <row r="2" spans="1:39" ht="15.6">
      <c r="A2" s="1402" t="s">
        <v>1115</v>
      </c>
      <c r="B2" s="1406" t="e">
        <f>C26</f>
        <v>#DIV/0!</v>
      </c>
      <c r="C2" s="1407" t="s">
        <v>1043</v>
      </c>
      <c r="D2" s="1408" t="s">
        <v>349</v>
      </c>
      <c r="E2" s="1409"/>
      <c r="F2" s="1408" t="s">
        <v>219</v>
      </c>
      <c r="G2" s="1410">
        <f>IF(E2="商业",项目基本情况!B43,IF(E2="办公",项目基本情况!C43,IF(E2="住宅",项目基本情况!D43,项目基本情况!E43)))</f>
        <v>0</v>
      </c>
      <c r="H2" s="1408" t="s">
        <v>428</v>
      </c>
      <c r="I2" s="1597">
        <f>IF(E2="商业",项目基本情况!B44,IF(E2="办公",项目基本情况!C44,IF(E2="住宅",项目基本情况!D44,项目基本情况!E44)))</f>
        <v>0</v>
      </c>
      <c r="J2" s="1598"/>
      <c r="K2" s="1405"/>
      <c r="L2" s="1599" t="s">
        <v>1116</v>
      </c>
      <c r="M2" s="1600">
        <f>SUMPRODUCT((区片价!B10:B28=I2)*(区片价!C3:F3=E2)*(区片价!C10:F28))</f>
        <v>0</v>
      </c>
      <c r="N2" s="1601">
        <f>SUMPRODUCT((因素修正幅度!B10:B28=I2)*(因素修正幅度!C3:F3=E2)*(因素修正幅度!C10:F28))</f>
        <v>0</v>
      </c>
      <c r="O2" s="1596"/>
      <c r="P2" s="1596"/>
      <c r="Q2" s="1596"/>
      <c r="R2" s="1672">
        <v>1</v>
      </c>
      <c r="S2" s="1672">
        <f>ROUND(IF(G3&gt;1,IF(R2&lt;7,SUMPRODUCT((B93:B98=R2)*(C92:N92=G2)*(C93:N98)),SUMIF(C92:N92,G2,C100:N100)),IF(R2&lt;7,SUMPRODUCT((B102:B107=R2)*(C92:N92=G2)*(C102:N107)),SUMIF(C92:N92,G2,C109:N109))),4)</f>
        <v>0</v>
      </c>
      <c r="T2" s="1672" t="e">
        <f>ROUND($C$5*$C$18*$C$19*$C$20*S2*$C$24,0)</f>
        <v>#DIV/0!</v>
      </c>
      <c r="U2" s="1673"/>
      <c r="V2" s="1672" t="e">
        <f>ROUND(T2*U2/10000,0)</f>
        <v>#DIV/0!</v>
      </c>
      <c r="W2" s="1596"/>
      <c r="X2" s="1596"/>
      <c r="Y2" s="1596"/>
      <c r="Z2" s="1596"/>
      <c r="AA2" s="1596"/>
      <c r="AB2" s="1596"/>
      <c r="AC2" s="1682"/>
    </row>
    <row r="3" spans="1:39" ht="15.6">
      <c r="A3" s="1411" t="s">
        <v>916</v>
      </c>
      <c r="B3" s="1406" t="e">
        <f>ROUND(B2*10000/D1,0)</f>
        <v>#DIV/0!</v>
      </c>
      <c r="C3" s="1407" t="s">
        <v>1117</v>
      </c>
      <c r="D3" s="1408" t="s">
        <v>1118</v>
      </c>
      <c r="E3" s="1412"/>
      <c r="F3" s="1413" t="s">
        <v>1119</v>
      </c>
      <c r="G3" s="1414">
        <f>IF(F3="宗地容积率",'数据-汇总表'!I4,IF(F3="估价对象容积率",'数据-汇总表'!I6,'数据-汇总表'!I7))</f>
        <v>10.52</v>
      </c>
      <c r="H3" s="1415" t="s">
        <v>1120</v>
      </c>
      <c r="I3" s="1602">
        <v>8</v>
      </c>
      <c r="J3" s="1598" t="s">
        <v>1121</v>
      </c>
      <c r="K3" s="1405"/>
      <c r="L3" s="1599" t="s">
        <v>1122</v>
      </c>
      <c r="M3" s="1600">
        <f>SUMPRODUCT((区片价!B29:B48=I2)*(区片价!C3:F3=E2)*(区片价!C29:F48))</f>
        <v>0</v>
      </c>
      <c r="N3" s="1601">
        <f>SUMPRODUCT((因素修正幅度!B29:B48=I2)*(因素修正幅度!C3:F3=E2)*(因素修正幅度!C29:F48))</f>
        <v>0</v>
      </c>
      <c r="O3" s="1596"/>
      <c r="P3" s="1596"/>
      <c r="Q3" s="1596"/>
      <c r="R3" s="1672">
        <v>2</v>
      </c>
      <c r="S3" s="1672">
        <f>ROUND(IF(G3&gt;1,IF(R3&lt;7,SUMPRODUCT((B93:B98=R3)*(C92:N92=G2)*(C93:N98)),SUMIF(C92:N92,G2,C100:N100)),IF(R3&lt;7,SUMPRODUCT((B102:B107=R3)*(C92:N92=G2)*(C102:N107)),SUMIF(C92:N92,G2,C109:N109))),4)</f>
        <v>0</v>
      </c>
      <c r="T3" s="1672" t="e">
        <f t="shared" ref="T3:T16" si="0">ROUND($C$5*$C$18*$C$19*$C$20*S3*$C$24,0)</f>
        <v>#DIV/0!</v>
      </c>
      <c r="U3" s="1673"/>
      <c r="V3" s="1672" t="e">
        <f t="shared" ref="V3:V16" si="1">ROUND(T3*U3/10000,0)</f>
        <v>#DIV/0!</v>
      </c>
      <c r="W3" s="1596"/>
      <c r="X3" s="1596"/>
      <c r="Y3" s="1596"/>
      <c r="Z3" s="1596"/>
      <c r="AA3" s="1596"/>
      <c r="AB3" s="1596"/>
      <c r="AC3" s="1682"/>
    </row>
    <row r="4" spans="1:39" ht="31.2">
      <c r="A4" s="1416" t="s">
        <v>1123</v>
      </c>
      <c r="B4" s="1417" t="e">
        <f>ROUND(B2*10000/F1,0)</f>
        <v>#DIV/0!</v>
      </c>
      <c r="C4" s="1418" t="s">
        <v>1117</v>
      </c>
      <c r="D4" s="1418" t="e">
        <f>ROUND(B2/(F1/666.67),0)</f>
        <v>#DIV/0!</v>
      </c>
      <c r="E4" s="1418" t="s">
        <v>1124</v>
      </c>
      <c r="F4" s="1419"/>
      <c r="G4" s="1419"/>
      <c r="H4" s="1419"/>
      <c r="I4" s="1419"/>
      <c r="J4" s="1603"/>
      <c r="K4" s="1405"/>
      <c r="L4" s="1599" t="s">
        <v>1125</v>
      </c>
      <c r="M4" s="1600">
        <f>SUMPRODUCT((区片价!B49:B75=I2)*(区片价!C3:F3=E2)*(区片价!C49:F75))</f>
        <v>0</v>
      </c>
      <c r="N4" s="1601">
        <f>SUMPRODUCT((因素修正幅度!B49:B75=I2)*(因素修正幅度!C3:F3=E2)*(因素修正幅度!C49:F75))</f>
        <v>0</v>
      </c>
      <c r="O4" s="1596"/>
      <c r="P4" s="1596"/>
      <c r="Q4" s="1596"/>
      <c r="R4" s="1672">
        <v>3</v>
      </c>
      <c r="S4" s="1672">
        <f>ROUND(IF(G3&gt;1,IF(R4&lt;7,SUMPRODUCT((B93:B98=R4)*(C92:N92=G2)*(C93:N98)),SUMIF(C92:N92,G2,C100:N100)),IF(R4&lt;7,SUMPRODUCT((B102:B107=R4)*(C92:N92=G2)*(C102:N107)),SUMIF(C92:N92,G2,C109:N109))),4)</f>
        <v>0</v>
      </c>
      <c r="T4" s="1672" t="e">
        <f t="shared" si="0"/>
        <v>#DIV/0!</v>
      </c>
      <c r="U4" s="1673"/>
      <c r="V4" s="1672" t="e">
        <f t="shared" si="1"/>
        <v>#DIV/0!</v>
      </c>
      <c r="W4" s="1596"/>
      <c r="X4" s="1596"/>
      <c r="Y4" s="1596"/>
      <c r="Z4" s="1596"/>
      <c r="AA4" s="1596"/>
      <c r="AB4" s="1596"/>
      <c r="AC4" s="1682"/>
    </row>
    <row r="5" spans="1:39" s="1394" customFormat="1" ht="15">
      <c r="A5" s="1420" t="s">
        <v>848</v>
      </c>
      <c r="B5" s="1421" t="s">
        <v>1126</v>
      </c>
      <c r="C5" s="1422" t="e">
        <f>ROUND(IF(E2="商业",IF(F16="增加",C6*C7+C16,C6*C7-C16),IF(E2="住宅",IF(F16="增加",C6*C12+C16,C6*C12-C16),IF(F16="增加",C6+C16,C6-C16))),0)</f>
        <v>#DIV/0!</v>
      </c>
      <c r="D5" s="1423" t="e">
        <f>ROUND(IF(F16="增加",C6+C16,C6-C16),0)</f>
        <v>#DIV/0!</v>
      </c>
      <c r="E5" s="1423"/>
      <c r="F5" s="1424"/>
      <c r="G5" s="1425"/>
      <c r="H5" s="1425"/>
      <c r="I5" s="1425"/>
      <c r="J5" s="1604"/>
      <c r="K5" s="1605"/>
      <c r="L5" s="1599" t="s">
        <v>1127</v>
      </c>
      <c r="M5" s="1600">
        <f>SUMPRODUCT((区片价!B76:B109=I2)*(区片价!C3:F3=E2)*(区片价!C76:F109))</f>
        <v>0</v>
      </c>
      <c r="N5" s="1601">
        <f>SUMPRODUCT((因素修正幅度!B76:B109=I2)*(因素修正幅度!C3:F3=E2)*(因素修正幅度!C76:F109))</f>
        <v>0</v>
      </c>
      <c r="O5" s="1596"/>
      <c r="P5" s="1596"/>
      <c r="Q5" s="1596"/>
      <c r="R5" s="1672">
        <v>4</v>
      </c>
      <c r="S5" s="1672">
        <f>ROUND(IF(G3&gt;1,IF(R5&lt;7,SUMPRODUCT((B93:B98=R5)*(C92:N92=G2)*(C93:N98)),SUMIF(C92:N92,G2,C100:N100)),IF(R5&lt;7,SUMPRODUCT((B102:B107=R5)*(C92:N92=G2)*(C102:N107)),SUMIF(C92:N92,G2,C109:N109))),4)</f>
        <v>0</v>
      </c>
      <c r="T5" s="1672" t="e">
        <f t="shared" si="0"/>
        <v>#DIV/0!</v>
      </c>
      <c r="U5" s="1673"/>
      <c r="V5" s="1672" t="e">
        <f t="shared" si="1"/>
        <v>#DIV/0!</v>
      </c>
      <c r="W5" s="1596"/>
      <c r="X5" s="1596"/>
      <c r="Y5" s="1596"/>
      <c r="Z5" s="1596"/>
      <c r="AA5" s="1596"/>
      <c r="AB5" s="1596"/>
      <c r="AC5" s="1684"/>
      <c r="AD5" s="1685"/>
      <c r="AE5" s="1685"/>
      <c r="AF5" s="1685"/>
      <c r="AG5" s="1685"/>
      <c r="AH5" s="1685"/>
      <c r="AI5" s="1685"/>
      <c r="AJ5" s="1692"/>
      <c r="AK5" s="1692"/>
      <c r="AL5" s="1692"/>
      <c r="AM5" s="1692"/>
    </row>
    <row r="6" spans="1:39" ht="15">
      <c r="A6" s="1426" t="s">
        <v>1128</v>
      </c>
      <c r="B6" s="1427" t="s">
        <v>1126</v>
      </c>
      <c r="C6" s="1428">
        <f>SUMIF(L1:L12,基准地价!G2,M1:M12)</f>
        <v>0</v>
      </c>
      <c r="D6" s="1429" t="s">
        <v>1129</v>
      </c>
      <c r="E6" s="1430"/>
      <c r="F6" s="1430"/>
      <c r="G6" s="1431"/>
      <c r="H6" s="1431"/>
      <c r="I6" s="1431"/>
      <c r="J6" s="1606"/>
      <c r="K6" s="1607"/>
      <c r="L6" s="1599" t="s">
        <v>1130</v>
      </c>
      <c r="M6" s="1600">
        <f>SUMPRODUCT((区片价!B110:B157=I2)*(区片价!C3:F3=E2)*(区片价!C110:F157))</f>
        <v>0</v>
      </c>
      <c r="N6" s="1601">
        <f>SUMPRODUCT((因素修正幅度!B110:B157=I2)*(因素修正幅度!C3:F3=E2)*(因素修正幅度!C110:F157))</f>
        <v>0</v>
      </c>
      <c r="O6" s="1596"/>
      <c r="P6" s="1596"/>
      <c r="Q6" s="1596"/>
      <c r="R6" s="1672">
        <v>5</v>
      </c>
      <c r="S6" s="1672">
        <f>ROUND(IF(G3&gt;1,IF(R6&lt;7,SUMPRODUCT((B93:B98=R6)*(C92:N92=G2)*(C93:N98)),SUMIF(C92:N92,G2,C100:N100)),IF(R6&lt;7,SUMPRODUCT((B102:B107=R6)*(C92:N92=G2)*(C102:N107)),SUMIF(C92:N92,G2,C109:N109))),4)</f>
        <v>0</v>
      </c>
      <c r="T6" s="1672" t="e">
        <f t="shared" si="0"/>
        <v>#DIV/0!</v>
      </c>
      <c r="U6" s="1673"/>
      <c r="V6" s="1672" t="e">
        <f t="shared" si="1"/>
        <v>#DIV/0!</v>
      </c>
      <c r="W6" s="1596"/>
      <c r="X6" s="1596"/>
      <c r="Y6" s="1596"/>
      <c r="Z6" s="1596"/>
      <c r="AA6" s="1596"/>
      <c r="AB6" s="1596"/>
      <c r="AC6" s="1684"/>
      <c r="AD6" s="1685"/>
      <c r="AE6" s="1685"/>
      <c r="AF6" s="1685"/>
      <c r="AG6" s="1685"/>
      <c r="AH6" s="1685"/>
      <c r="AI6" s="1685"/>
      <c r="AJ6" s="1692"/>
    </row>
    <row r="7" spans="1:39" ht="24">
      <c r="A7" s="3398" t="str">
        <f>IF(E2="商业",IF(C8="不临58条商业街","",2),"")</f>
        <v/>
      </c>
      <c r="B7" s="1432" t="s">
        <v>1131</v>
      </c>
      <c r="C7" s="1433" t="e">
        <f>IF(C8="不临58条商业街",1,ROUND(1+(1.6*E8+1.2*E9+0.8*E10+0.4*E11)*C9,4))</f>
        <v>#DIV/0!</v>
      </c>
      <c r="D7" s="1434" t="s">
        <v>1132</v>
      </c>
      <c r="E7" s="1435"/>
      <c r="F7" s="1436"/>
      <c r="G7" s="1437"/>
      <c r="H7" s="1437"/>
      <c r="I7" s="1437"/>
      <c r="J7" s="1608"/>
      <c r="K7" s="1607"/>
      <c r="L7" s="1599" t="s">
        <v>1133</v>
      </c>
      <c r="M7" s="1600">
        <f>SUMPRODUCT((区片价!B158:B205=I2)*(区片价!C3:F3=E2)*(区片价!C158:F205))</f>
        <v>0</v>
      </c>
      <c r="N7" s="1601">
        <f>SUMPRODUCT((因素修正幅度!B158:B205=I2)*(因素修正幅度!C3:F3=E2)*(因素修正幅度!C158:F205))</f>
        <v>0</v>
      </c>
      <c r="O7" s="1596"/>
      <c r="P7" s="1596"/>
      <c r="Q7" s="1596"/>
      <c r="R7" s="1672">
        <v>6</v>
      </c>
      <c r="S7" s="1672">
        <f>ROUND(IF(G3&gt;1,IF(R7&lt;7,SUMPRODUCT((B93:B98=R7)*(C92:N92=G2)*(C93:N98)),SUMIF(C92:N92,G2,C100:N100)),IF(R7&lt;7,SUMPRODUCT((B102:B107=R7)*(C92:N92=G2)*(C102:N107)),SUMIF(C92:N92,G2,C109:N109))),4)</f>
        <v>0</v>
      </c>
      <c r="T7" s="1672" t="e">
        <f t="shared" si="0"/>
        <v>#DIV/0!</v>
      </c>
      <c r="U7" s="1673"/>
      <c r="V7" s="1672" t="e">
        <f t="shared" si="1"/>
        <v>#DIV/0!</v>
      </c>
      <c r="W7" s="1674" t="s">
        <v>1134</v>
      </c>
      <c r="X7" s="1675">
        <f>G2</f>
        <v>0</v>
      </c>
      <c r="Y7" s="1675" t="s">
        <v>1135</v>
      </c>
      <c r="Z7" s="1686">
        <f>G3</f>
        <v>10.52</v>
      </c>
      <c r="AA7" s="1678"/>
      <c r="AB7" s="1678"/>
      <c r="AC7" s="1679"/>
      <c r="AD7" s="1687"/>
      <c r="AE7" s="1687"/>
      <c r="AF7" s="1687"/>
      <c r="AG7" s="1687"/>
      <c r="AH7" s="1687"/>
      <c r="AI7" s="1687"/>
      <c r="AJ7" s="1693"/>
    </row>
    <row r="8" spans="1:39" ht="15">
      <c r="A8" s="3399"/>
      <c r="B8" s="1415" t="s">
        <v>1136</v>
      </c>
      <c r="C8" s="1438"/>
      <c r="D8" s="1439" t="s">
        <v>1137</v>
      </c>
      <c r="E8" s="1440" t="e">
        <f>ROUND(C11/E7,4)</f>
        <v>#DIV/0!</v>
      </c>
      <c r="F8" s="1441" t="s">
        <v>1138</v>
      </c>
      <c r="G8" s="1442"/>
      <c r="H8" s="1442"/>
      <c r="I8" s="1442"/>
      <c r="J8" s="1609"/>
      <c r="K8" s="1405"/>
      <c r="L8" s="1599" t="s">
        <v>1139</v>
      </c>
      <c r="M8" s="1600">
        <f>SUMPRODUCT((区片价!B206:B244=I2)*(区片价!C3:F3=E2)*(区片价!C206:F244))</f>
        <v>0</v>
      </c>
      <c r="N8" s="1601">
        <f>SUMPRODUCT((因素修正幅度!B206:B244=I2)*(因素修正幅度!C3:F3=E2)*(因素修正幅度!C206:F244))</f>
        <v>0</v>
      </c>
      <c r="O8" s="1596"/>
      <c r="P8" s="1596"/>
      <c r="Q8" s="1596"/>
      <c r="R8" s="1672">
        <v>7</v>
      </c>
      <c r="S8" s="1673"/>
      <c r="T8" s="1672" t="e">
        <f t="shared" si="0"/>
        <v>#DIV/0!</v>
      </c>
      <c r="U8" s="1673"/>
      <c r="V8" s="1672" t="e">
        <f t="shared" si="1"/>
        <v>#DIV/0!</v>
      </c>
      <c r="W8" s="3394" t="s">
        <v>1140</v>
      </c>
      <c r="X8" s="3395"/>
      <c r="Y8" s="1532" t="s">
        <v>1141</v>
      </c>
      <c r="Z8" s="1532" t="s">
        <v>1142</v>
      </c>
      <c r="AA8" s="1532" t="s">
        <v>1143</v>
      </c>
      <c r="AB8" s="1532" t="s">
        <v>1144</v>
      </c>
      <c r="AC8" s="1532" t="s">
        <v>1145</v>
      </c>
      <c r="AD8" s="1532" t="s">
        <v>1146</v>
      </c>
      <c r="AE8" s="1532" t="s">
        <v>1147</v>
      </c>
      <c r="AF8" s="1532" t="s">
        <v>1148</v>
      </c>
      <c r="AG8" s="1532" t="s">
        <v>1149</v>
      </c>
      <c r="AH8" s="1532" t="s">
        <v>1150</v>
      </c>
      <c r="AI8" s="1532" t="s">
        <v>1151</v>
      </c>
      <c r="AJ8" s="1532" t="s">
        <v>1152</v>
      </c>
    </row>
    <row r="9" spans="1:39" ht="15">
      <c r="A9" s="3399"/>
      <c r="B9" s="1415" t="s">
        <v>1153</v>
      </c>
      <c r="C9" s="1443">
        <f>SUMIF(修正!C59:C119,C8,修正!E59:E119)</f>
        <v>0</v>
      </c>
      <c r="D9" s="1444" t="s">
        <v>1154</v>
      </c>
      <c r="E9" s="1444" t="e">
        <f>ROUND(C11/E7,4)</f>
        <v>#DIV/0!</v>
      </c>
      <c r="F9" s="1441" t="s">
        <v>1155</v>
      </c>
      <c r="G9" s="1442"/>
      <c r="H9" s="1442"/>
      <c r="I9" s="1442"/>
      <c r="J9" s="1609"/>
      <c r="K9" s="1405"/>
      <c r="L9" s="1599" t="s">
        <v>1156</v>
      </c>
      <c r="M9" s="1600">
        <f>SUMPRODUCT((区片价!B245:B289=I2)*(区片价!C3:F3=E2)*(区片价!C245:F289))</f>
        <v>0</v>
      </c>
      <c r="N9" s="1601">
        <f>SUMPRODUCT((因素修正幅度!B245:B289=I2)*(因素修正幅度!C3:F3=E2)*(因素修正幅度!C245:F289))</f>
        <v>0</v>
      </c>
      <c r="O9" s="1596"/>
      <c r="P9" s="1596"/>
      <c r="Q9" s="1596"/>
      <c r="R9" s="1672">
        <v>8</v>
      </c>
      <c r="S9" s="1673"/>
      <c r="T9" s="1672" t="e">
        <f t="shared" si="0"/>
        <v>#DIV/0!</v>
      </c>
      <c r="U9" s="1673"/>
      <c r="V9" s="1672" t="e">
        <f t="shared" si="1"/>
        <v>#DIV/0!</v>
      </c>
      <c r="W9" s="3411" t="s">
        <v>1157</v>
      </c>
      <c r="X9" s="1676" t="s">
        <v>1158</v>
      </c>
      <c r="Y9" s="1688"/>
      <c r="Z9" s="1689">
        <f>$Y$9</f>
        <v>0</v>
      </c>
      <c r="AA9" s="1689">
        <f t="shared" ref="AA9:AJ9" si="2">$Y$9</f>
        <v>0</v>
      </c>
      <c r="AB9" s="1689">
        <f t="shared" si="2"/>
        <v>0</v>
      </c>
      <c r="AC9" s="1689">
        <f t="shared" si="2"/>
        <v>0</v>
      </c>
      <c r="AD9" s="1689">
        <f t="shared" si="2"/>
        <v>0</v>
      </c>
      <c r="AE9" s="1689">
        <f t="shared" si="2"/>
        <v>0</v>
      </c>
      <c r="AF9" s="1689">
        <f t="shared" si="2"/>
        <v>0</v>
      </c>
      <c r="AG9" s="1689">
        <f t="shared" si="2"/>
        <v>0</v>
      </c>
      <c r="AH9" s="1689">
        <f t="shared" si="2"/>
        <v>0</v>
      </c>
      <c r="AI9" s="1689">
        <f t="shared" si="2"/>
        <v>0</v>
      </c>
      <c r="AJ9" s="1689">
        <f t="shared" si="2"/>
        <v>0</v>
      </c>
    </row>
    <row r="10" spans="1:39" ht="15">
      <c r="A10" s="3399"/>
      <c r="B10" s="1415" t="s">
        <v>1159</v>
      </c>
      <c r="C10" s="1444">
        <f>SUMIF(修正!C59:C119,C8,修正!F59:F119)</f>
        <v>0</v>
      </c>
      <c r="D10" s="1444" t="s">
        <v>1160</v>
      </c>
      <c r="E10" s="1444" t="e">
        <f>ROUND(C11/E7,4)</f>
        <v>#DIV/0!</v>
      </c>
      <c r="F10" s="1441" t="s">
        <v>1161</v>
      </c>
      <c r="G10" s="1442"/>
      <c r="H10" s="1442"/>
      <c r="I10" s="1442"/>
      <c r="J10" s="1609"/>
      <c r="K10" s="1405"/>
      <c r="L10" s="1599" t="s">
        <v>1162</v>
      </c>
      <c r="M10" s="1600">
        <f>SUMPRODUCT((区片价!B290:B316=I2)*(区片价!C3:F3=E2)*(区片价!C290:F316))</f>
        <v>0</v>
      </c>
      <c r="N10" s="1601">
        <f>SUMPRODUCT((因素修正幅度!B290:B316=I2)*(因素修正幅度!C3:F3=E2)*(因素修正幅度!C290:F316))</f>
        <v>0</v>
      </c>
      <c r="O10" s="1596"/>
      <c r="P10" s="1596"/>
      <c r="Q10" s="1596"/>
      <c r="R10" s="1672">
        <v>9</v>
      </c>
      <c r="S10" s="1673"/>
      <c r="T10" s="1672" t="e">
        <f t="shared" si="0"/>
        <v>#DIV/0!</v>
      </c>
      <c r="U10" s="1673"/>
      <c r="V10" s="1672" t="e">
        <f t="shared" si="1"/>
        <v>#DIV/0!</v>
      </c>
      <c r="W10" s="3411"/>
      <c r="X10" s="1676">
        <v>7</v>
      </c>
      <c r="Y10" s="1690">
        <f>(-0.163*(Y9^2)-0.59*Y9+7617)*(10^(-4))</f>
        <v>0.76170000000000004</v>
      </c>
      <c r="Z10" s="1690">
        <f>(-0.163*(Z9^2)-0.59*Z9+7617)*(10^(-4))</f>
        <v>0.76170000000000004</v>
      </c>
      <c r="AA10" s="1690">
        <f>(-0.161*(AA9^2)-7.509*AA9+6533)*(10^(-4))</f>
        <v>0.65329999999999999</v>
      </c>
      <c r="AB10" s="1690">
        <f>(-0.161*(AB9^2)-7.509*AB9+6533)*(10^(-4))</f>
        <v>0.65329999999999999</v>
      </c>
      <c r="AC10" s="1690">
        <f>(-0.161*(AC9^2)-7.509*AC9+6533)*(10^(-4))</f>
        <v>0.65329999999999999</v>
      </c>
      <c r="AD10" s="1690">
        <f>(-0.161*(AD9^2)-7.509*AD9+6533)*(10^(-4))</f>
        <v>0.65329999999999999</v>
      </c>
      <c r="AE10" s="1690">
        <f>(-0.161*(AE9^2)-7.509*AE9+6533)*(10^(-4))</f>
        <v>0.65329999999999999</v>
      </c>
      <c r="AF10" s="1690">
        <f>(-0.214*(AF9^2)-21.991*AF9+4665)*(10^(-4))</f>
        <v>0.46650000000000003</v>
      </c>
      <c r="AG10" s="1690">
        <f>(-0.214*(AG9^2)-21.991*AG9+4665)*(10^(-4))</f>
        <v>0.46650000000000003</v>
      </c>
      <c r="AH10" s="1690">
        <f>(-0.214*(AH9^2)-21.991*AH9+4665)*(10^(-4))</f>
        <v>0.46650000000000003</v>
      </c>
      <c r="AI10" s="1690">
        <f>(-0.214*(AI9^2)-21.991*AI9+4665)*(10^(-4))</f>
        <v>0.46650000000000003</v>
      </c>
      <c r="AJ10" s="1690">
        <f>(-0.214*(AJ9^2)-21.991*AJ9+4665)*(10^(-4))</f>
        <v>0.46650000000000003</v>
      </c>
    </row>
    <row r="11" spans="1:39" ht="15.75" customHeight="1">
      <c r="A11" s="3399"/>
      <c r="B11" s="1445" t="s">
        <v>1163</v>
      </c>
      <c r="C11" s="1446">
        <f>C10/4</f>
        <v>0</v>
      </c>
      <c r="D11" s="1446" t="s">
        <v>1164</v>
      </c>
      <c r="E11" s="1446" t="e">
        <f>ROUND(C11/E7,4)</f>
        <v>#DIV/0!</v>
      </c>
      <c r="F11" s="1447" t="s">
        <v>1165</v>
      </c>
      <c r="G11" s="1448"/>
      <c r="H11" s="1448"/>
      <c r="I11" s="1448"/>
      <c r="J11" s="1610"/>
      <c r="K11" s="1405"/>
      <c r="L11" s="1599" t="s">
        <v>1166</v>
      </c>
      <c r="M11" s="1600">
        <f>SUMPRODUCT((区片价!B317:B337=I2)*(区片价!C3:F3=E2)*(区片价!C317:F337))</f>
        <v>0</v>
      </c>
      <c r="N11" s="1601">
        <f>SUMPRODUCT((因素修正幅度!B317:B337=I2)*(因素修正幅度!C3:F3=E2)*(因素修正幅度!C317:F337))</f>
        <v>0</v>
      </c>
      <c r="O11" s="1596"/>
      <c r="P11" s="1596"/>
      <c r="Q11" s="1596"/>
      <c r="R11" s="1672">
        <v>10</v>
      </c>
      <c r="S11" s="1673"/>
      <c r="T11" s="1672" t="e">
        <f t="shared" si="0"/>
        <v>#DIV/0!</v>
      </c>
      <c r="U11" s="1673"/>
      <c r="V11" s="1672" t="e">
        <f t="shared" si="1"/>
        <v>#DIV/0!</v>
      </c>
      <c r="W11" s="3411" t="s">
        <v>1167</v>
      </c>
      <c r="X11" s="1444" t="s">
        <v>1135</v>
      </c>
      <c r="Y11" s="1597">
        <f>$G$3</f>
        <v>10.52</v>
      </c>
      <c r="Z11" s="1597">
        <f t="shared" ref="Z11:AJ11" si="3">$G$3</f>
        <v>10.52</v>
      </c>
      <c r="AA11" s="1597">
        <f t="shared" si="3"/>
        <v>10.52</v>
      </c>
      <c r="AB11" s="1597">
        <f t="shared" si="3"/>
        <v>10.52</v>
      </c>
      <c r="AC11" s="1597">
        <f t="shared" si="3"/>
        <v>10.52</v>
      </c>
      <c r="AD11" s="1597">
        <f t="shared" si="3"/>
        <v>10.52</v>
      </c>
      <c r="AE11" s="1597">
        <f t="shared" si="3"/>
        <v>10.52</v>
      </c>
      <c r="AF11" s="1597">
        <f t="shared" si="3"/>
        <v>10.52</v>
      </c>
      <c r="AG11" s="1597">
        <f t="shared" si="3"/>
        <v>10.52</v>
      </c>
      <c r="AH11" s="1597">
        <f t="shared" si="3"/>
        <v>10.52</v>
      </c>
      <c r="AI11" s="1597">
        <f t="shared" si="3"/>
        <v>10.52</v>
      </c>
      <c r="AJ11" s="1597">
        <f t="shared" si="3"/>
        <v>10.52</v>
      </c>
    </row>
    <row r="12" spans="1:39" ht="25.2">
      <c r="A12" s="3398" t="s">
        <v>1168</v>
      </c>
      <c r="B12" s="1449" t="s">
        <v>1169</v>
      </c>
      <c r="C12" s="1433">
        <f>ROUND(C15*D15*E15*F15*G15*H15*I15*J15,4)</f>
        <v>1</v>
      </c>
      <c r="D12" s="1450" t="s">
        <v>1170</v>
      </c>
      <c r="E12" s="1451"/>
      <c r="F12" s="1451"/>
      <c r="G12" s="1452"/>
      <c r="H12" s="1452"/>
      <c r="I12" s="1452"/>
      <c r="J12" s="1611"/>
      <c r="K12" s="1405"/>
      <c r="L12" s="1612" t="s">
        <v>1171</v>
      </c>
      <c r="M12" s="1613">
        <f>SUMPRODUCT((区片价!B338:B344=I2)*(区片价!C3:F3=E2)*(区片价!C338:F344))</f>
        <v>0</v>
      </c>
      <c r="N12" s="1614">
        <f>SUMPRODUCT((因素修正幅度!B338:B344=I2)*(因素修正幅度!C3:F3=E2)*(因素修正幅度!C338:F344))</f>
        <v>0</v>
      </c>
      <c r="O12" s="1596"/>
      <c r="P12" s="1596"/>
      <c r="Q12" s="1596"/>
      <c r="R12" s="1672">
        <v>11</v>
      </c>
      <c r="S12" s="1673"/>
      <c r="T12" s="1672" t="e">
        <f t="shared" si="0"/>
        <v>#DIV/0!</v>
      </c>
      <c r="U12" s="1673"/>
      <c r="V12" s="1672" t="e">
        <f t="shared" si="1"/>
        <v>#DIV/0!</v>
      </c>
      <c r="W12" s="3411"/>
      <c r="X12" s="1677" t="s">
        <v>1172</v>
      </c>
      <c r="Y12" s="1689">
        <f t="shared" ref="Y12:AJ12" si="4">Y9</f>
        <v>0</v>
      </c>
      <c r="Z12" s="1689">
        <f t="shared" si="4"/>
        <v>0</v>
      </c>
      <c r="AA12" s="1689">
        <f t="shared" si="4"/>
        <v>0</v>
      </c>
      <c r="AB12" s="1689">
        <f t="shared" si="4"/>
        <v>0</v>
      </c>
      <c r="AC12" s="1689">
        <f t="shared" si="4"/>
        <v>0</v>
      </c>
      <c r="AD12" s="1689">
        <f t="shared" si="4"/>
        <v>0</v>
      </c>
      <c r="AE12" s="1689">
        <f t="shared" si="4"/>
        <v>0</v>
      </c>
      <c r="AF12" s="1689">
        <f t="shared" si="4"/>
        <v>0</v>
      </c>
      <c r="AG12" s="1689">
        <f t="shared" si="4"/>
        <v>0</v>
      </c>
      <c r="AH12" s="1689">
        <f t="shared" si="4"/>
        <v>0</v>
      </c>
      <c r="AI12" s="1689">
        <f t="shared" si="4"/>
        <v>0</v>
      </c>
      <c r="AJ12" s="1689">
        <f t="shared" si="4"/>
        <v>0</v>
      </c>
    </row>
    <row r="13" spans="1:39" ht="24">
      <c r="A13" s="3400"/>
      <c r="B13" s="1453" t="s">
        <v>1173</v>
      </c>
      <c r="C13" s="1454" t="s">
        <v>1174</v>
      </c>
      <c r="D13" s="1177" t="s">
        <v>1175</v>
      </c>
      <c r="E13" s="1177" t="s">
        <v>1176</v>
      </c>
      <c r="F13" s="1455" t="s">
        <v>1177</v>
      </c>
      <c r="G13" s="1456" t="s">
        <v>1178</v>
      </c>
      <c r="H13" s="1457" t="s">
        <v>1178</v>
      </c>
      <c r="I13" s="1615" t="s">
        <v>1178</v>
      </c>
      <c r="J13" s="1616" t="s">
        <v>1178</v>
      </c>
      <c r="K13" s="1405"/>
      <c r="L13" s="1596"/>
      <c r="M13" s="1596"/>
      <c r="N13" s="1596"/>
      <c r="O13" s="1596"/>
      <c r="P13" s="1596"/>
      <c r="Q13" s="1596"/>
      <c r="R13" s="1672">
        <v>12</v>
      </c>
      <c r="S13" s="1673"/>
      <c r="T13" s="1672" t="e">
        <f t="shared" si="0"/>
        <v>#DIV/0!</v>
      </c>
      <c r="U13" s="1673"/>
      <c r="V13" s="1672" t="e">
        <f t="shared" si="1"/>
        <v>#DIV/0!</v>
      </c>
      <c r="W13" s="3411"/>
      <c r="X13" s="1677"/>
      <c r="Y13" s="1690">
        <f>(-0.163*(Y12^2)-0.59*Y12+7617)*(10^(-4))/Y11</f>
        <v>7.240494296577947E-2</v>
      </c>
      <c r="Z13" s="1690">
        <f t="shared" ref="Z13:AJ13" si="5">(-0.163*(Z12^2)-0.59*Z12+7617)*(10^(-4))/Z11</f>
        <v>7.240494296577947E-2</v>
      </c>
      <c r="AA13" s="1690">
        <f t="shared" si="5"/>
        <v>7.240494296577947E-2</v>
      </c>
      <c r="AB13" s="1690">
        <f t="shared" si="5"/>
        <v>7.240494296577947E-2</v>
      </c>
      <c r="AC13" s="1690">
        <f t="shared" si="5"/>
        <v>7.240494296577947E-2</v>
      </c>
      <c r="AD13" s="1690">
        <f t="shared" si="5"/>
        <v>7.240494296577947E-2</v>
      </c>
      <c r="AE13" s="1690">
        <f t="shared" si="5"/>
        <v>7.240494296577947E-2</v>
      </c>
      <c r="AF13" s="1690">
        <f t="shared" si="5"/>
        <v>7.240494296577947E-2</v>
      </c>
      <c r="AG13" s="1690">
        <f t="shared" si="5"/>
        <v>7.240494296577947E-2</v>
      </c>
      <c r="AH13" s="1690">
        <f t="shared" si="5"/>
        <v>7.240494296577947E-2</v>
      </c>
      <c r="AI13" s="1690">
        <f t="shared" si="5"/>
        <v>7.240494296577947E-2</v>
      </c>
      <c r="AJ13" s="1690">
        <f t="shared" si="5"/>
        <v>7.240494296577947E-2</v>
      </c>
    </row>
    <row r="14" spans="1:39" ht="12.75" customHeight="1">
      <c r="A14" s="3400"/>
      <c r="B14" s="1458"/>
      <c r="C14" s="1459"/>
      <c r="D14" s="1460"/>
      <c r="E14" s="1460"/>
      <c r="F14" s="1461"/>
      <c r="G14" s="1462" t="s">
        <v>1179</v>
      </c>
      <c r="H14" s="1463"/>
      <c r="I14" s="1617"/>
      <c r="J14" s="1618"/>
      <c r="K14" s="1405"/>
      <c r="L14" s="1596"/>
      <c r="M14" s="1596"/>
      <c r="N14" s="1596"/>
      <c r="O14" s="1596"/>
      <c r="P14" s="1596"/>
      <c r="Q14" s="1596"/>
      <c r="R14" s="1672">
        <v>13</v>
      </c>
      <c r="S14" s="1673"/>
      <c r="T14" s="1672" t="e">
        <f t="shared" si="0"/>
        <v>#DIV/0!</v>
      </c>
      <c r="U14" s="1673"/>
      <c r="V14" s="1672" t="e">
        <f t="shared" si="1"/>
        <v>#DIV/0!</v>
      </c>
      <c r="W14" s="1596"/>
      <c r="X14" s="1596"/>
      <c r="Y14" s="1596"/>
      <c r="Z14" s="1596"/>
      <c r="AA14" s="1596"/>
      <c r="AB14" s="1596"/>
      <c r="AC14" s="1682"/>
    </row>
    <row r="15" spans="1:39" ht="13.5" customHeight="1">
      <c r="A15" s="3401"/>
      <c r="B15" s="1464" t="s">
        <v>1180</v>
      </c>
      <c r="C15" s="1465">
        <f>IF(C14="有",1.1,1)</f>
        <v>1</v>
      </c>
      <c r="D15" s="1465">
        <f>IF(D14="有",1.1,1)</f>
        <v>1</v>
      </c>
      <c r="E15" s="1465">
        <f>IF(E14="有",1.1,1)</f>
        <v>1</v>
      </c>
      <c r="F15" s="1465">
        <f>IF(F14="500米范围内",1.2,IF(F14="500-1000米",1.1,1))</f>
        <v>1</v>
      </c>
      <c r="G15" s="1466">
        <v>1</v>
      </c>
      <c r="H15" s="1466">
        <v>1</v>
      </c>
      <c r="I15" s="1466">
        <v>1</v>
      </c>
      <c r="J15" s="1619">
        <v>1</v>
      </c>
      <c r="K15" s="1405"/>
      <c r="L15" s="1620" t="s">
        <v>349</v>
      </c>
      <c r="M15" s="1434" t="s">
        <v>380</v>
      </c>
      <c r="N15" s="1434" t="s">
        <v>381</v>
      </c>
      <c r="O15" s="1434" t="s">
        <v>379</v>
      </c>
      <c r="P15" s="1621" t="s">
        <v>164</v>
      </c>
      <c r="Q15" s="1596"/>
      <c r="R15" s="1672">
        <v>14</v>
      </c>
      <c r="S15" s="1673"/>
      <c r="T15" s="1672" t="e">
        <f t="shared" si="0"/>
        <v>#DIV/0!</v>
      </c>
      <c r="U15" s="1673"/>
      <c r="V15" s="1672" t="e">
        <f t="shared" si="1"/>
        <v>#DIV/0!</v>
      </c>
      <c r="W15" s="1596"/>
      <c r="X15" s="1596"/>
      <c r="Y15" s="1596"/>
      <c r="Z15" s="1596"/>
      <c r="AA15" s="1596"/>
      <c r="AB15" s="1596"/>
      <c r="AC15" s="1682"/>
    </row>
    <row r="16" spans="1:39" ht="24">
      <c r="A16" s="3398" t="s">
        <v>901</v>
      </c>
      <c r="B16" s="1432" t="s">
        <v>1181</v>
      </c>
      <c r="C16" s="1467" t="e">
        <f>ROUND(SUM(G17:J17)/C17,0)</f>
        <v>#DIV/0!</v>
      </c>
      <c r="D16" s="1468" t="s">
        <v>1182</v>
      </c>
      <c r="E16" s="1469"/>
      <c r="F16" s="1470"/>
      <c r="G16" s="1471"/>
      <c r="H16" s="1471"/>
      <c r="I16" s="1471"/>
      <c r="J16" s="1471"/>
      <c r="K16" s="1405"/>
      <c r="L16" s="1622" t="s">
        <v>1183</v>
      </c>
      <c r="M16" s="1443">
        <v>0.25</v>
      </c>
      <c r="N16" s="1443">
        <v>0.2</v>
      </c>
      <c r="O16" s="1443">
        <v>0.15</v>
      </c>
      <c r="P16" s="1623">
        <v>0.1</v>
      </c>
      <c r="Q16" s="1678"/>
      <c r="R16" s="1672">
        <v>15</v>
      </c>
      <c r="S16" s="1673"/>
      <c r="T16" s="1672" t="e">
        <f t="shared" si="0"/>
        <v>#DIV/0!</v>
      </c>
      <c r="U16" s="1673"/>
      <c r="V16" s="1672" t="e">
        <f t="shared" si="1"/>
        <v>#DIV/0!</v>
      </c>
      <c r="W16" s="1678"/>
      <c r="X16" s="1678"/>
      <c r="Y16" s="1678"/>
      <c r="Z16" s="1678"/>
      <c r="AA16" s="1678"/>
      <c r="AB16" s="1678"/>
      <c r="AC16" s="1679"/>
    </row>
    <row r="17" spans="1:40" ht="24">
      <c r="A17" s="3399"/>
      <c r="B17" s="1472" t="s">
        <v>1184</v>
      </c>
      <c r="C17" s="1473">
        <f>SUMPRODUCT((修正!A2:A5=E2)*(修正!B1:M1=G2)*(修正!B2:M5))</f>
        <v>0</v>
      </c>
      <c r="D17" s="1474" t="s">
        <v>1185</v>
      </c>
      <c r="E17" s="1475" t="str">
        <f>IF(OR(G2="八级",G2="九级",G2="十级",G2="十一级",G2="十二级"),"五通一平","七通一平")</f>
        <v>七通一平</v>
      </c>
      <c r="F17" s="1476" t="s">
        <v>1186</v>
      </c>
      <c r="G17" s="1473">
        <f>SUMPRODUCT((七通一平=G16)*(修正!B1:M1=G2)*(修正!B6:M14))</f>
        <v>0</v>
      </c>
      <c r="H17" s="1473">
        <f>SUMPRODUCT((七通一平=H16)*(修正!B1:M1=G2)*(修正!B6:M14))</f>
        <v>0</v>
      </c>
      <c r="I17" s="1473">
        <f>SUMPRODUCT((七通一平=I16)*(修正!B1:M1=G2)*(修正!B6:M14))</f>
        <v>0</v>
      </c>
      <c r="J17" s="1624">
        <f>SUMPRODUCT((七通一平=J16)*(修正!B1:M1=G2)*(修正!B6:M14))</f>
        <v>0</v>
      </c>
      <c r="K17" s="1405"/>
      <c r="L17" s="1625" t="s">
        <v>1187</v>
      </c>
      <c r="M17" s="1626">
        <f ca="1">ROUND($E$20*(1+M16),3)</f>
        <v>5.3999999999999999E-2</v>
      </c>
      <c r="N17" s="1626">
        <f ca="1">ROUND($E$20*(1+N16),3)</f>
        <v>5.1999999999999998E-2</v>
      </c>
      <c r="O17" s="1626">
        <f ca="1">ROUND($E$20*(1+O16),3)</f>
        <v>0.05</v>
      </c>
      <c r="P17" s="1627">
        <f ca="1">ROUND($E$20*(1+P16),3)</f>
        <v>4.8000000000000001E-2</v>
      </c>
      <c r="Q17" s="1678"/>
      <c r="R17" s="1679"/>
      <c r="S17" s="1679"/>
      <c r="T17" s="1679"/>
      <c r="U17" s="1679"/>
      <c r="V17" s="1679"/>
      <c r="W17" s="1678"/>
      <c r="X17" s="1678"/>
      <c r="Y17" s="1678"/>
      <c r="Z17" s="1678"/>
      <c r="AA17" s="1678"/>
      <c r="AB17" s="1678"/>
      <c r="AC17" s="1679"/>
      <c r="AH17" s="1395"/>
      <c r="AI17" s="1395"/>
      <c r="AJ17" s="1398"/>
      <c r="AK17" s="1398"/>
      <c r="AL17" s="1398"/>
      <c r="AM17" s="1398"/>
    </row>
    <row r="18" spans="1:40" s="1394" customFormat="1" ht="14.4">
      <c r="A18" s="1477" t="s">
        <v>857</v>
      </c>
      <c r="B18" s="1478" t="s">
        <v>1188</v>
      </c>
      <c r="C18" s="1479">
        <f>SUMIF(修正!C18:C39,E3,修正!E18:E39)</f>
        <v>0</v>
      </c>
      <c r="D18" s="1480"/>
      <c r="E18" s="1481"/>
      <c r="F18" s="1482"/>
      <c r="G18" s="1483"/>
      <c r="H18" s="1483"/>
      <c r="I18" s="1483"/>
      <c r="J18" s="1628"/>
      <c r="K18" s="1500"/>
      <c r="L18" s="1500"/>
      <c r="M18" s="1500"/>
      <c r="N18" s="1500"/>
      <c r="O18" s="1629"/>
      <c r="P18" s="1629"/>
      <c r="Q18" s="1680"/>
      <c r="R18" s="1680"/>
      <c r="S18" s="1680"/>
      <c r="T18" s="1680"/>
      <c r="U18" s="1680"/>
      <c r="V18" s="1680"/>
      <c r="W18" s="1679"/>
      <c r="X18" s="1679"/>
      <c r="Y18" s="1679"/>
      <c r="Z18" s="1679"/>
      <c r="AA18" s="1678"/>
      <c r="AB18" s="1678"/>
      <c r="AC18" s="1651"/>
      <c r="AD18" s="1691"/>
      <c r="AE18" s="1691"/>
      <c r="AF18" s="1691"/>
      <c r="AG18" s="1691"/>
      <c r="AH18" s="1399"/>
      <c r="AI18" s="1399"/>
      <c r="AJ18" s="1396"/>
      <c r="AK18" s="1396"/>
      <c r="AL18" s="1396"/>
    </row>
    <row r="19" spans="1:40" s="1394" customFormat="1" ht="28.8">
      <c r="A19" s="1484" t="s">
        <v>862</v>
      </c>
      <c r="B19" s="1485" t="s">
        <v>1189</v>
      </c>
      <c r="C19" s="1486" t="e">
        <f>ROUND(IF(H19="按公示增长率计算",SUMPRODUCT((地价!A3:A25=YEAR(G19)&amp;"-"&amp;ROUNDUP(MONTH(G19)/3,0))*(地价!X2:AB2=E2)*(地价!X3:AB25)),IF(H19="地价指数",M20/M19,(1+I19)^O19)),4)</f>
        <v>#DIV/0!</v>
      </c>
      <c r="D19" s="1487" t="s">
        <v>1190</v>
      </c>
      <c r="E19" s="1488">
        <v>41640</v>
      </c>
      <c r="F19" s="1487" t="s">
        <v>355</v>
      </c>
      <c r="G19" s="1489">
        <f>'数据-取费表'!B2</f>
        <v>43654</v>
      </c>
      <c r="H19" s="1490" t="s">
        <v>1191</v>
      </c>
      <c r="I19" s="1630" t="str">
        <f>IF(H19="季度增幅（自定义）",SUMIF(N21:N24,E2,O21:O24),"")</f>
        <v/>
      </c>
      <c r="J19" s="1631"/>
      <c r="K19" s="1500"/>
      <c r="L19" s="1632" t="s">
        <v>1192</v>
      </c>
      <c r="M19" s="1633">
        <f>ROUND(SUMIF(地价!B2:F2,E2,地价!B25:F25),0)</f>
        <v>0</v>
      </c>
      <c r="N19" s="1634" t="s">
        <v>1193</v>
      </c>
      <c r="O19" s="1635">
        <f>ROUNDDOWN(DATEDIF(E19,G19,"M")/3,0)</f>
        <v>22</v>
      </c>
      <c r="P19" s="1636"/>
      <c r="R19" s="1681"/>
      <c r="S19" s="1681"/>
      <c r="T19" s="1681"/>
      <c r="U19" s="1681"/>
      <c r="V19" s="1681"/>
      <c r="W19" s="1651"/>
      <c r="X19" s="1651"/>
      <c r="Y19" s="1651"/>
      <c r="Z19" s="1651"/>
      <c r="AA19" s="1651"/>
      <c r="AB19" s="1651"/>
      <c r="AC19" s="1651"/>
      <c r="AD19" s="1399"/>
      <c r="AE19" s="1399"/>
      <c r="AF19" s="1399"/>
      <c r="AG19" s="1399"/>
      <c r="AH19" s="1691"/>
      <c r="AI19" s="1694"/>
      <c r="AJ19" s="1695"/>
      <c r="AK19" s="1396"/>
      <c r="AL19" s="1692"/>
      <c r="AM19" s="1692"/>
      <c r="AN19" s="1692"/>
    </row>
    <row r="20" spans="1:40" s="1394" customFormat="1" ht="28.8">
      <c r="A20" s="1491" t="s">
        <v>865</v>
      </c>
      <c r="B20" s="1492" t="s">
        <v>1194</v>
      </c>
      <c r="C20" s="1493" t="e">
        <f>ROUND(POWER(1+G20,J20-I20)*(POWER(1+G20,I20)-1)/(POWER(1+G20,J20)-1),4)</f>
        <v>#DIV/0!</v>
      </c>
      <c r="D20" s="1494" t="s">
        <v>1195</v>
      </c>
      <c r="E20" s="1495">
        <f ca="1">存贷款利率!I4/100</f>
        <v>4.3499999999999997E-2</v>
      </c>
      <c r="F20" s="1494" t="s">
        <v>1187</v>
      </c>
      <c r="G20" s="1496">
        <f>SUMIF(M15:P15,E2,M17:P17)</f>
        <v>0</v>
      </c>
      <c r="H20" s="1494" t="s">
        <v>1196</v>
      </c>
      <c r="I20" s="1637" t="e">
        <f>SUMIF('数据-取费表'!C6:C15,E2,'数据-取费表'!F6:F15)/COUNTIF('数据-取费表'!C6:C15,E2)</f>
        <v>#DIV/0!</v>
      </c>
      <c r="J20" s="1638">
        <f>IF(E2="住宅",70,IF(E2="商业",40,50))</f>
        <v>50</v>
      </c>
      <c r="K20" s="1500"/>
      <c r="L20" s="1639" t="s">
        <v>1197</v>
      </c>
      <c r="M20" s="1640">
        <f>ROUND(SUMPRODUCT((地价!A4:A25=YEAR(G19)&amp;"-"&amp;ROUNDUP(MONTH(G19)/3,0))*(地价!B2:F2=E2)*(地价!B4:F25)),0)</f>
        <v>0</v>
      </c>
      <c r="N20" s="1641" t="s">
        <v>1198</v>
      </c>
      <c r="O20" s="1642" t="s">
        <v>1199</v>
      </c>
      <c r="P20" s="1643" t="s">
        <v>1200</v>
      </c>
      <c r="R20" s="1681"/>
      <c r="S20" s="1681"/>
      <c r="T20" s="1681"/>
      <c r="U20" s="1681"/>
      <c r="V20" s="1681"/>
      <c r="W20" s="1651"/>
      <c r="X20" s="1651"/>
      <c r="Y20" s="1651"/>
      <c r="Z20" s="1651"/>
      <c r="AA20" s="1651"/>
      <c r="AB20" s="1651"/>
      <c r="AC20" s="1651"/>
      <c r="AD20" s="1691"/>
      <c r="AE20" s="1691"/>
      <c r="AF20" s="1691"/>
      <c r="AG20" s="1691"/>
      <c r="AH20" s="1691"/>
      <c r="AI20" s="1691"/>
    </row>
    <row r="21" spans="1:40" s="1394" customFormat="1" ht="14.4">
      <c r="A21" s="1497" t="s">
        <v>891</v>
      </c>
      <c r="B21" s="1498" t="s">
        <v>1201</v>
      </c>
      <c r="C21" s="1499">
        <f>IF(B21="容积率修正",IF(G3&lt;=10,D22,J22),C23)</f>
        <v>0</v>
      </c>
      <c r="D21" s="1500"/>
      <c r="E21" s="1500"/>
      <c r="F21" s="1500"/>
      <c r="G21" s="1500"/>
      <c r="H21" s="1500"/>
      <c r="I21" s="1500"/>
      <c r="J21" s="1644"/>
      <c r="K21" s="1500"/>
      <c r="L21" s="1500"/>
      <c r="M21" s="1500"/>
      <c r="N21" s="1645" t="s">
        <v>380</v>
      </c>
      <c r="O21" s="1646"/>
      <c r="P21" s="1647">
        <f>SUMPRODUCT((地价!A3:A25=YEAR(G19)&amp;"-"&amp;ROUNDUP(MONTH(G19)/3,0))*(地价!AD2:AH2=N21)*(地价!AD3:AH25))</f>
        <v>0</v>
      </c>
      <c r="R21" s="1681"/>
      <c r="S21" s="1681"/>
      <c r="T21" s="1681"/>
      <c r="U21" s="1681"/>
      <c r="V21" s="1681"/>
      <c r="W21" s="1651"/>
      <c r="X21" s="1651"/>
      <c r="Y21" s="1651"/>
      <c r="Z21" s="1651"/>
      <c r="AA21" s="1651"/>
      <c r="AB21" s="1651"/>
      <c r="AC21" s="1651"/>
      <c r="AD21" s="1399"/>
      <c r="AE21" s="1399"/>
      <c r="AF21" s="1399"/>
      <c r="AG21" s="1399"/>
      <c r="AH21" s="1691"/>
      <c r="AI21" s="1691"/>
    </row>
    <row r="22" spans="1:40" s="1394" customFormat="1" ht="14.4">
      <c r="A22" s="1501" t="s">
        <v>1128</v>
      </c>
      <c r="B22" s="1502" t="s">
        <v>1202</v>
      </c>
      <c r="C22" s="1503" t="s">
        <v>1203</v>
      </c>
      <c r="D22" s="1503" t="str">
        <f>IF(E22=G22,F22,IF(G3&lt;=10,ROUND(F22+(H22-F22)*(G3-E22)/(G22-E22),4),"——"))</f>
        <v>——</v>
      </c>
      <c r="E22" s="1414">
        <f>ROUNDDOWN(G3,1)</f>
        <v>10.5</v>
      </c>
      <c r="F22" s="150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414">
        <f>ROUNDUP(G3,1)</f>
        <v>10.6</v>
      </c>
      <c r="H22" s="150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03" t="s">
        <v>1204</v>
      </c>
      <c r="J22" s="1503">
        <f>IF(G3&gt;10,D113,"——")</f>
        <v>0</v>
      </c>
      <c r="K22" s="1500"/>
      <c r="L22" s="1500"/>
      <c r="M22" s="1500"/>
      <c r="N22" s="1645" t="s">
        <v>381</v>
      </c>
      <c r="O22" s="1646"/>
      <c r="P22" s="1647">
        <f>SUMPRODUCT((地价!A3:A25=YEAR(G19)&amp;"-"&amp;ROUNDUP(MONTH(G19)/3,0))*(地价!AD2:AH2=N22)*(地价!AD3:AH25))</f>
        <v>0</v>
      </c>
      <c r="R22" s="1681"/>
      <c r="S22" s="1681"/>
      <c r="T22" s="1681"/>
      <c r="U22" s="1681"/>
      <c r="V22" s="1681"/>
      <c r="W22" s="1651"/>
      <c r="X22" s="1651"/>
      <c r="Y22" s="1651"/>
      <c r="Z22" s="1651"/>
      <c r="AA22" s="1651"/>
      <c r="AB22" s="1651"/>
      <c r="AC22" s="1651"/>
      <c r="AD22" s="1691"/>
      <c r="AE22" s="1691"/>
      <c r="AF22" s="1691"/>
      <c r="AG22" s="1691"/>
      <c r="AH22" s="1691"/>
      <c r="AI22" s="1691"/>
    </row>
    <row r="23" spans="1:40" ht="28.8">
      <c r="A23" s="1501" t="s">
        <v>1168</v>
      </c>
      <c r="B23" s="1502" t="s">
        <v>1205</v>
      </c>
      <c r="C23" s="1504">
        <f>ROUND(IF(G3&gt;1,IF(I3&lt;7,SUMPRODUCT((B93:B98=I3)*(C92:N92=G2)*(C93:N98)),SUMIF(C92:N92,G2,C100:N100)),IF(I3&lt;7,SUMPRODUCT((B102:B107=I3)*(C92:N92=G2)*(C102:N107)),SUMIF(C92:N92,G2,C109:N109))),4)</f>
        <v>0</v>
      </c>
      <c r="D23" s="1505"/>
      <c r="E23" s="1505"/>
      <c r="F23" s="1506"/>
      <c r="G23" s="1507"/>
      <c r="H23" s="1508"/>
      <c r="I23" s="1648"/>
      <c r="J23" s="1648"/>
      <c r="K23" s="1405"/>
      <c r="L23" s="1405"/>
      <c r="M23" s="1405"/>
      <c r="N23" s="1645" t="s">
        <v>379</v>
      </c>
      <c r="O23" s="1646"/>
      <c r="P23" s="1647">
        <f>SUMPRODUCT((地价!A3:A25=YEAR(G19)&amp;"-"&amp;ROUNDUP(MONTH(G19)/3,0))*(地价!AD2:AH2=N23)*(地价!AD3:AH25))</f>
        <v>0</v>
      </c>
      <c r="R23" s="1681"/>
      <c r="S23" s="1681"/>
      <c r="T23" s="1681"/>
      <c r="U23" s="1681"/>
      <c r="V23" s="1681"/>
      <c r="W23" s="1651"/>
      <c r="X23" s="1651"/>
      <c r="Y23" s="1651"/>
      <c r="Z23" s="1651"/>
      <c r="AA23" s="1651"/>
      <c r="AB23" s="1651"/>
      <c r="AC23" s="1651"/>
      <c r="AN23" s="1396"/>
    </row>
    <row r="24" spans="1:40" s="1394" customFormat="1" ht="14.4">
      <c r="A24" s="1477" t="s">
        <v>1206</v>
      </c>
      <c r="B24" s="1421" t="s">
        <v>1207</v>
      </c>
      <c r="C24" s="1509">
        <f>SUMIF(A44:A87,E2,B44:B87)</f>
        <v>0</v>
      </c>
      <c r="D24" s="1510"/>
      <c r="E24" s="1511"/>
      <c r="F24" s="1511"/>
      <c r="G24" s="1511"/>
      <c r="H24" s="1511"/>
      <c r="I24" s="1511"/>
      <c r="J24" s="1511"/>
      <c r="K24" s="1500"/>
      <c r="L24" s="1500"/>
      <c r="M24" s="1500"/>
      <c r="N24" s="1649" t="s">
        <v>164</v>
      </c>
      <c r="O24" s="1650"/>
      <c r="P24" s="1627">
        <f>SUMPRODUCT((地价!A3:A25=YEAR(G19)&amp;"-"&amp;ROUNDUP(MONTH(G19)/3,0))*(地价!AD2:AH2=N24)*(地价!AD3:AH25))</f>
        <v>0</v>
      </c>
      <c r="R24" s="1681"/>
      <c r="S24" s="1681"/>
      <c r="T24" s="1681"/>
      <c r="U24" s="1681"/>
      <c r="V24" s="1681"/>
      <c r="W24" s="1651"/>
      <c r="X24" s="1651"/>
      <c r="Y24" s="1651"/>
      <c r="Z24" s="1651"/>
      <c r="AA24" s="1651"/>
      <c r="AB24" s="1651"/>
      <c r="AC24" s="1651"/>
      <c r="AD24" s="1691"/>
      <c r="AE24" s="1691"/>
      <c r="AF24" s="1691"/>
      <c r="AG24" s="1691"/>
      <c r="AH24" s="1691"/>
      <c r="AI24" s="1691"/>
    </row>
    <row r="25" spans="1:40" ht="14.4">
      <c r="A25" s="1477" t="s">
        <v>1208</v>
      </c>
      <c r="B25" s="1512" t="s">
        <v>1209</v>
      </c>
      <c r="C25" s="1513"/>
      <c r="D25" s="1437"/>
      <c r="E25" s="1437"/>
      <c r="F25" s="1514"/>
      <c r="G25" s="1437"/>
      <c r="H25" s="1437"/>
      <c r="I25" s="1437"/>
      <c r="J25" s="1608"/>
      <c r="K25" s="1405"/>
      <c r="L25" s="1651"/>
      <c r="M25" s="1651"/>
      <c r="N25" s="1652" t="s">
        <v>993</v>
      </c>
      <c r="O25" s="1651"/>
      <c r="P25" s="1627">
        <f>SUMPRODUCT((地价!A3:A25=YEAR(G19)&amp;"-"&amp;ROUNDUP(MONTH(G19)/3,0))*(地价!AD2:AH2=N25)*(地价!AD3:AH25))</f>
        <v>0</v>
      </c>
      <c r="R25" s="1681"/>
      <c r="S25" s="1681"/>
      <c r="T25" s="1681"/>
      <c r="U25" s="1681"/>
      <c r="V25" s="1681"/>
      <c r="W25" s="1651"/>
      <c r="X25" s="1651"/>
      <c r="Y25" s="1651"/>
      <c r="Z25" s="1651"/>
      <c r="AA25" s="1651"/>
      <c r="AB25" s="1651"/>
      <c r="AC25" s="1651"/>
    </row>
    <row r="26" spans="1:40" ht="14.4">
      <c r="A26" s="1515"/>
      <c r="B26" s="1502" t="s">
        <v>1210</v>
      </c>
      <c r="C26" s="1516" t="e">
        <f>E29+SUM(E33:E39)</f>
        <v>#DIV/0!</v>
      </c>
      <c r="D26" s="1517"/>
      <c r="E26" s="1463"/>
      <c r="F26" s="1518"/>
      <c r="G26" s="1463"/>
      <c r="H26" s="1463"/>
      <c r="I26" s="1463"/>
      <c r="J26" s="1653"/>
      <c r="K26" s="1405"/>
      <c r="L26" s="1651"/>
      <c r="M26" s="1651"/>
      <c r="N26" s="1651"/>
      <c r="O26" s="1651"/>
      <c r="P26" s="1651"/>
      <c r="Q26" s="1651"/>
      <c r="R26" s="1681"/>
      <c r="S26" s="1681"/>
      <c r="T26" s="1681"/>
      <c r="U26" s="1681"/>
      <c r="V26" s="1681"/>
      <c r="W26" s="1651"/>
      <c r="X26" s="1651"/>
      <c r="Y26" s="1651"/>
      <c r="Z26" s="1651"/>
      <c r="AA26" s="1651"/>
      <c r="AB26" s="1651"/>
      <c r="AC26" s="1651"/>
      <c r="AD26" s="1691"/>
      <c r="AE26" s="1691"/>
      <c r="AF26" s="1691"/>
      <c r="AG26" s="1691"/>
    </row>
    <row r="27" spans="1:40" ht="14.4">
      <c r="A27" s="1515"/>
      <c r="B27" s="1519" t="s">
        <v>1211</v>
      </c>
      <c r="C27" s="1520" t="e">
        <f>E30+SUM(I33:I39)</f>
        <v>#DIV/0!</v>
      </c>
      <c r="D27" s="1521"/>
      <c r="E27" s="1522"/>
      <c r="F27" s="1523"/>
      <c r="G27" s="1522"/>
      <c r="H27" s="1522"/>
      <c r="I27" s="1522"/>
      <c r="J27" s="1654"/>
      <c r="K27" s="1405"/>
      <c r="L27" s="1651"/>
      <c r="M27" s="1651"/>
      <c r="N27" s="1651"/>
      <c r="O27" s="1651"/>
      <c r="P27" s="1651"/>
      <c r="Q27" s="1651"/>
      <c r="R27" s="1681"/>
      <c r="S27" s="1681"/>
      <c r="T27" s="1681"/>
      <c r="U27" s="1681"/>
      <c r="V27" s="1681"/>
      <c r="W27" s="1651"/>
      <c r="X27" s="1651"/>
      <c r="Y27" s="1651"/>
      <c r="Z27" s="1651"/>
      <c r="AA27" s="1651"/>
      <c r="AB27" s="1651"/>
      <c r="AC27" s="1651"/>
    </row>
    <row r="28" spans="1:40" ht="14.4">
      <c r="A28" s="1524"/>
      <c r="B28" s="1525" t="s">
        <v>1212</v>
      </c>
      <c r="C28" s="1526" t="s">
        <v>1213</v>
      </c>
      <c r="D28" s="1526" t="s">
        <v>391</v>
      </c>
      <c r="E28" s="1527" t="s">
        <v>619</v>
      </c>
      <c r="F28" s="1528"/>
      <c r="G28" s="1452"/>
      <c r="H28" s="1452"/>
      <c r="I28" s="1452"/>
      <c r="J28" s="1611"/>
      <c r="K28" s="1405"/>
      <c r="L28" s="1651"/>
      <c r="M28" s="1651"/>
      <c r="N28" s="1651"/>
      <c r="O28" s="1651"/>
      <c r="P28" s="1651"/>
      <c r="Q28" s="1651"/>
      <c r="R28" s="1681"/>
      <c r="S28" s="1681"/>
      <c r="T28" s="1681"/>
      <c r="U28" s="1681"/>
      <c r="V28" s="1681"/>
      <c r="W28" s="1651"/>
      <c r="X28" s="1651"/>
      <c r="Y28" s="1651"/>
      <c r="Z28" s="1651"/>
      <c r="AA28" s="1651"/>
      <c r="AB28" s="1651"/>
      <c r="AC28" s="1651"/>
      <c r="AD28" s="1691"/>
      <c r="AE28" s="1691"/>
      <c r="AF28" s="1691"/>
      <c r="AG28" s="1691"/>
    </row>
    <row r="29" spans="1:40" ht="24">
      <c r="A29" s="1529"/>
      <c r="B29" s="1530" t="s">
        <v>1214</v>
      </c>
      <c r="C29" s="1516" t="e">
        <f>ROUND(C5*C18*C19*C20*C21*C24,0)</f>
        <v>#DIV/0!</v>
      </c>
      <c r="D29" s="1531"/>
      <c r="E29" s="1532" t="e">
        <f>ROUND(C29*D29/10000,0)</f>
        <v>#DIV/0!</v>
      </c>
      <c r="F29" s="1533" t="s">
        <v>1215</v>
      </c>
      <c r="G29" s="1534"/>
      <c r="H29" s="1534"/>
      <c r="I29" s="1534"/>
      <c r="J29" s="1655"/>
      <c r="K29" s="1405"/>
      <c r="L29" s="1651"/>
      <c r="M29" s="1651"/>
      <c r="N29" s="1651"/>
      <c r="O29" s="1651"/>
      <c r="P29" s="1651"/>
      <c r="Q29" s="1651"/>
      <c r="R29" s="1681"/>
      <c r="S29" s="1681"/>
      <c r="T29" s="1681"/>
      <c r="U29" s="1681"/>
      <c r="V29" s="1681"/>
      <c r="W29" s="1651"/>
      <c r="X29" s="1651"/>
      <c r="Y29" s="1651"/>
      <c r="Z29" s="1651"/>
      <c r="AA29" s="1651"/>
      <c r="AB29" s="1651"/>
      <c r="AC29" s="1651"/>
      <c r="AH29" s="1395"/>
      <c r="AI29" s="1395"/>
      <c r="AJ29" s="1398"/>
      <c r="AK29" s="1398"/>
      <c r="AL29" s="1398"/>
      <c r="AM29" s="1398"/>
    </row>
    <row r="30" spans="1:40" ht="24">
      <c r="A30" s="1535"/>
      <c r="B30" s="1536" t="s">
        <v>1216</v>
      </c>
      <c r="C30" s="1465" t="e">
        <f>ROUND(IF(E2="工业",C29*M39,C29*M38),0)</f>
        <v>#DIV/0!</v>
      </c>
      <c r="D30" s="1537"/>
      <c r="E30" s="1532" t="e">
        <f>ROUND(C30*D30/10000,0)</f>
        <v>#DIV/0!</v>
      </c>
      <c r="F30" s="1538" t="s">
        <v>1217</v>
      </c>
      <c r="G30" s="1539"/>
      <c r="H30" s="1539"/>
      <c r="I30" s="1539"/>
      <c r="J30" s="1656"/>
      <c r="K30" s="1405"/>
      <c r="L30" s="1596"/>
      <c r="M30" s="1596"/>
      <c r="N30" s="1596"/>
      <c r="O30" s="1596"/>
      <c r="P30" s="1596"/>
      <c r="Q30" s="1596"/>
      <c r="R30" s="1682"/>
      <c r="S30" s="1682"/>
      <c r="T30" s="1682"/>
      <c r="U30" s="1682"/>
      <c r="V30" s="1682"/>
      <c r="W30" s="1596"/>
      <c r="X30" s="1596"/>
      <c r="Y30" s="1596"/>
      <c r="Z30" s="1596"/>
      <c r="AA30" s="1596"/>
      <c r="AB30" s="1596"/>
      <c r="AC30" s="1596"/>
      <c r="AD30" s="1691"/>
      <c r="AE30" s="1691"/>
      <c r="AF30" s="1691"/>
      <c r="AG30" s="1691"/>
      <c r="AH30" s="1395"/>
      <c r="AI30" s="1395"/>
      <c r="AJ30" s="1398"/>
      <c r="AK30" s="1398"/>
      <c r="AL30" s="1398"/>
      <c r="AM30" s="1398"/>
    </row>
    <row r="31" spans="1:40">
      <c r="A31" s="1540"/>
      <c r="B31" s="1541" t="s">
        <v>1218</v>
      </c>
      <c r="C31" s="1542" t="s">
        <v>1219</v>
      </c>
      <c r="D31" s="1452"/>
      <c r="E31" s="1542"/>
      <c r="F31" s="1542"/>
      <c r="G31" s="1450" t="s">
        <v>1217</v>
      </c>
      <c r="H31" s="1452"/>
      <c r="I31" s="1657"/>
      <c r="J31" s="1611"/>
      <c r="K31" s="1405"/>
      <c r="L31" s="1596"/>
      <c r="M31" s="1596"/>
      <c r="N31" s="1596"/>
      <c r="O31" s="1596"/>
      <c r="P31" s="1596"/>
      <c r="Q31" s="1596"/>
      <c r="R31" s="1682"/>
      <c r="S31" s="1682"/>
      <c r="T31" s="1682"/>
      <c r="U31" s="1682"/>
      <c r="V31" s="1682"/>
      <c r="W31" s="1596"/>
      <c r="X31" s="1596"/>
      <c r="Y31" s="1596"/>
      <c r="Z31" s="1596"/>
      <c r="AA31" s="1596"/>
      <c r="AB31" s="1596"/>
      <c r="AC31" s="1596"/>
      <c r="AH31" s="1395"/>
      <c r="AI31" s="1395"/>
      <c r="AJ31" s="1398"/>
      <c r="AK31" s="1398"/>
      <c r="AL31" s="1398"/>
      <c r="AM31" s="1398"/>
    </row>
    <row r="32" spans="1:40" ht="36">
      <c r="A32" s="1529"/>
      <c r="B32" s="1543"/>
      <c r="C32" s="1544" t="s">
        <v>1213</v>
      </c>
      <c r="D32" s="1545" t="s">
        <v>391</v>
      </c>
      <c r="E32" s="1545" t="s">
        <v>619</v>
      </c>
      <c r="F32" s="1403" t="s">
        <v>1220</v>
      </c>
      <c r="G32" s="1546" t="s">
        <v>1213</v>
      </c>
      <c r="H32" s="1546" t="s">
        <v>391</v>
      </c>
      <c r="I32" s="1546" t="s">
        <v>619</v>
      </c>
      <c r="J32" s="1658"/>
      <c r="K32" s="1405"/>
      <c r="L32" s="1596"/>
      <c r="M32" s="1596"/>
      <c r="N32" s="1596"/>
      <c r="O32" s="1596"/>
      <c r="P32" s="1596"/>
      <c r="Q32" s="1596"/>
      <c r="R32" s="1682"/>
      <c r="S32" s="1682"/>
      <c r="T32" s="1682"/>
      <c r="U32" s="1682"/>
      <c r="V32" s="1682"/>
      <c r="W32" s="1596"/>
      <c r="X32" s="1596"/>
      <c r="Y32" s="1596"/>
      <c r="Z32" s="1596"/>
      <c r="AA32" s="1596"/>
      <c r="AB32" s="1596"/>
      <c r="AC32" s="1596"/>
      <c r="AD32" s="1395"/>
      <c r="AE32" s="1395"/>
      <c r="AF32" s="1395"/>
      <c r="AG32" s="1395"/>
      <c r="AH32" s="1395"/>
      <c r="AI32" s="1395"/>
      <c r="AJ32" s="1398"/>
      <c r="AK32" s="1398"/>
      <c r="AL32" s="1398"/>
      <c r="AM32" s="1398"/>
    </row>
    <row r="33" spans="1:40" ht="13.2">
      <c r="A33" s="3402" t="s">
        <v>1221</v>
      </c>
      <c r="B33" s="1547" t="s">
        <v>1222</v>
      </c>
      <c r="C33" s="1516" t="e">
        <f>ROUND(D5*C19*C20*C24*F33,0)</f>
        <v>#DIV/0!</v>
      </c>
      <c r="D33" s="1548"/>
      <c r="E33" s="1444" t="e">
        <f>ROUND(C33*D33/10000,0)</f>
        <v>#DIV/0!</v>
      </c>
      <c r="F33" s="1444">
        <f>SUMIF(修正!A45:A56,G2,修正!B45:B56)</f>
        <v>0</v>
      </c>
      <c r="G33" s="1444" t="e">
        <f t="shared" ref="G33" si="6">ROUND(IF(E2="工业",C33*$M$39,C33*$M$38),0)</f>
        <v>#DIV/0!</v>
      </c>
      <c r="H33" s="1444">
        <f>D33</f>
        <v>0</v>
      </c>
      <c r="I33" s="1444" t="e">
        <f>ROUND(G33*H33/10000,0)</f>
        <v>#DIV/0!</v>
      </c>
      <c r="J33" s="1659"/>
      <c r="K33" s="1405"/>
      <c r="L33" s="1596"/>
      <c r="M33" s="1596"/>
      <c r="N33" s="1596"/>
      <c r="O33" s="1596"/>
      <c r="P33" s="1596"/>
      <c r="Q33" s="1596"/>
      <c r="R33" s="1682"/>
      <c r="S33" s="1682"/>
      <c r="T33" s="1682"/>
      <c r="U33" s="1682"/>
      <c r="V33" s="1682"/>
      <c r="W33" s="1596"/>
      <c r="X33" s="1596"/>
      <c r="Y33" s="1596"/>
      <c r="Z33" s="1596"/>
      <c r="AA33" s="1596"/>
      <c r="AB33" s="1596"/>
      <c r="AC33" s="1682"/>
    </row>
    <row r="34" spans="1:40" ht="13.2">
      <c r="A34" s="3403"/>
      <c r="B34" s="1454" t="s">
        <v>1223</v>
      </c>
      <c r="C34" s="1516" t="e">
        <f>ROUND(D5*C19*C20*C24*F34,0)</f>
        <v>#DIV/0!</v>
      </c>
      <c r="D34" s="1548"/>
      <c r="E34" s="1444" t="e">
        <f t="shared" ref="E34:E39" si="7">ROUND(C34*D34/10000,0)</f>
        <v>#DIV/0!</v>
      </c>
      <c r="F34" s="1444">
        <f>SUMIF(修正!A45:A56,G2,修正!C45:C56)</f>
        <v>0</v>
      </c>
      <c r="G34" s="1444" t="e">
        <f>ROUND(IF(E2="工业",C34*$M$39,C34*$M$38),0)</f>
        <v>#DIV/0!</v>
      </c>
      <c r="H34" s="1444">
        <f t="shared" ref="H34:H39" si="8">D34</f>
        <v>0</v>
      </c>
      <c r="I34" s="1444" t="e">
        <f t="shared" ref="I34:I39" si="9">ROUND(G34*H34/10000,0)</f>
        <v>#DIV/0!</v>
      </c>
      <c r="J34" s="1659"/>
      <c r="K34" s="1405"/>
      <c r="L34" s="1596"/>
      <c r="M34" s="1596"/>
      <c r="N34" s="1596"/>
      <c r="O34" s="1596"/>
      <c r="P34" s="1596"/>
      <c r="Q34" s="1596"/>
      <c r="R34" s="1682"/>
      <c r="S34" s="1682"/>
      <c r="T34" s="1682"/>
      <c r="U34" s="1682"/>
      <c r="V34" s="1682"/>
      <c r="W34" s="1596"/>
      <c r="X34" s="1596"/>
      <c r="Y34" s="1596"/>
      <c r="Z34" s="1596"/>
      <c r="AA34" s="1596"/>
      <c r="AB34" s="1596"/>
      <c r="AC34" s="1682"/>
    </row>
    <row r="35" spans="1:40" ht="13.2">
      <c r="A35" s="3403"/>
      <c r="B35" s="1454" t="s">
        <v>1224</v>
      </c>
      <c r="C35" s="1516" t="e">
        <f>ROUND(D5*C19*C20*C24*F35,0)</f>
        <v>#DIV/0!</v>
      </c>
      <c r="D35" s="1548"/>
      <c r="E35" s="1444" t="e">
        <f t="shared" si="7"/>
        <v>#DIV/0!</v>
      </c>
      <c r="F35" s="1444">
        <f>SUMIF(修正!A45:A56,G2,修正!D45:D56)</f>
        <v>0</v>
      </c>
      <c r="G35" s="1444" t="e">
        <f>ROUND(IF(E2="工业",C35*$M$39,C35*$M$38),0)</f>
        <v>#DIV/0!</v>
      </c>
      <c r="H35" s="1444">
        <f t="shared" si="8"/>
        <v>0</v>
      </c>
      <c r="I35" s="1444" t="e">
        <f t="shared" si="9"/>
        <v>#DIV/0!</v>
      </c>
      <c r="J35" s="1659"/>
      <c r="K35" s="1405"/>
      <c r="L35" s="1596"/>
      <c r="M35" s="1596"/>
      <c r="N35" s="1596"/>
      <c r="O35" s="1596"/>
      <c r="P35" s="1596"/>
      <c r="Q35" s="1596"/>
      <c r="R35" s="1682"/>
      <c r="S35" s="1682"/>
      <c r="T35" s="1682"/>
      <c r="U35" s="1682"/>
      <c r="V35" s="1682"/>
      <c r="W35" s="1596"/>
      <c r="X35" s="1596"/>
      <c r="Y35" s="1596"/>
      <c r="Z35" s="1596"/>
      <c r="AA35" s="1596"/>
      <c r="AB35" s="1596"/>
      <c r="AC35" s="1682"/>
    </row>
    <row r="36" spans="1:40" ht="13.2">
      <c r="A36" s="3404"/>
      <c r="B36" s="1454" t="s">
        <v>1225</v>
      </c>
      <c r="C36" s="1516" t="e">
        <f>ROUND(D5*C19*C20*C24*F36,0)</f>
        <v>#DIV/0!</v>
      </c>
      <c r="D36" s="1548"/>
      <c r="E36" s="1444" t="e">
        <f t="shared" si="7"/>
        <v>#DIV/0!</v>
      </c>
      <c r="F36" s="1444">
        <f>SUMIF(修正!A45:A56,G2,修正!E45:E56)</f>
        <v>0</v>
      </c>
      <c r="G36" s="1444" t="e">
        <f>ROUND(IF(E2="工业",C36*$M$39,C36*$M$38),0)</f>
        <v>#DIV/0!</v>
      </c>
      <c r="H36" s="1444">
        <f t="shared" si="8"/>
        <v>0</v>
      </c>
      <c r="I36" s="1444" t="e">
        <f t="shared" si="9"/>
        <v>#DIV/0!</v>
      </c>
      <c r="J36" s="1659"/>
      <c r="K36" s="1405"/>
      <c r="L36" s="1596"/>
      <c r="M36" s="1596"/>
      <c r="N36" s="1596"/>
      <c r="O36" s="1596"/>
      <c r="P36" s="1596"/>
      <c r="Q36" s="1596"/>
      <c r="R36" s="1682"/>
      <c r="S36" s="1682"/>
      <c r="T36" s="1682"/>
      <c r="U36" s="1682"/>
      <c r="V36" s="1682"/>
      <c r="W36" s="1596"/>
      <c r="X36" s="1596"/>
      <c r="Y36" s="1596"/>
      <c r="Z36" s="1596"/>
      <c r="AA36" s="1596"/>
      <c r="AB36" s="1596"/>
      <c r="AC36" s="1682"/>
    </row>
    <row r="37" spans="1:40" ht="13.2">
      <c r="A37" s="1549"/>
      <c r="B37" s="1454" t="s">
        <v>1226</v>
      </c>
      <c r="C37" s="1444" t="e">
        <f>ROUND(D5*C19*C20*C24*F37,0)</f>
        <v>#DIV/0!</v>
      </c>
      <c r="D37" s="1548"/>
      <c r="E37" s="1444" t="e">
        <f t="shared" si="7"/>
        <v>#DIV/0!</v>
      </c>
      <c r="F37" s="1516">
        <f>SUMIF(修正!A45:A56,G2,修正!F45:F56)</f>
        <v>0</v>
      </c>
      <c r="G37" s="1444" t="e">
        <f>ROUND(IF(E2="工业",C37*$M$39,C37*$M$38),0)</f>
        <v>#DIV/0!</v>
      </c>
      <c r="H37" s="1444">
        <f t="shared" si="8"/>
        <v>0</v>
      </c>
      <c r="I37" s="1444" t="e">
        <f t="shared" si="9"/>
        <v>#DIV/0!</v>
      </c>
      <c r="J37" s="1659"/>
      <c r="K37" s="1405"/>
      <c r="L37" s="1660" t="s">
        <v>1227</v>
      </c>
      <c r="M37" s="1661"/>
      <c r="N37" s="1596"/>
      <c r="O37" s="1596"/>
      <c r="P37" s="1596"/>
      <c r="Q37" s="1596"/>
      <c r="R37" s="1682"/>
      <c r="S37" s="1682"/>
      <c r="T37" s="1682"/>
      <c r="U37" s="1682"/>
      <c r="V37" s="1682"/>
      <c r="W37" s="1596"/>
      <c r="X37" s="1596"/>
      <c r="Y37" s="1596"/>
      <c r="Z37" s="1596"/>
      <c r="AA37" s="1596"/>
      <c r="AB37" s="1596"/>
      <c r="AC37" s="1682"/>
    </row>
    <row r="38" spans="1:40" ht="13.2">
      <c r="A38" s="1549"/>
      <c r="B38" s="1454" t="s">
        <v>1228</v>
      </c>
      <c r="C38" s="1444" t="e">
        <f>ROUND(D5*C19*C41*C24*F38,0)</f>
        <v>#DIV/0!</v>
      </c>
      <c r="D38" s="1548"/>
      <c r="E38" s="1444" t="e">
        <f t="shared" si="7"/>
        <v>#DIV/0!</v>
      </c>
      <c r="F38" s="1516">
        <f>SUMIF(修正!A45:A56,G2,修正!G45:G56)</f>
        <v>0</v>
      </c>
      <c r="G38" s="1444" t="e">
        <f>ROUND(IF(E2="工业",C38*$M$39,C38*$M$38),0)</f>
        <v>#DIV/0!</v>
      </c>
      <c r="H38" s="1444">
        <f t="shared" si="8"/>
        <v>0</v>
      </c>
      <c r="I38" s="1444" t="e">
        <f t="shared" si="9"/>
        <v>#DIV/0!</v>
      </c>
      <c r="J38" s="1659"/>
      <c r="K38" s="1405"/>
      <c r="L38" s="1662" t="s">
        <v>1229</v>
      </c>
      <c r="M38" s="1663">
        <v>0.25</v>
      </c>
      <c r="N38" s="1596"/>
      <c r="O38" s="1596"/>
      <c r="P38" s="1596"/>
      <c r="Q38" s="1596"/>
      <c r="R38" s="1682"/>
      <c r="S38" s="1682"/>
      <c r="T38" s="1682"/>
      <c r="U38" s="1682"/>
      <c r="V38" s="1682"/>
      <c r="W38" s="1596"/>
      <c r="X38" s="1596"/>
      <c r="Y38" s="1596"/>
      <c r="Z38" s="1596"/>
      <c r="AA38" s="1596"/>
      <c r="AB38" s="1596"/>
      <c r="AC38" s="1682"/>
    </row>
    <row r="39" spans="1:40" ht="13.2">
      <c r="A39" s="1535"/>
      <c r="B39" s="1550" t="s">
        <v>503</v>
      </c>
      <c r="C39" s="1465" t="e">
        <f>ROUND(D5*C19*C41*C24*F39,0)</f>
        <v>#DIV/0!</v>
      </c>
      <c r="D39" s="1551"/>
      <c r="E39" s="1465" t="e">
        <f t="shared" si="7"/>
        <v>#DIV/0!</v>
      </c>
      <c r="F39" s="1552">
        <f>SUMIF(修正!A45:A56,G2,修正!H45:H56)</f>
        <v>0</v>
      </c>
      <c r="G39" s="1465" t="e">
        <f>ROUND(IF(E2="工业",C39*$M$39,C39*$M$38),0)</f>
        <v>#DIV/0!</v>
      </c>
      <c r="H39" s="1465">
        <f t="shared" si="8"/>
        <v>0</v>
      </c>
      <c r="I39" s="1465" t="e">
        <f t="shared" si="9"/>
        <v>#DIV/0!</v>
      </c>
      <c r="J39" s="1664"/>
      <c r="K39" s="1405"/>
      <c r="L39" s="1665" t="s">
        <v>1230</v>
      </c>
      <c r="M39" s="1666">
        <v>0.15</v>
      </c>
      <c r="N39" s="1596"/>
      <c r="O39" s="1596"/>
      <c r="P39" s="1596"/>
      <c r="Q39" s="1596"/>
      <c r="R39" s="1682"/>
      <c r="S39" s="1682"/>
      <c r="T39" s="1682"/>
      <c r="U39" s="1682"/>
      <c r="V39" s="1682"/>
      <c r="W39" s="1596"/>
      <c r="X39" s="1596"/>
      <c r="Y39" s="1596"/>
      <c r="Z39" s="1596"/>
      <c r="AA39" s="1596"/>
      <c r="AB39" s="1596"/>
      <c r="AC39" s="1682"/>
    </row>
    <row r="40" spans="1:40" s="1395" customFormat="1">
      <c r="B40" s="1553"/>
      <c r="C40" s="1553"/>
      <c r="D40" s="1553"/>
      <c r="E40" s="1553"/>
      <c r="F40" s="1553"/>
      <c r="G40" s="1553"/>
      <c r="H40" s="1553"/>
      <c r="I40" s="1553"/>
      <c r="J40" s="1553"/>
      <c r="K40" s="1553"/>
      <c r="L40" s="1553"/>
      <c r="M40" s="1553"/>
      <c r="N40" s="1553"/>
      <c r="O40" s="1553"/>
      <c r="P40" s="1553"/>
      <c r="Q40" s="1553"/>
      <c r="R40" s="1683"/>
      <c r="S40" s="1683"/>
      <c r="T40" s="1683"/>
      <c r="U40" s="1683"/>
      <c r="V40" s="1683"/>
      <c r="W40" s="1553"/>
      <c r="X40" s="1553"/>
      <c r="Y40" s="1553"/>
      <c r="Z40" s="1553"/>
      <c r="AA40" s="1553"/>
      <c r="AB40" s="1553"/>
      <c r="AC40" s="1683"/>
      <c r="AD40" s="1399"/>
      <c r="AE40" s="1399"/>
      <c r="AF40" s="1399"/>
      <c r="AG40" s="1399"/>
      <c r="AH40" s="1399"/>
      <c r="AI40" s="1399"/>
      <c r="AJ40" s="1399"/>
      <c r="AK40" s="1399"/>
      <c r="AL40" s="1399"/>
      <c r="AM40" s="1399"/>
    </row>
    <row r="41" spans="1:40" s="1395" customFormat="1" ht="24">
      <c r="A41" s="1399"/>
      <c r="B41" s="1554" t="s">
        <v>1231</v>
      </c>
      <c r="C41" s="1293" t="e">
        <f>ROUND(POWER(1+E41,H41-G41)*(POWER(1+E41,G41)-1)/(POWER(1+E41,H41)-1),4)</f>
        <v>#DIV/0!</v>
      </c>
      <c r="D41" s="1555" t="s">
        <v>1232</v>
      </c>
      <c r="E41" s="1556">
        <f>G20</f>
        <v>0</v>
      </c>
      <c r="F41" s="1555" t="s">
        <v>1233</v>
      </c>
      <c r="G41" s="1557"/>
      <c r="H41" s="1555">
        <v>50</v>
      </c>
      <c r="I41" s="1553"/>
      <c r="J41" s="1553"/>
      <c r="K41" s="1553"/>
      <c r="L41" s="1553"/>
      <c r="M41" s="1553"/>
      <c r="N41" s="1553"/>
      <c r="O41" s="1553"/>
      <c r="P41" s="1553"/>
      <c r="Q41" s="1553"/>
      <c r="R41" s="1683"/>
      <c r="S41" s="1683"/>
      <c r="T41" s="1683"/>
      <c r="U41" s="1683"/>
      <c r="V41" s="1683"/>
      <c r="W41" s="1553"/>
      <c r="X41" s="1553"/>
      <c r="Y41" s="1553"/>
      <c r="Z41" s="1553"/>
      <c r="AA41" s="1553"/>
      <c r="AB41" s="1553"/>
      <c r="AC41" s="1683"/>
      <c r="AD41" s="1399"/>
      <c r="AE41" s="1399"/>
      <c r="AF41" s="1399"/>
      <c r="AG41" s="1399"/>
      <c r="AH41" s="1399"/>
      <c r="AI41" s="1399"/>
      <c r="AJ41" s="1399"/>
      <c r="AK41" s="1399"/>
      <c r="AL41" s="1399"/>
      <c r="AM41" s="1399"/>
    </row>
    <row r="42" spans="1:40" s="1395" customFormat="1">
      <c r="A42" s="1399"/>
      <c r="B42" s="1558"/>
      <c r="C42" s="1553"/>
      <c r="D42" s="1553"/>
      <c r="E42" s="1553"/>
      <c r="F42" s="1553"/>
      <c r="G42" s="1553"/>
      <c r="H42" s="1553"/>
      <c r="I42" s="1553"/>
      <c r="J42" s="1553"/>
      <c r="K42" s="1553"/>
      <c r="L42" s="1553"/>
      <c r="M42" s="1553"/>
      <c r="N42" s="1553"/>
      <c r="O42" s="1553"/>
      <c r="P42" s="1553"/>
      <c r="Q42" s="1553"/>
      <c r="R42" s="1683"/>
      <c r="S42" s="1683"/>
      <c r="T42" s="1683"/>
      <c r="U42" s="1683"/>
      <c r="V42" s="1683"/>
      <c r="W42" s="1553"/>
      <c r="X42" s="1553"/>
      <c r="Y42" s="1553"/>
      <c r="Z42" s="1553"/>
      <c r="AA42" s="1553"/>
      <c r="AB42" s="1553"/>
      <c r="AC42" s="1683"/>
      <c r="AD42" s="1399"/>
      <c r="AE42" s="1399"/>
      <c r="AF42" s="1399"/>
      <c r="AG42" s="1399"/>
      <c r="AH42" s="1399"/>
      <c r="AI42" s="1399"/>
      <c r="AJ42" s="1399"/>
      <c r="AK42" s="1399"/>
      <c r="AL42" s="1399"/>
      <c r="AM42" s="1399"/>
    </row>
    <row r="43" spans="1:40" s="1395" customFormat="1">
      <c r="A43" s="1399"/>
      <c r="B43" s="1558"/>
      <c r="C43" s="1553"/>
      <c r="D43" s="1553"/>
      <c r="E43" s="1553"/>
      <c r="F43" s="1553"/>
      <c r="G43" s="1553"/>
      <c r="H43" s="1553"/>
      <c r="I43" s="1553"/>
      <c r="J43" s="1553"/>
      <c r="K43" s="1553"/>
      <c r="L43" s="1553"/>
      <c r="M43" s="1553"/>
      <c r="N43" s="1553"/>
      <c r="O43" s="1553"/>
      <c r="P43" s="1553"/>
      <c r="Q43" s="1553"/>
      <c r="R43" s="1683"/>
      <c r="S43" s="1683"/>
      <c r="T43" s="1683"/>
      <c r="U43" s="1683"/>
      <c r="V43" s="1683"/>
      <c r="W43" s="1553"/>
      <c r="X43" s="1553"/>
      <c r="Y43" s="1553"/>
      <c r="Z43" s="1553"/>
      <c r="AA43" s="1553"/>
      <c r="AB43" s="1553"/>
      <c r="AC43" s="1683"/>
      <c r="AD43" s="1399"/>
      <c r="AE43" s="1399"/>
      <c r="AF43" s="1399"/>
      <c r="AG43" s="1399"/>
      <c r="AH43" s="1399"/>
      <c r="AI43" s="1399"/>
      <c r="AJ43" s="1399"/>
      <c r="AK43" s="1399"/>
      <c r="AL43" s="1399"/>
      <c r="AM43" s="1399"/>
    </row>
    <row r="44" spans="1:40" s="1395" customFormat="1" ht="14.4">
      <c r="A44" s="1559" t="s">
        <v>1234</v>
      </c>
      <c r="B44" s="1560"/>
      <c r="C44" s="1561"/>
      <c r="D44" s="1562"/>
      <c r="E44" s="1562"/>
      <c r="F44" s="1563"/>
      <c r="G44" s="1162"/>
      <c r="H44" s="1563"/>
      <c r="I44" s="1162"/>
      <c r="J44" s="1162"/>
      <c r="K44" s="1162"/>
      <c r="L44" s="1162"/>
      <c r="M44" s="1162"/>
      <c r="O44" s="1553"/>
      <c r="P44" s="1553"/>
      <c r="Q44" s="1553"/>
      <c r="R44" s="1683"/>
      <c r="S44" s="1683"/>
      <c r="T44" s="1683"/>
      <c r="U44" s="1683"/>
      <c r="V44" s="1683"/>
      <c r="W44" s="1553"/>
      <c r="X44" s="1553"/>
      <c r="Y44" s="1553"/>
      <c r="Z44" s="1553"/>
      <c r="AA44" s="1553"/>
      <c r="AB44" s="1553"/>
      <c r="AC44" s="1683"/>
      <c r="AD44" s="1399"/>
      <c r="AE44" s="1399"/>
      <c r="AF44" s="1399"/>
      <c r="AG44" s="1399"/>
      <c r="AH44" s="1399"/>
      <c r="AI44" s="1399"/>
      <c r="AJ44" s="1399"/>
      <c r="AK44" s="1399"/>
      <c r="AL44" s="1399"/>
      <c r="AM44" s="1399"/>
    </row>
    <row r="45" spans="1:40" s="1395" customFormat="1" ht="14.4">
      <c r="A45" s="1564" t="s">
        <v>380</v>
      </c>
      <c r="B45" s="1565">
        <f>1+E47</f>
        <v>1</v>
      </c>
      <c r="C45" s="1566"/>
      <c r="D45" s="1567"/>
      <c r="E45" s="1568"/>
      <c r="F45" s="1569"/>
      <c r="G45" s="1563"/>
      <c r="H45" s="1563"/>
      <c r="I45" s="1162"/>
      <c r="J45" s="1162"/>
      <c r="K45" s="1162"/>
      <c r="L45" s="1162"/>
      <c r="M45" s="1162"/>
      <c r="O45" s="1553"/>
      <c r="P45" s="1553"/>
      <c r="Q45" s="1553"/>
      <c r="R45" s="1683"/>
      <c r="S45" s="1683"/>
      <c r="T45" s="1683"/>
      <c r="U45" s="1683"/>
      <c r="V45" s="1683"/>
      <c r="W45" s="1553"/>
      <c r="X45" s="1553"/>
      <c r="Y45" s="1553"/>
      <c r="Z45" s="1553"/>
      <c r="AA45" s="1553"/>
      <c r="AB45" s="1553"/>
      <c r="AC45" s="1683"/>
      <c r="AD45" s="1399"/>
      <c r="AE45" s="1399"/>
      <c r="AF45" s="1399"/>
      <c r="AG45" s="1399"/>
      <c r="AH45" s="1399"/>
      <c r="AI45" s="1399"/>
      <c r="AJ45" s="1399"/>
      <c r="AK45" s="1399"/>
      <c r="AL45" s="1399"/>
      <c r="AM45" s="1399"/>
    </row>
    <row r="46" spans="1:40" s="1395" customFormat="1" ht="24">
      <c r="A46" s="1210" t="s">
        <v>1235</v>
      </c>
      <c r="B46" s="1570" t="s">
        <v>1236</v>
      </c>
      <c r="C46" s="1571" t="s">
        <v>1237</v>
      </c>
      <c r="D46" s="1572" t="s">
        <v>1238</v>
      </c>
      <c r="E46" s="1573" t="s">
        <v>1239</v>
      </c>
      <c r="F46" s="1574" t="s">
        <v>1240</v>
      </c>
      <c r="G46" s="1572" t="s">
        <v>1241</v>
      </c>
      <c r="H46" s="1575" t="s">
        <v>1242</v>
      </c>
      <c r="I46" s="1572" t="s">
        <v>1243</v>
      </c>
      <c r="J46" s="1667" t="s">
        <v>252</v>
      </c>
      <c r="K46" s="1667" t="s">
        <v>264</v>
      </c>
      <c r="L46" s="1667" t="s">
        <v>274</v>
      </c>
      <c r="M46" s="1667" t="s">
        <v>284</v>
      </c>
      <c r="N46" s="1667" t="s">
        <v>291</v>
      </c>
      <c r="P46" s="1553"/>
      <c r="Q46" s="1553"/>
      <c r="R46" s="1683"/>
      <c r="S46" s="1683"/>
      <c r="T46" s="1683"/>
      <c r="U46" s="1683"/>
      <c r="V46" s="1683"/>
      <c r="W46" s="1553"/>
      <c r="X46" s="1553"/>
      <c r="Y46" s="1553"/>
      <c r="Z46" s="1553"/>
      <c r="AA46" s="1553"/>
      <c r="AB46" s="1553"/>
      <c r="AC46" s="1553"/>
      <c r="AD46" s="1683"/>
      <c r="AE46" s="1399"/>
      <c r="AF46" s="1399"/>
      <c r="AG46" s="1399"/>
      <c r="AH46" s="1399"/>
      <c r="AI46" s="1399"/>
      <c r="AJ46" s="1399"/>
      <c r="AK46" s="1399"/>
      <c r="AL46" s="1399"/>
      <c r="AM46" s="1399"/>
      <c r="AN46" s="1399"/>
    </row>
    <row r="47" spans="1:40" s="1395" customFormat="1" ht="24">
      <c r="A47" s="1210" t="s">
        <v>1244</v>
      </c>
      <c r="B47" s="1576" t="str">
        <f>估价对象房地状况!C16</f>
        <v>好</v>
      </c>
      <c r="C47" s="1577"/>
      <c r="D47" s="1578">
        <f t="shared" ref="D47:D55" si="10">SUMIF($J$46:$N$46,C47,J47:N47)</f>
        <v>0</v>
      </c>
      <c r="E47" s="1579">
        <f>ROUND(SUM(D47:D55),4)</f>
        <v>0</v>
      </c>
      <c r="F47" s="1580" t="str">
        <f>IF(E2="商业",SUMIF(L1:L12,G2,N1:N12),"——")</f>
        <v>——</v>
      </c>
      <c r="G47" s="1581"/>
      <c r="H47" s="1582" t="str">
        <f t="shared" ref="H47:H55" si="11">IFERROR(ROUNDDOWN(($F$47*I47/2),4),"——")</f>
        <v>——</v>
      </c>
      <c r="I47" s="1668">
        <v>0.33</v>
      </c>
      <c r="J47" s="1669">
        <f t="shared" ref="J47:J55" si="12">K47+$G47</f>
        <v>0</v>
      </c>
      <c r="K47" s="1669">
        <f t="shared" ref="K47:K55" si="13">$L47+$G47</f>
        <v>0</v>
      </c>
      <c r="L47" s="1669">
        <v>0</v>
      </c>
      <c r="M47" s="1669">
        <f t="shared" ref="M47:N55" si="14">L47-$G47</f>
        <v>0</v>
      </c>
      <c r="N47" s="1669">
        <f t="shared" si="14"/>
        <v>0</v>
      </c>
      <c r="P47" s="1553"/>
      <c r="Q47" s="1553"/>
      <c r="R47" s="1683"/>
      <c r="S47" s="1683"/>
      <c r="T47" s="1683"/>
      <c r="U47" s="1683"/>
      <c r="V47" s="1683"/>
      <c r="W47" s="1553"/>
      <c r="X47" s="1553"/>
      <c r="Y47" s="1553"/>
      <c r="Z47" s="1553"/>
      <c r="AA47" s="1553"/>
      <c r="AB47" s="1553"/>
      <c r="AC47" s="1553"/>
      <c r="AD47" s="1683"/>
      <c r="AE47" s="1399"/>
      <c r="AF47" s="1399"/>
      <c r="AG47" s="1399"/>
      <c r="AH47" s="1399"/>
      <c r="AI47" s="1399"/>
      <c r="AJ47" s="1399"/>
      <c r="AK47" s="1399"/>
      <c r="AL47" s="1399"/>
      <c r="AM47" s="1399"/>
      <c r="AN47" s="1399"/>
    </row>
    <row r="48" spans="1:40" s="1395" customFormat="1" ht="24">
      <c r="A48" s="1210" t="s">
        <v>668</v>
      </c>
      <c r="B48" s="1570" t="str">
        <f>估价对象房地状况!C18</f>
        <v>较好</v>
      </c>
      <c r="C48" s="1577"/>
      <c r="D48" s="1578">
        <f t="shared" si="10"/>
        <v>0</v>
      </c>
      <c r="E48" s="1583"/>
      <c r="F48" s="1580"/>
      <c r="G48" s="1581"/>
      <c r="H48" s="1582" t="str">
        <f t="shared" si="11"/>
        <v>——</v>
      </c>
      <c r="I48" s="1668">
        <v>0.25</v>
      </c>
      <c r="J48" s="1669">
        <f t="shared" si="12"/>
        <v>0</v>
      </c>
      <c r="K48" s="1669">
        <f t="shared" si="13"/>
        <v>0</v>
      </c>
      <c r="L48" s="1669">
        <v>0</v>
      </c>
      <c r="M48" s="1669">
        <f t="shared" si="14"/>
        <v>0</v>
      </c>
      <c r="N48" s="1669">
        <f t="shared" si="14"/>
        <v>0</v>
      </c>
      <c r="P48" s="1553"/>
      <c r="Q48" s="1553"/>
      <c r="R48" s="1683"/>
      <c r="S48" s="1683"/>
      <c r="T48" s="1683"/>
      <c r="U48" s="1683"/>
      <c r="V48" s="1683"/>
      <c r="W48" s="1553"/>
      <c r="X48" s="1553"/>
      <c r="Y48" s="1553"/>
      <c r="Z48" s="1553"/>
      <c r="AA48" s="1553"/>
      <c r="AB48" s="1553"/>
      <c r="AC48" s="1553"/>
      <c r="AD48" s="1683"/>
      <c r="AE48" s="1399"/>
      <c r="AF48" s="1399"/>
      <c r="AG48" s="1399"/>
      <c r="AH48" s="1399"/>
      <c r="AI48" s="1399"/>
      <c r="AJ48" s="1399"/>
      <c r="AK48" s="1399"/>
      <c r="AL48" s="1399"/>
      <c r="AM48" s="1399"/>
      <c r="AN48" s="1399"/>
    </row>
    <row r="49" spans="1:40" s="1395" customFormat="1" ht="24">
      <c r="A49" s="1210" t="s">
        <v>678</v>
      </c>
      <c r="B49" s="1570">
        <f>估价对象房地状况!C19</f>
        <v>0</v>
      </c>
      <c r="C49" s="1577"/>
      <c r="D49" s="1578">
        <f t="shared" si="10"/>
        <v>0</v>
      </c>
      <c r="E49" s="1583"/>
      <c r="F49" s="1580"/>
      <c r="G49" s="1581"/>
      <c r="H49" s="1582" t="str">
        <f t="shared" si="11"/>
        <v>——</v>
      </c>
      <c r="I49" s="1668">
        <v>0.05</v>
      </c>
      <c r="J49" s="1669">
        <f t="shared" si="12"/>
        <v>0</v>
      </c>
      <c r="K49" s="1669">
        <f t="shared" si="13"/>
        <v>0</v>
      </c>
      <c r="L49" s="1669">
        <v>0</v>
      </c>
      <c r="M49" s="1669">
        <f t="shared" si="14"/>
        <v>0</v>
      </c>
      <c r="N49" s="1669">
        <f t="shared" si="14"/>
        <v>0</v>
      </c>
      <c r="P49" s="1553"/>
      <c r="Q49" s="1553"/>
      <c r="R49" s="1683"/>
      <c r="S49" s="1683"/>
      <c r="T49" s="1683"/>
      <c r="U49" s="1683"/>
      <c r="V49" s="1683"/>
      <c r="W49" s="1553"/>
      <c r="X49" s="1553"/>
      <c r="Y49" s="1553"/>
      <c r="Z49" s="1553"/>
      <c r="AA49" s="1553"/>
      <c r="AB49" s="1553"/>
      <c r="AC49" s="1553"/>
      <c r="AD49" s="1683"/>
      <c r="AE49" s="1399"/>
      <c r="AF49" s="1399"/>
      <c r="AG49" s="1399"/>
      <c r="AH49" s="1399"/>
      <c r="AI49" s="1399"/>
      <c r="AJ49" s="1399"/>
      <c r="AK49" s="1399"/>
      <c r="AL49" s="1399"/>
      <c r="AM49" s="1399"/>
      <c r="AN49" s="1399"/>
    </row>
    <row r="50" spans="1:40" s="1395" customFormat="1" ht="48">
      <c r="A50" s="1210" t="s">
        <v>1245</v>
      </c>
      <c r="B50" s="1584" t="s">
        <v>1246</v>
      </c>
      <c r="C50" s="1577"/>
      <c r="D50" s="1578">
        <f t="shared" si="10"/>
        <v>0</v>
      </c>
      <c r="E50" s="1583"/>
      <c r="F50" s="1580"/>
      <c r="G50" s="1581"/>
      <c r="H50" s="1582" t="str">
        <f t="shared" si="11"/>
        <v>——</v>
      </c>
      <c r="I50" s="1668">
        <v>0.05</v>
      </c>
      <c r="J50" s="1669">
        <f t="shared" si="12"/>
        <v>0</v>
      </c>
      <c r="K50" s="1669">
        <f t="shared" si="13"/>
        <v>0</v>
      </c>
      <c r="L50" s="1669">
        <v>0</v>
      </c>
      <c r="M50" s="1669">
        <f t="shared" si="14"/>
        <v>0</v>
      </c>
      <c r="N50" s="1669">
        <f t="shared" si="14"/>
        <v>0</v>
      </c>
      <c r="P50" s="1553"/>
      <c r="Q50" s="1553"/>
      <c r="R50" s="1683"/>
      <c r="S50" s="1683"/>
      <c r="T50" s="1683"/>
      <c r="U50" s="1683"/>
      <c r="V50" s="1683"/>
      <c r="W50" s="1553"/>
      <c r="X50" s="1553"/>
      <c r="Y50" s="1553"/>
      <c r="Z50" s="1553"/>
      <c r="AA50" s="1553"/>
      <c r="AB50" s="1553"/>
      <c r="AC50" s="1553"/>
      <c r="AD50" s="1683"/>
      <c r="AE50" s="1399"/>
      <c r="AF50" s="1399"/>
      <c r="AG50" s="1399"/>
      <c r="AH50" s="1399"/>
      <c r="AI50" s="1399"/>
      <c r="AJ50" s="1399"/>
      <c r="AK50" s="1399"/>
      <c r="AL50" s="1399"/>
      <c r="AM50" s="1399"/>
      <c r="AN50" s="1399"/>
    </row>
    <row r="51" spans="1:40" s="1395" customFormat="1" ht="24">
      <c r="A51" s="1210" t="s">
        <v>1247</v>
      </c>
      <c r="B51" s="1570">
        <f>估价对象房地状况!C24</f>
        <v>0</v>
      </c>
      <c r="C51" s="1577"/>
      <c r="D51" s="1578">
        <f t="shared" si="10"/>
        <v>0</v>
      </c>
      <c r="E51" s="1583"/>
      <c r="F51" s="1580"/>
      <c r="G51" s="1581"/>
      <c r="H51" s="1582" t="str">
        <f t="shared" si="11"/>
        <v>——</v>
      </c>
      <c r="I51" s="1668">
        <v>0.08</v>
      </c>
      <c r="J51" s="1669">
        <f t="shared" si="12"/>
        <v>0</v>
      </c>
      <c r="K51" s="1669">
        <f t="shared" si="13"/>
        <v>0</v>
      </c>
      <c r="L51" s="1669">
        <v>0</v>
      </c>
      <c r="M51" s="1669">
        <f t="shared" si="14"/>
        <v>0</v>
      </c>
      <c r="N51" s="1669">
        <f t="shared" si="14"/>
        <v>0</v>
      </c>
      <c r="P51" s="1553"/>
      <c r="Q51" s="1553"/>
      <c r="R51" s="1683"/>
      <c r="S51" s="1683"/>
      <c r="T51" s="1683"/>
      <c r="U51" s="1683"/>
      <c r="V51" s="1683"/>
      <c r="W51" s="1553"/>
      <c r="X51" s="1553"/>
      <c r="Y51" s="1553"/>
      <c r="Z51" s="1553"/>
      <c r="AA51" s="1553"/>
      <c r="AB51" s="1553"/>
      <c r="AC51" s="1553"/>
      <c r="AD51" s="1683"/>
      <c r="AE51" s="1399"/>
      <c r="AF51" s="1399"/>
      <c r="AG51" s="1399"/>
      <c r="AH51" s="1399"/>
      <c r="AI51" s="1399"/>
      <c r="AJ51" s="1399"/>
      <c r="AK51" s="1399"/>
      <c r="AL51" s="1399"/>
      <c r="AM51" s="1399"/>
      <c r="AN51" s="1399"/>
    </row>
    <row r="52" spans="1:40" s="1395" customFormat="1" ht="36">
      <c r="A52" s="1210" t="s">
        <v>1248</v>
      </c>
      <c r="B52" s="1585" t="s">
        <v>1249</v>
      </c>
      <c r="C52" s="1577"/>
      <c r="D52" s="1578">
        <f t="shared" si="10"/>
        <v>0</v>
      </c>
      <c r="E52" s="1583"/>
      <c r="F52" s="1580"/>
      <c r="G52" s="1581"/>
      <c r="H52" s="1582" t="str">
        <f t="shared" si="11"/>
        <v>——</v>
      </c>
      <c r="I52" s="1668">
        <v>0.03</v>
      </c>
      <c r="J52" s="1669">
        <f t="shared" si="12"/>
        <v>0</v>
      </c>
      <c r="K52" s="1669">
        <f t="shared" si="13"/>
        <v>0</v>
      </c>
      <c r="L52" s="1669">
        <v>0</v>
      </c>
      <c r="M52" s="1669">
        <f t="shared" si="14"/>
        <v>0</v>
      </c>
      <c r="N52" s="1669">
        <f t="shared" si="14"/>
        <v>0</v>
      </c>
      <c r="P52" s="1553"/>
      <c r="Q52" s="1553"/>
      <c r="R52" s="1683"/>
      <c r="S52" s="1683"/>
      <c r="T52" s="1683"/>
      <c r="U52" s="1683"/>
      <c r="V52" s="1683"/>
      <c r="W52" s="1553"/>
      <c r="X52" s="1553"/>
      <c r="Y52" s="1553"/>
      <c r="Z52" s="1553"/>
      <c r="AA52" s="1553"/>
      <c r="AB52" s="1553"/>
      <c r="AC52" s="1553"/>
      <c r="AD52" s="1683"/>
      <c r="AE52" s="1399"/>
      <c r="AF52" s="1399"/>
      <c r="AG52" s="1399"/>
      <c r="AH52" s="1399"/>
      <c r="AI52" s="1399"/>
      <c r="AJ52" s="1399"/>
      <c r="AK52" s="1399"/>
      <c r="AL52" s="1399"/>
      <c r="AM52" s="1399"/>
      <c r="AN52" s="1399"/>
    </row>
    <row r="53" spans="1:40" s="1395" customFormat="1" ht="24">
      <c r="A53" s="1586" t="s">
        <v>1250</v>
      </c>
      <c r="B53" s="1587" t="str">
        <f>估价对象房地状况!C21</f>
        <v>较好</v>
      </c>
      <c r="C53" s="1577"/>
      <c r="D53" s="1578">
        <f t="shared" si="10"/>
        <v>0</v>
      </c>
      <c r="E53" s="1583"/>
      <c r="F53" s="1580"/>
      <c r="G53" s="1581"/>
      <c r="H53" s="1582" t="str">
        <f t="shared" si="11"/>
        <v>——</v>
      </c>
      <c r="I53" s="1668">
        <v>0.05</v>
      </c>
      <c r="J53" s="1669">
        <f t="shared" si="12"/>
        <v>0</v>
      </c>
      <c r="K53" s="1669">
        <f t="shared" si="13"/>
        <v>0</v>
      </c>
      <c r="L53" s="1669">
        <v>0</v>
      </c>
      <c r="M53" s="1669">
        <f t="shared" si="14"/>
        <v>0</v>
      </c>
      <c r="N53" s="1669">
        <f t="shared" si="14"/>
        <v>0</v>
      </c>
      <c r="P53" s="1553"/>
      <c r="Q53" s="1553"/>
      <c r="R53" s="1683"/>
      <c r="S53" s="1683"/>
      <c r="T53" s="1683"/>
      <c r="U53" s="1683"/>
      <c r="V53" s="1683"/>
      <c r="W53" s="1553"/>
      <c r="X53" s="1553"/>
      <c r="Y53" s="1553"/>
      <c r="Z53" s="1553"/>
      <c r="AA53" s="1553"/>
      <c r="AB53" s="1553"/>
      <c r="AC53" s="1553"/>
      <c r="AD53" s="1683"/>
      <c r="AE53" s="1399"/>
      <c r="AF53" s="1399"/>
      <c r="AG53" s="1399"/>
      <c r="AH53" s="1399"/>
      <c r="AI53" s="1399"/>
      <c r="AJ53" s="1399"/>
      <c r="AK53" s="1399"/>
      <c r="AL53" s="1399"/>
      <c r="AM53" s="1399"/>
      <c r="AN53" s="1399"/>
    </row>
    <row r="54" spans="1:40" s="1395" customFormat="1" ht="24">
      <c r="A54" s="1586" t="s">
        <v>1251</v>
      </c>
      <c r="B54" s="1570" t="str">
        <f>估价对象房地状况!C22</f>
        <v>六通</v>
      </c>
      <c r="C54" s="1577"/>
      <c r="D54" s="1578">
        <f t="shared" si="10"/>
        <v>0</v>
      </c>
      <c r="E54" s="1583"/>
      <c r="F54" s="1580"/>
      <c r="G54" s="1581"/>
      <c r="H54" s="1582" t="str">
        <f t="shared" si="11"/>
        <v>——</v>
      </c>
      <c r="I54" s="1668">
        <v>0.1</v>
      </c>
      <c r="J54" s="1669">
        <f t="shared" si="12"/>
        <v>0</v>
      </c>
      <c r="K54" s="1669">
        <f t="shared" si="13"/>
        <v>0</v>
      </c>
      <c r="L54" s="1669">
        <v>0</v>
      </c>
      <c r="M54" s="1669">
        <f t="shared" si="14"/>
        <v>0</v>
      </c>
      <c r="N54" s="1669">
        <f t="shared" si="14"/>
        <v>0</v>
      </c>
      <c r="P54" s="1553"/>
      <c r="Q54" s="1553"/>
      <c r="R54" s="1683"/>
      <c r="S54" s="1683"/>
      <c r="T54" s="1683"/>
      <c r="U54" s="1683"/>
      <c r="V54" s="1683"/>
      <c r="W54" s="1553"/>
      <c r="X54" s="1553"/>
      <c r="Y54" s="1553"/>
      <c r="Z54" s="1553"/>
      <c r="AA54" s="1553"/>
      <c r="AB54" s="1553"/>
      <c r="AC54" s="1553"/>
      <c r="AD54" s="1683"/>
      <c r="AE54" s="1399"/>
      <c r="AF54" s="1399"/>
      <c r="AG54" s="1399"/>
      <c r="AH54" s="1399"/>
      <c r="AI54" s="1399"/>
      <c r="AJ54" s="1399"/>
      <c r="AK54" s="1399"/>
      <c r="AL54" s="1399"/>
      <c r="AM54" s="1399"/>
      <c r="AN54" s="1399"/>
    </row>
    <row r="55" spans="1:40" s="1395" customFormat="1" ht="36">
      <c r="A55" s="1588" t="s">
        <v>1252</v>
      </c>
      <c r="B55" s="1589" t="str">
        <f>估价对象房地状况!C20</f>
        <v>较好</v>
      </c>
      <c r="C55" s="1577"/>
      <c r="D55" s="1578">
        <f t="shared" si="10"/>
        <v>0</v>
      </c>
      <c r="E55" s="1590"/>
      <c r="F55" s="1580"/>
      <c r="G55" s="1581"/>
      <c r="H55" s="1582" t="str">
        <f t="shared" si="11"/>
        <v>——</v>
      </c>
      <c r="I55" s="1670">
        <v>0.06</v>
      </c>
      <c r="J55" s="1669">
        <f t="shared" si="12"/>
        <v>0</v>
      </c>
      <c r="K55" s="1669">
        <f t="shared" si="13"/>
        <v>0</v>
      </c>
      <c r="L55" s="1669">
        <v>0</v>
      </c>
      <c r="M55" s="1669">
        <f t="shared" si="14"/>
        <v>0</v>
      </c>
      <c r="N55" s="1669">
        <f t="shared" si="14"/>
        <v>0</v>
      </c>
      <c r="P55" s="1553"/>
      <c r="Q55" s="1553"/>
      <c r="R55" s="1683"/>
      <c r="S55" s="1683"/>
      <c r="T55" s="1683"/>
      <c r="U55" s="1683"/>
      <c r="V55" s="1683"/>
      <c r="W55" s="1553"/>
      <c r="X55" s="1553"/>
      <c r="Y55" s="1553"/>
      <c r="Z55" s="1553"/>
      <c r="AA55" s="1553"/>
      <c r="AB55" s="1553"/>
      <c r="AC55" s="1553"/>
      <c r="AD55" s="1683"/>
      <c r="AE55" s="1399"/>
      <c r="AF55" s="1399"/>
      <c r="AG55" s="1399"/>
      <c r="AH55" s="1399"/>
      <c r="AI55" s="1399"/>
      <c r="AJ55" s="1399"/>
      <c r="AK55" s="1399"/>
      <c r="AL55" s="1399"/>
      <c r="AM55" s="1399"/>
      <c r="AN55" s="1399"/>
    </row>
    <row r="56" spans="1:40" s="1395" customFormat="1" ht="14.4">
      <c r="A56" s="1564" t="s">
        <v>381</v>
      </c>
      <c r="B56" s="1565">
        <f>1+E58</f>
        <v>1</v>
      </c>
      <c r="C56" s="1591"/>
      <c r="D56" s="1567"/>
      <c r="E56" s="1568"/>
      <c r="F56" s="1569"/>
      <c r="G56" s="1563"/>
      <c r="H56" s="1563"/>
      <c r="I56" s="1563"/>
      <c r="J56" s="1162"/>
      <c r="K56" s="1162"/>
      <c r="L56" s="1162"/>
      <c r="M56" s="1162"/>
      <c r="N56" s="1162"/>
      <c r="P56" s="1553"/>
      <c r="Q56" s="1553"/>
      <c r="R56" s="1683"/>
      <c r="S56" s="1683"/>
      <c r="T56" s="1683"/>
      <c r="U56" s="1683"/>
      <c r="V56" s="1683"/>
      <c r="W56" s="1553"/>
      <c r="X56" s="1553"/>
      <c r="Y56" s="1553"/>
      <c r="Z56" s="1553"/>
      <c r="AA56" s="1553"/>
      <c r="AB56" s="1553"/>
      <c r="AC56" s="1553"/>
      <c r="AD56" s="1683"/>
      <c r="AE56" s="1399"/>
      <c r="AF56" s="1399"/>
      <c r="AG56" s="1399"/>
      <c r="AH56" s="1399"/>
      <c r="AI56" s="1399"/>
      <c r="AJ56" s="1399"/>
      <c r="AK56" s="1399"/>
      <c r="AL56" s="1399"/>
      <c r="AM56" s="1399"/>
      <c r="AN56" s="1399"/>
    </row>
    <row r="57" spans="1:40" s="1395" customFormat="1" ht="24">
      <c r="A57" s="1210" t="s">
        <v>1235</v>
      </c>
      <c r="B57" s="1570"/>
      <c r="C57" s="1571" t="s">
        <v>1237</v>
      </c>
      <c r="D57" s="1572" t="s">
        <v>1238</v>
      </c>
      <c r="E57" s="1573" t="s">
        <v>1239</v>
      </c>
      <c r="F57" s="1574" t="s">
        <v>1240</v>
      </c>
      <c r="G57" s="1572" t="s">
        <v>1241</v>
      </c>
      <c r="H57" s="1575" t="s">
        <v>1242</v>
      </c>
      <c r="I57" s="1572" t="s">
        <v>1243</v>
      </c>
      <c r="J57" s="1667" t="s">
        <v>252</v>
      </c>
      <c r="K57" s="1667" t="s">
        <v>264</v>
      </c>
      <c r="L57" s="1667" t="s">
        <v>274</v>
      </c>
      <c r="M57" s="1667" t="s">
        <v>284</v>
      </c>
      <c r="N57" s="1667" t="s">
        <v>291</v>
      </c>
      <c r="P57" s="1553"/>
      <c r="Q57" s="1553"/>
      <c r="R57" s="1683"/>
      <c r="S57" s="1683"/>
      <c r="T57" s="1683"/>
      <c r="U57" s="1683"/>
      <c r="V57" s="1683"/>
      <c r="W57" s="1553"/>
      <c r="X57" s="1553"/>
      <c r="Y57" s="1553"/>
      <c r="Z57" s="1553"/>
      <c r="AA57" s="1553"/>
      <c r="AB57" s="1553"/>
      <c r="AC57" s="1553"/>
      <c r="AD57" s="1683"/>
      <c r="AE57" s="1399"/>
      <c r="AF57" s="1399"/>
      <c r="AG57" s="1399"/>
      <c r="AH57" s="1399"/>
      <c r="AI57" s="1399"/>
      <c r="AJ57" s="1399"/>
      <c r="AK57" s="1399"/>
      <c r="AL57" s="1399"/>
      <c r="AM57" s="1399"/>
      <c r="AN57" s="1399"/>
    </row>
    <row r="58" spans="1:40" s="1395" customFormat="1" ht="24">
      <c r="A58" s="1210" t="s">
        <v>670</v>
      </c>
      <c r="B58" s="1576" t="str">
        <f>估价对象房地状况!C17</f>
        <v>较好</v>
      </c>
      <c r="C58" s="1577"/>
      <c r="D58" s="1578">
        <f t="shared" ref="D58:D66" si="15">SUMIF($J$57:$N$57,C58,J58:N58)</f>
        <v>0</v>
      </c>
      <c r="E58" s="1579">
        <f>ROUND(SUM(D58:D66),4)</f>
        <v>0</v>
      </c>
      <c r="F58" s="1580" t="str">
        <f>IF(E2="办公",SUMIF(L1:L12,G2,N1:N12),"——")</f>
        <v>——</v>
      </c>
      <c r="G58" s="1581"/>
      <c r="H58" s="1582" t="str">
        <f>IFERROR(ROUNDDOWN($F$58*I58/2,4),"——")</f>
        <v>——</v>
      </c>
      <c r="I58" s="1668">
        <v>0.24</v>
      </c>
      <c r="J58" s="1669">
        <f t="shared" ref="J58:J66" si="16">K58+$G58</f>
        <v>0</v>
      </c>
      <c r="K58" s="1669">
        <f t="shared" ref="K58:K66" si="17">$L58+$G58</f>
        <v>0</v>
      </c>
      <c r="L58" s="1669">
        <v>0</v>
      </c>
      <c r="M58" s="1669">
        <f t="shared" ref="M58:N66" si="18">L58-$G58</f>
        <v>0</v>
      </c>
      <c r="N58" s="1669">
        <f t="shared" si="18"/>
        <v>0</v>
      </c>
      <c r="P58" s="1553"/>
      <c r="Q58" s="1553"/>
      <c r="R58" s="1683"/>
      <c r="S58" s="1683"/>
      <c r="T58" s="1683"/>
      <c r="U58" s="1683"/>
      <c r="V58" s="1683"/>
      <c r="W58" s="1553"/>
      <c r="X58" s="1553"/>
      <c r="Y58" s="1553"/>
      <c r="Z58" s="1553"/>
      <c r="AA58" s="1553"/>
      <c r="AB58" s="1553"/>
      <c r="AC58" s="1553"/>
      <c r="AD58" s="1683"/>
      <c r="AE58" s="1399"/>
      <c r="AF58" s="1399"/>
      <c r="AG58" s="1399"/>
      <c r="AH58" s="1399"/>
      <c r="AI58" s="1399"/>
      <c r="AJ58" s="1399"/>
      <c r="AK58" s="1399"/>
      <c r="AL58" s="1399"/>
      <c r="AM58" s="1399"/>
      <c r="AN58" s="1399"/>
    </row>
    <row r="59" spans="1:40" s="1395" customFormat="1" ht="24">
      <c r="A59" s="1210" t="s">
        <v>668</v>
      </c>
      <c r="B59" s="1570" t="str">
        <f>估价对象房地状况!C18</f>
        <v>较好</v>
      </c>
      <c r="C59" s="1577"/>
      <c r="D59" s="1578">
        <f t="shared" si="15"/>
        <v>0</v>
      </c>
      <c r="E59" s="1583"/>
      <c r="F59" s="1580"/>
      <c r="G59" s="1581"/>
      <c r="H59" s="1592" t="str">
        <f t="shared" ref="H59:H66" si="19">IFERROR($F$58*I59/2,"——")</f>
        <v>——</v>
      </c>
      <c r="I59" s="1668">
        <v>0.3</v>
      </c>
      <c r="J59" s="1669">
        <f t="shared" si="16"/>
        <v>0</v>
      </c>
      <c r="K59" s="1669">
        <f t="shared" si="17"/>
        <v>0</v>
      </c>
      <c r="L59" s="1669">
        <v>0</v>
      </c>
      <c r="M59" s="1669">
        <f t="shared" si="18"/>
        <v>0</v>
      </c>
      <c r="N59" s="1669">
        <f t="shared" si="18"/>
        <v>0</v>
      </c>
      <c r="P59" s="1553"/>
      <c r="Q59" s="1553"/>
      <c r="R59" s="1683"/>
      <c r="S59" s="1683"/>
      <c r="T59" s="1683"/>
      <c r="U59" s="1683"/>
      <c r="V59" s="1683"/>
      <c r="W59" s="1553"/>
      <c r="X59" s="1553"/>
      <c r="Y59" s="1553"/>
      <c r="Z59" s="1553"/>
      <c r="AA59" s="1553"/>
      <c r="AB59" s="1553"/>
      <c r="AC59" s="1553"/>
      <c r="AD59" s="1683"/>
      <c r="AE59" s="1399"/>
      <c r="AF59" s="1399"/>
      <c r="AG59" s="1399"/>
      <c r="AH59" s="1399"/>
      <c r="AI59" s="1399"/>
      <c r="AJ59" s="1399"/>
      <c r="AK59" s="1399"/>
      <c r="AL59" s="1399"/>
      <c r="AM59" s="1399"/>
      <c r="AN59" s="1399"/>
    </row>
    <row r="60" spans="1:40" s="1395" customFormat="1" ht="24">
      <c r="A60" s="1210" t="s">
        <v>678</v>
      </c>
      <c r="B60" s="1570">
        <f>估价对象房地状况!C19</f>
        <v>0</v>
      </c>
      <c r="C60" s="1577"/>
      <c r="D60" s="1578">
        <f t="shared" si="15"/>
        <v>0</v>
      </c>
      <c r="E60" s="1583"/>
      <c r="F60" s="1580"/>
      <c r="G60" s="1581"/>
      <c r="H60" s="1592" t="str">
        <f t="shared" si="19"/>
        <v>——</v>
      </c>
      <c r="I60" s="1668">
        <v>0.08</v>
      </c>
      <c r="J60" s="1669">
        <f t="shared" si="16"/>
        <v>0</v>
      </c>
      <c r="K60" s="1669">
        <f t="shared" si="17"/>
        <v>0</v>
      </c>
      <c r="L60" s="1669">
        <v>0</v>
      </c>
      <c r="M60" s="1669">
        <f t="shared" si="18"/>
        <v>0</v>
      </c>
      <c r="N60" s="1669">
        <f t="shared" si="18"/>
        <v>0</v>
      </c>
      <c r="P60" s="1553"/>
      <c r="Q60" s="1553"/>
      <c r="R60" s="1683"/>
      <c r="S60" s="1683"/>
      <c r="T60" s="1683"/>
      <c r="U60" s="1683"/>
      <c r="V60" s="1683"/>
      <c r="W60" s="1553"/>
      <c r="X60" s="1553"/>
      <c r="Y60" s="1553"/>
      <c r="Z60" s="1553"/>
      <c r="AA60" s="1553"/>
      <c r="AB60" s="1553"/>
      <c r="AC60" s="1553"/>
      <c r="AD60" s="1683"/>
      <c r="AE60" s="1399"/>
      <c r="AF60" s="1399"/>
      <c r="AG60" s="1399"/>
      <c r="AH60" s="1399"/>
      <c r="AI60" s="1399"/>
      <c r="AJ60" s="1399"/>
      <c r="AK60" s="1399"/>
      <c r="AL60" s="1399"/>
      <c r="AM60" s="1399"/>
      <c r="AN60" s="1399"/>
    </row>
    <row r="61" spans="1:40" s="1395" customFormat="1" ht="48">
      <c r="A61" s="1210" t="s">
        <v>1245</v>
      </c>
      <c r="B61" s="1584" t="s">
        <v>1246</v>
      </c>
      <c r="C61" s="1577"/>
      <c r="D61" s="1578">
        <f t="shared" si="15"/>
        <v>0</v>
      </c>
      <c r="E61" s="1583"/>
      <c r="F61" s="1580"/>
      <c r="G61" s="1581"/>
      <c r="H61" s="1592" t="str">
        <f t="shared" si="19"/>
        <v>——</v>
      </c>
      <c r="I61" s="1668">
        <v>0.04</v>
      </c>
      <c r="J61" s="1669">
        <f t="shared" si="16"/>
        <v>0</v>
      </c>
      <c r="K61" s="1669">
        <f t="shared" si="17"/>
        <v>0</v>
      </c>
      <c r="L61" s="1669">
        <v>0</v>
      </c>
      <c r="M61" s="1669">
        <f t="shared" si="18"/>
        <v>0</v>
      </c>
      <c r="N61" s="1669">
        <f t="shared" si="18"/>
        <v>0</v>
      </c>
      <c r="P61" s="1553"/>
      <c r="Q61" s="1553"/>
      <c r="R61" s="1683"/>
      <c r="S61" s="1683"/>
      <c r="T61" s="1683"/>
      <c r="U61" s="1683"/>
      <c r="V61" s="1683"/>
      <c r="W61" s="1553"/>
      <c r="X61" s="1553"/>
      <c r="Y61" s="1553"/>
      <c r="Z61" s="1553"/>
      <c r="AA61" s="1553"/>
      <c r="AB61" s="1553"/>
      <c r="AC61" s="1553"/>
      <c r="AD61" s="1683"/>
      <c r="AE61" s="1399"/>
      <c r="AF61" s="1399"/>
      <c r="AG61" s="1399"/>
      <c r="AH61" s="1399"/>
      <c r="AI61" s="1399"/>
      <c r="AJ61" s="1399"/>
      <c r="AK61" s="1399"/>
      <c r="AL61" s="1399"/>
      <c r="AM61" s="1399"/>
      <c r="AN61" s="1399"/>
    </row>
    <row r="62" spans="1:40" s="1395" customFormat="1" ht="24">
      <c r="A62" s="1210" t="s">
        <v>1247</v>
      </c>
      <c r="B62" s="1570">
        <f>估价对象房地状况!C24</f>
        <v>0</v>
      </c>
      <c r="C62" s="1577"/>
      <c r="D62" s="1578">
        <f t="shared" si="15"/>
        <v>0</v>
      </c>
      <c r="E62" s="1583"/>
      <c r="F62" s="1580"/>
      <c r="G62" s="1581"/>
      <c r="H62" s="1592" t="str">
        <f t="shared" si="19"/>
        <v>——</v>
      </c>
      <c r="I62" s="1668">
        <v>0.05</v>
      </c>
      <c r="J62" s="1669">
        <f t="shared" si="16"/>
        <v>0</v>
      </c>
      <c r="K62" s="1669">
        <f t="shared" si="17"/>
        <v>0</v>
      </c>
      <c r="L62" s="1669">
        <v>0</v>
      </c>
      <c r="M62" s="1669">
        <f t="shared" si="18"/>
        <v>0</v>
      </c>
      <c r="N62" s="1669">
        <f t="shared" si="18"/>
        <v>0</v>
      </c>
      <c r="P62" s="1553"/>
      <c r="Q62" s="1553"/>
      <c r="R62" s="1683"/>
      <c r="S62" s="1683"/>
      <c r="T62" s="1683"/>
      <c r="U62" s="1683"/>
      <c r="V62" s="1683"/>
      <c r="W62" s="1553"/>
      <c r="X62" s="1553"/>
      <c r="Y62" s="1553"/>
      <c r="Z62" s="1553"/>
      <c r="AA62" s="1553"/>
      <c r="AB62" s="1553"/>
      <c r="AC62" s="1553"/>
      <c r="AD62" s="1683"/>
      <c r="AE62" s="1399"/>
      <c r="AF62" s="1399"/>
      <c r="AG62" s="1399"/>
      <c r="AH62" s="1399"/>
      <c r="AI62" s="1399"/>
      <c r="AJ62" s="1399"/>
      <c r="AK62" s="1399"/>
      <c r="AL62" s="1399"/>
      <c r="AM62" s="1399"/>
      <c r="AN62" s="1399"/>
    </row>
    <row r="63" spans="1:40" s="1395" customFormat="1" ht="36">
      <c r="A63" s="1210" t="s">
        <v>1248</v>
      </c>
      <c r="B63" s="1585" t="s">
        <v>1249</v>
      </c>
      <c r="C63" s="1577"/>
      <c r="D63" s="1578">
        <f t="shared" si="15"/>
        <v>0</v>
      </c>
      <c r="E63" s="1583"/>
      <c r="F63" s="1580"/>
      <c r="G63" s="1581"/>
      <c r="H63" s="1592" t="str">
        <f t="shared" si="19"/>
        <v>——</v>
      </c>
      <c r="I63" s="1668">
        <v>0.05</v>
      </c>
      <c r="J63" s="1669">
        <f t="shared" si="16"/>
        <v>0</v>
      </c>
      <c r="K63" s="1669">
        <f t="shared" si="17"/>
        <v>0</v>
      </c>
      <c r="L63" s="1669">
        <v>0</v>
      </c>
      <c r="M63" s="1669">
        <f t="shared" si="18"/>
        <v>0</v>
      </c>
      <c r="N63" s="1669">
        <f t="shared" si="18"/>
        <v>0</v>
      </c>
      <c r="P63" s="1553"/>
      <c r="Q63" s="1553"/>
      <c r="R63" s="1683"/>
      <c r="S63" s="1683"/>
      <c r="T63" s="1683"/>
      <c r="U63" s="1683"/>
      <c r="V63" s="1683"/>
      <c r="W63" s="1553"/>
      <c r="X63" s="1553"/>
      <c r="Y63" s="1553"/>
      <c r="Z63" s="1553"/>
      <c r="AA63" s="1553"/>
      <c r="AB63" s="1553"/>
      <c r="AC63" s="1553"/>
      <c r="AD63" s="1683"/>
      <c r="AE63" s="1399"/>
      <c r="AF63" s="1399"/>
      <c r="AG63" s="1399"/>
      <c r="AH63" s="1399"/>
      <c r="AI63" s="1399"/>
      <c r="AJ63" s="1399"/>
      <c r="AK63" s="1399"/>
      <c r="AL63" s="1399"/>
      <c r="AM63" s="1399"/>
      <c r="AN63" s="1399"/>
    </row>
    <row r="64" spans="1:40" s="1395" customFormat="1" ht="24">
      <c r="A64" s="1210" t="s">
        <v>1250</v>
      </c>
      <c r="B64" s="1587" t="str">
        <f>估价对象房地状况!C21</f>
        <v>较好</v>
      </c>
      <c r="C64" s="1577"/>
      <c r="D64" s="1578">
        <f t="shared" si="15"/>
        <v>0</v>
      </c>
      <c r="E64" s="1583"/>
      <c r="F64" s="1580"/>
      <c r="G64" s="1581"/>
      <c r="H64" s="1592" t="str">
        <f t="shared" si="19"/>
        <v>——</v>
      </c>
      <c r="I64" s="1668">
        <v>0.06</v>
      </c>
      <c r="J64" s="1669">
        <f t="shared" si="16"/>
        <v>0</v>
      </c>
      <c r="K64" s="1669">
        <f t="shared" si="17"/>
        <v>0</v>
      </c>
      <c r="L64" s="1669">
        <v>0</v>
      </c>
      <c r="M64" s="1669">
        <f t="shared" si="18"/>
        <v>0</v>
      </c>
      <c r="N64" s="1669">
        <f t="shared" si="18"/>
        <v>0</v>
      </c>
      <c r="P64" s="1553"/>
      <c r="Q64" s="1553"/>
      <c r="R64" s="1683"/>
      <c r="S64" s="1683"/>
      <c r="T64" s="1683"/>
      <c r="U64" s="1683"/>
      <c r="V64" s="1683"/>
      <c r="W64" s="1553"/>
      <c r="X64" s="1553"/>
      <c r="Y64" s="1553"/>
      <c r="Z64" s="1553"/>
      <c r="AA64" s="1553"/>
      <c r="AB64" s="1553"/>
      <c r="AC64" s="1553"/>
      <c r="AD64" s="1683"/>
      <c r="AE64" s="1399"/>
      <c r="AF64" s="1399"/>
      <c r="AG64" s="1399"/>
      <c r="AH64" s="1399"/>
      <c r="AI64" s="1399"/>
      <c r="AJ64" s="1399"/>
      <c r="AK64" s="1399"/>
      <c r="AL64" s="1399"/>
      <c r="AM64" s="1399"/>
      <c r="AN64" s="1399"/>
    </row>
    <row r="65" spans="1:40" s="1395" customFormat="1" ht="24">
      <c r="A65" s="1210" t="s">
        <v>1251</v>
      </c>
      <c r="B65" s="1587" t="str">
        <f>估价对象房地状况!C22</f>
        <v>六通</v>
      </c>
      <c r="C65" s="1577"/>
      <c r="D65" s="1578">
        <f t="shared" si="15"/>
        <v>0</v>
      </c>
      <c r="E65" s="1583"/>
      <c r="F65" s="1580"/>
      <c r="G65" s="1581"/>
      <c r="H65" s="1592" t="str">
        <f t="shared" si="19"/>
        <v>——</v>
      </c>
      <c r="I65" s="1668">
        <v>0.12</v>
      </c>
      <c r="J65" s="1669">
        <f t="shared" si="16"/>
        <v>0</v>
      </c>
      <c r="K65" s="1669">
        <f t="shared" si="17"/>
        <v>0</v>
      </c>
      <c r="L65" s="1669">
        <v>0</v>
      </c>
      <c r="M65" s="1669">
        <f t="shared" si="18"/>
        <v>0</v>
      </c>
      <c r="N65" s="1669">
        <f t="shared" si="18"/>
        <v>0</v>
      </c>
      <c r="P65" s="1553"/>
      <c r="Q65" s="1553"/>
      <c r="R65" s="1683"/>
      <c r="S65" s="1683"/>
      <c r="T65" s="1683"/>
      <c r="U65" s="1683"/>
      <c r="V65" s="1683"/>
      <c r="W65" s="1553"/>
      <c r="X65" s="1553"/>
      <c r="Y65" s="1553"/>
      <c r="Z65" s="1553"/>
      <c r="AA65" s="1553"/>
      <c r="AB65" s="1553"/>
      <c r="AC65" s="1553"/>
      <c r="AD65" s="1683"/>
      <c r="AE65" s="1399"/>
      <c r="AF65" s="1399"/>
      <c r="AG65" s="1399"/>
      <c r="AH65" s="1399"/>
      <c r="AI65" s="1399"/>
      <c r="AJ65" s="1399"/>
      <c r="AK65" s="1399"/>
      <c r="AL65" s="1399"/>
      <c r="AM65" s="1399"/>
      <c r="AN65" s="1399"/>
    </row>
    <row r="66" spans="1:40" s="1395" customFormat="1" ht="36">
      <c r="A66" s="1588" t="s">
        <v>1252</v>
      </c>
      <c r="B66" s="1696" t="str">
        <f>估价对象房地状况!C20</f>
        <v>较好</v>
      </c>
      <c r="C66" s="1577"/>
      <c r="D66" s="1578">
        <f t="shared" si="15"/>
        <v>0</v>
      </c>
      <c r="E66" s="1590"/>
      <c r="F66" s="1580"/>
      <c r="G66" s="1581"/>
      <c r="H66" s="1592" t="str">
        <f t="shared" si="19"/>
        <v>——</v>
      </c>
      <c r="I66" s="1670">
        <v>0.06</v>
      </c>
      <c r="J66" s="1669">
        <f t="shared" si="16"/>
        <v>0</v>
      </c>
      <c r="K66" s="1669">
        <f t="shared" si="17"/>
        <v>0</v>
      </c>
      <c r="L66" s="1669">
        <v>0</v>
      </c>
      <c r="M66" s="1669">
        <f t="shared" si="18"/>
        <v>0</v>
      </c>
      <c r="N66" s="1669">
        <f t="shared" si="18"/>
        <v>0</v>
      </c>
      <c r="P66" s="1553"/>
      <c r="Q66" s="1553"/>
      <c r="R66" s="1683"/>
      <c r="S66" s="1683"/>
      <c r="T66" s="1683"/>
      <c r="U66" s="1683"/>
      <c r="V66" s="1683"/>
      <c r="W66" s="1553"/>
      <c r="X66" s="1553"/>
      <c r="Y66" s="1553"/>
      <c r="Z66" s="1553"/>
      <c r="AA66" s="1553"/>
      <c r="AB66" s="1553"/>
      <c r="AC66" s="1553"/>
      <c r="AD66" s="1683"/>
      <c r="AE66" s="1399"/>
      <c r="AF66" s="1399"/>
      <c r="AG66" s="1399"/>
      <c r="AH66" s="1399"/>
      <c r="AI66" s="1399"/>
      <c r="AJ66" s="1399"/>
      <c r="AK66" s="1399"/>
      <c r="AL66" s="1399"/>
      <c r="AM66" s="1399"/>
      <c r="AN66" s="1399"/>
    </row>
    <row r="67" spans="1:40" s="1395" customFormat="1" ht="14.4">
      <c r="A67" s="1564" t="s">
        <v>379</v>
      </c>
      <c r="B67" s="1565">
        <f>1+E69</f>
        <v>1</v>
      </c>
      <c r="C67" s="1591"/>
      <c r="D67" s="1567"/>
      <c r="E67" s="1568"/>
      <c r="F67" s="1569"/>
      <c r="G67" s="1563"/>
      <c r="H67" s="1563"/>
      <c r="I67" s="1563"/>
      <c r="J67" s="1162"/>
      <c r="K67" s="1162"/>
      <c r="L67" s="1162"/>
      <c r="M67" s="1162"/>
      <c r="N67" s="1162"/>
      <c r="P67" s="1553"/>
      <c r="Q67" s="1553"/>
      <c r="R67" s="1683"/>
      <c r="S67" s="1683"/>
      <c r="T67" s="1683"/>
      <c r="U67" s="1683"/>
      <c r="V67" s="1683"/>
      <c r="W67" s="1553"/>
      <c r="X67" s="1553"/>
      <c r="Y67" s="1553"/>
      <c r="Z67" s="1553"/>
      <c r="AA67" s="1553"/>
      <c r="AB67" s="1553"/>
      <c r="AC67" s="1553"/>
      <c r="AD67" s="1683"/>
      <c r="AE67" s="1399"/>
      <c r="AF67" s="1399"/>
      <c r="AG67" s="1399"/>
      <c r="AH67" s="1399"/>
      <c r="AI67" s="1399"/>
      <c r="AJ67" s="1399"/>
      <c r="AK67" s="1399"/>
      <c r="AL67" s="1399"/>
      <c r="AM67" s="1399"/>
      <c r="AN67" s="1399"/>
    </row>
    <row r="68" spans="1:40" s="1395" customFormat="1" ht="24">
      <c r="A68" s="1210" t="s">
        <v>1235</v>
      </c>
      <c r="B68" s="1570"/>
      <c r="C68" s="1571" t="s">
        <v>1237</v>
      </c>
      <c r="D68" s="1572" t="s">
        <v>1238</v>
      </c>
      <c r="E68" s="1573" t="s">
        <v>1239</v>
      </c>
      <c r="F68" s="1574" t="s">
        <v>1240</v>
      </c>
      <c r="G68" s="1572" t="s">
        <v>1241</v>
      </c>
      <c r="H68" s="1575" t="s">
        <v>1242</v>
      </c>
      <c r="I68" s="1572" t="s">
        <v>1243</v>
      </c>
      <c r="J68" s="1667" t="s">
        <v>252</v>
      </c>
      <c r="K68" s="1667" t="s">
        <v>264</v>
      </c>
      <c r="L68" s="1667" t="s">
        <v>274</v>
      </c>
      <c r="M68" s="1667" t="s">
        <v>284</v>
      </c>
      <c r="N68" s="1667" t="s">
        <v>291</v>
      </c>
      <c r="P68" s="1553"/>
      <c r="Q68" s="1553"/>
      <c r="R68" s="1683"/>
      <c r="S68" s="1683"/>
      <c r="T68" s="1683"/>
      <c r="U68" s="1683"/>
      <c r="V68" s="1683"/>
      <c r="W68" s="1553"/>
      <c r="X68" s="1553"/>
      <c r="Y68" s="1553"/>
      <c r="Z68" s="1553"/>
      <c r="AA68" s="1553"/>
      <c r="AB68" s="1553"/>
      <c r="AC68" s="1553"/>
      <c r="AD68" s="1683"/>
      <c r="AE68" s="1399"/>
      <c r="AF68" s="1399"/>
      <c r="AG68" s="1399"/>
      <c r="AH68" s="1399"/>
      <c r="AI68" s="1399"/>
      <c r="AJ68" s="1399"/>
      <c r="AK68" s="1399"/>
      <c r="AL68" s="1399"/>
      <c r="AM68" s="1399"/>
      <c r="AN68" s="1399"/>
    </row>
    <row r="69" spans="1:40" s="1395" customFormat="1" ht="24">
      <c r="A69" s="1210" t="s">
        <v>662</v>
      </c>
      <c r="B69" s="1576" t="str">
        <f>估价对象房地状况!C15</f>
        <v>较好</v>
      </c>
      <c r="C69" s="1697"/>
      <c r="D69" s="1578">
        <f t="shared" ref="D69:D77" si="20">SUMIF($J$68:$N$68,C69,J69:N69)</f>
        <v>0</v>
      </c>
      <c r="E69" s="1579">
        <f>ROUND(SUM(D69:D77),4)</f>
        <v>0</v>
      </c>
      <c r="F69" s="1580" t="str">
        <f>IF(E2="住宅",SUMIF(L1:L12,G2,N1:N12),"——")</f>
        <v>——</v>
      </c>
      <c r="G69" s="1698"/>
      <c r="H69" s="1699" t="str">
        <f t="shared" ref="H69:H77" si="21">IFERROR(ROUNDDOWN($F$69*I69/2,4),"——")</f>
        <v>——</v>
      </c>
      <c r="I69" s="1668">
        <v>0.14000000000000001</v>
      </c>
      <c r="J69" s="1669">
        <f t="shared" ref="J69:J77" si="22">K69+$G69</f>
        <v>0</v>
      </c>
      <c r="K69" s="1669">
        <f t="shared" ref="K69:K77" si="23">$L69+$G69</f>
        <v>0</v>
      </c>
      <c r="L69" s="1669">
        <v>0</v>
      </c>
      <c r="M69" s="1669">
        <f t="shared" ref="M69:N77" si="24">L69-$G69</f>
        <v>0</v>
      </c>
      <c r="N69" s="1669">
        <f t="shared" si="24"/>
        <v>0</v>
      </c>
      <c r="P69" s="1553"/>
      <c r="Q69" s="1553"/>
      <c r="R69" s="1683"/>
      <c r="S69" s="1683"/>
      <c r="T69" s="1683"/>
      <c r="U69" s="1683"/>
      <c r="V69" s="1683"/>
      <c r="W69" s="1553"/>
      <c r="X69" s="1553"/>
      <c r="Y69" s="1553"/>
      <c r="Z69" s="1553"/>
      <c r="AA69" s="1553"/>
      <c r="AB69" s="1553"/>
      <c r="AC69" s="1553"/>
      <c r="AD69" s="1683"/>
      <c r="AE69" s="1399"/>
      <c r="AF69" s="1399"/>
      <c r="AG69" s="1399"/>
      <c r="AH69" s="1399"/>
      <c r="AI69" s="1399"/>
      <c r="AJ69" s="1399"/>
      <c r="AK69" s="1399"/>
      <c r="AL69" s="1399"/>
      <c r="AM69" s="1399"/>
      <c r="AN69" s="1399"/>
    </row>
    <row r="70" spans="1:40" s="1395" customFormat="1" ht="24">
      <c r="A70" s="1210" t="s">
        <v>668</v>
      </c>
      <c r="B70" s="1570" t="str">
        <f>估价对象房地状况!C18</f>
        <v>较好</v>
      </c>
      <c r="C70" s="1697"/>
      <c r="D70" s="1578">
        <f t="shared" si="20"/>
        <v>0</v>
      </c>
      <c r="E70" s="1700"/>
      <c r="F70" s="1701"/>
      <c r="G70" s="1698"/>
      <c r="H70" s="1699" t="str">
        <f t="shared" si="21"/>
        <v>——</v>
      </c>
      <c r="I70" s="1668">
        <v>0.3</v>
      </c>
      <c r="J70" s="1669">
        <f t="shared" si="22"/>
        <v>0</v>
      </c>
      <c r="K70" s="1669">
        <f t="shared" si="23"/>
        <v>0</v>
      </c>
      <c r="L70" s="1669">
        <v>0</v>
      </c>
      <c r="M70" s="1669">
        <f t="shared" si="24"/>
        <v>0</v>
      </c>
      <c r="N70" s="1669">
        <f t="shared" si="24"/>
        <v>0</v>
      </c>
      <c r="P70" s="1553"/>
      <c r="Q70" s="1553"/>
      <c r="R70" s="1683"/>
      <c r="S70" s="1683"/>
      <c r="T70" s="1683"/>
      <c r="U70" s="1683"/>
      <c r="V70" s="1683"/>
      <c r="W70" s="1553"/>
      <c r="X70" s="1553"/>
      <c r="Y70" s="1553"/>
      <c r="Z70" s="1553"/>
      <c r="AA70" s="1553"/>
      <c r="AB70" s="1553"/>
      <c r="AC70" s="1553"/>
      <c r="AD70" s="1683"/>
      <c r="AE70" s="1399"/>
      <c r="AF70" s="1399"/>
      <c r="AG70" s="1399"/>
      <c r="AH70" s="1399"/>
      <c r="AI70" s="1399"/>
      <c r="AJ70" s="1399"/>
      <c r="AK70" s="1399"/>
      <c r="AL70" s="1399"/>
      <c r="AM70" s="1399"/>
      <c r="AN70" s="1399"/>
    </row>
    <row r="71" spans="1:40" s="1395" customFormat="1" ht="24">
      <c r="A71" s="1210" t="s">
        <v>678</v>
      </c>
      <c r="B71" s="1570">
        <f>估价对象房地状况!C19</f>
        <v>0</v>
      </c>
      <c r="C71" s="1697"/>
      <c r="D71" s="1578">
        <f t="shared" si="20"/>
        <v>0</v>
      </c>
      <c r="E71" s="1700"/>
      <c r="F71" s="1701"/>
      <c r="G71" s="1698"/>
      <c r="H71" s="1699" t="str">
        <f t="shared" si="21"/>
        <v>——</v>
      </c>
      <c r="I71" s="1668">
        <v>0.08</v>
      </c>
      <c r="J71" s="1669">
        <f t="shared" si="22"/>
        <v>0</v>
      </c>
      <c r="K71" s="1669">
        <f t="shared" si="23"/>
        <v>0</v>
      </c>
      <c r="L71" s="1669">
        <v>0</v>
      </c>
      <c r="M71" s="1669">
        <f t="shared" si="24"/>
        <v>0</v>
      </c>
      <c r="N71" s="1669">
        <f t="shared" si="24"/>
        <v>0</v>
      </c>
      <c r="P71" s="1553"/>
      <c r="Q71" s="1553"/>
      <c r="R71" s="1683"/>
      <c r="S71" s="1683"/>
      <c r="T71" s="1683"/>
      <c r="U71" s="1683"/>
      <c r="V71" s="1683"/>
      <c r="W71" s="1553"/>
      <c r="X71" s="1553"/>
      <c r="Y71" s="1553"/>
      <c r="Z71" s="1553"/>
      <c r="AA71" s="1553"/>
      <c r="AB71" s="1553"/>
      <c r="AC71" s="1553"/>
      <c r="AD71" s="1683"/>
      <c r="AE71" s="1399"/>
      <c r="AF71" s="1399"/>
      <c r="AG71" s="1399"/>
      <c r="AH71" s="1399"/>
      <c r="AI71" s="1399"/>
      <c r="AJ71" s="1399"/>
      <c r="AK71" s="1399"/>
      <c r="AL71" s="1399"/>
      <c r="AM71" s="1399"/>
      <c r="AN71" s="1399"/>
    </row>
    <row r="72" spans="1:40" s="1395" customFormat="1" ht="13.8">
      <c r="A72" s="1210" t="s">
        <v>1253</v>
      </c>
      <c r="B72" s="1570">
        <f>估价对象房地状况!C24</f>
        <v>0</v>
      </c>
      <c r="C72" s="1697"/>
      <c r="D72" s="1578">
        <f t="shared" si="20"/>
        <v>0</v>
      </c>
      <c r="E72" s="1700"/>
      <c r="F72" s="1701"/>
      <c r="G72" s="1698"/>
      <c r="H72" s="1699" t="str">
        <f t="shared" si="21"/>
        <v>——</v>
      </c>
      <c r="I72" s="1668">
        <v>0.04</v>
      </c>
      <c r="J72" s="1669">
        <f t="shared" si="22"/>
        <v>0</v>
      </c>
      <c r="K72" s="1669">
        <f t="shared" si="23"/>
        <v>0</v>
      </c>
      <c r="L72" s="1669">
        <v>0</v>
      </c>
      <c r="M72" s="1669">
        <f t="shared" si="24"/>
        <v>0</v>
      </c>
      <c r="N72" s="1669">
        <f t="shared" si="24"/>
        <v>0</v>
      </c>
      <c r="P72" s="1553"/>
      <c r="Q72" s="1553"/>
      <c r="R72" s="1683"/>
      <c r="S72" s="1683"/>
      <c r="T72" s="1683"/>
      <c r="U72" s="1683"/>
      <c r="V72" s="1683"/>
      <c r="W72" s="1553"/>
      <c r="X72" s="1553"/>
      <c r="Y72" s="1553"/>
      <c r="Z72" s="1553"/>
      <c r="AA72" s="1553"/>
      <c r="AB72" s="1553"/>
      <c r="AC72" s="1553"/>
      <c r="AD72" s="1683"/>
      <c r="AE72" s="1399"/>
      <c r="AF72" s="1399"/>
      <c r="AG72" s="1399"/>
      <c r="AH72" s="1399"/>
      <c r="AI72" s="1399"/>
      <c r="AJ72" s="1399"/>
      <c r="AK72" s="1399"/>
      <c r="AL72" s="1399"/>
      <c r="AM72" s="1399"/>
      <c r="AN72" s="1399"/>
    </row>
    <row r="73" spans="1:40" s="1395" customFormat="1" ht="24">
      <c r="A73" s="1210" t="s">
        <v>1250</v>
      </c>
      <c r="B73" s="1587" t="str">
        <f>估价对象房地状况!C21</f>
        <v>较好</v>
      </c>
      <c r="C73" s="1697"/>
      <c r="D73" s="1578">
        <f t="shared" si="20"/>
        <v>0</v>
      </c>
      <c r="E73" s="1700"/>
      <c r="F73" s="1701"/>
      <c r="G73" s="1698"/>
      <c r="H73" s="1699" t="str">
        <f t="shared" si="21"/>
        <v>——</v>
      </c>
      <c r="I73" s="1668">
        <v>0.08</v>
      </c>
      <c r="J73" s="1669">
        <f t="shared" si="22"/>
        <v>0</v>
      </c>
      <c r="K73" s="1669">
        <f t="shared" si="23"/>
        <v>0</v>
      </c>
      <c r="L73" s="1669">
        <v>0</v>
      </c>
      <c r="M73" s="1669">
        <f t="shared" si="24"/>
        <v>0</v>
      </c>
      <c r="N73" s="1669">
        <f t="shared" si="24"/>
        <v>0</v>
      </c>
      <c r="P73" s="1553"/>
      <c r="Q73" s="1553"/>
      <c r="R73" s="1683"/>
      <c r="S73" s="1683"/>
      <c r="T73" s="1683"/>
      <c r="U73" s="1683"/>
      <c r="V73" s="1683"/>
      <c r="W73" s="1553"/>
      <c r="X73" s="1553"/>
      <c r="Y73" s="1553"/>
      <c r="Z73" s="1553"/>
      <c r="AA73" s="1553"/>
      <c r="AB73" s="1553"/>
      <c r="AC73" s="1553"/>
      <c r="AD73" s="1683"/>
      <c r="AE73" s="1399"/>
      <c r="AF73" s="1399"/>
      <c r="AG73" s="1399"/>
      <c r="AH73" s="1399"/>
      <c r="AI73" s="1399"/>
      <c r="AJ73" s="1399"/>
      <c r="AK73" s="1399"/>
      <c r="AL73" s="1399"/>
      <c r="AM73" s="1399"/>
      <c r="AN73" s="1399"/>
    </row>
    <row r="74" spans="1:40" s="1395" customFormat="1" ht="24">
      <c r="A74" s="1210" t="s">
        <v>1251</v>
      </c>
      <c r="B74" s="1587" t="str">
        <f>估价对象房地状况!C22</f>
        <v>六通</v>
      </c>
      <c r="C74" s="1697"/>
      <c r="D74" s="1578">
        <f t="shared" si="20"/>
        <v>0</v>
      </c>
      <c r="E74" s="1700"/>
      <c r="F74" s="1701"/>
      <c r="G74" s="1698"/>
      <c r="H74" s="1699" t="str">
        <f t="shared" si="21"/>
        <v>——</v>
      </c>
      <c r="I74" s="1668">
        <v>0.12</v>
      </c>
      <c r="J74" s="1669">
        <f t="shared" si="22"/>
        <v>0</v>
      </c>
      <c r="K74" s="1669">
        <f t="shared" si="23"/>
        <v>0</v>
      </c>
      <c r="L74" s="1669">
        <v>0</v>
      </c>
      <c r="M74" s="1669">
        <f t="shared" si="24"/>
        <v>0</v>
      </c>
      <c r="N74" s="1669">
        <f t="shared" si="24"/>
        <v>0</v>
      </c>
      <c r="P74" s="1553"/>
      <c r="Q74" s="1553"/>
      <c r="R74" s="1683"/>
      <c r="S74" s="1683"/>
      <c r="T74" s="1683"/>
      <c r="U74" s="1683"/>
      <c r="V74" s="1683"/>
      <c r="W74" s="1553"/>
      <c r="X74" s="1553"/>
      <c r="Y74" s="1553"/>
      <c r="Z74" s="1553"/>
      <c r="AA74" s="1553"/>
      <c r="AB74" s="1553"/>
      <c r="AC74" s="1553"/>
      <c r="AD74" s="1683"/>
      <c r="AE74" s="1399"/>
      <c r="AF74" s="1399"/>
      <c r="AG74" s="1399"/>
      <c r="AH74" s="1399"/>
      <c r="AI74" s="1399"/>
      <c r="AJ74" s="1399"/>
      <c r="AK74" s="1399"/>
      <c r="AL74" s="1399"/>
      <c r="AM74" s="1399"/>
      <c r="AN74" s="1399"/>
    </row>
    <row r="75" spans="1:40" s="1395" customFormat="1" ht="36">
      <c r="A75" s="1210" t="s">
        <v>1248</v>
      </c>
      <c r="B75" s="1585" t="s">
        <v>1249</v>
      </c>
      <c r="C75" s="1697"/>
      <c r="D75" s="1578">
        <f t="shared" si="20"/>
        <v>0</v>
      </c>
      <c r="E75" s="1700"/>
      <c r="F75" s="1701"/>
      <c r="G75" s="1698"/>
      <c r="H75" s="1699" t="str">
        <f t="shared" si="21"/>
        <v>——</v>
      </c>
      <c r="I75" s="1668">
        <v>0.05</v>
      </c>
      <c r="J75" s="1669">
        <f t="shared" si="22"/>
        <v>0</v>
      </c>
      <c r="K75" s="1669">
        <f t="shared" si="23"/>
        <v>0</v>
      </c>
      <c r="L75" s="1669">
        <v>0</v>
      </c>
      <c r="M75" s="1669">
        <f t="shared" si="24"/>
        <v>0</v>
      </c>
      <c r="N75" s="1669">
        <f t="shared" si="24"/>
        <v>0</v>
      </c>
      <c r="P75" s="1553"/>
      <c r="Q75" s="1553"/>
      <c r="R75" s="1683"/>
      <c r="S75" s="1683"/>
      <c r="T75" s="1683"/>
      <c r="U75" s="1683"/>
      <c r="V75" s="1683"/>
      <c r="W75" s="1553"/>
      <c r="X75" s="1553"/>
      <c r="Y75" s="1553"/>
      <c r="Z75" s="1553"/>
      <c r="AA75" s="1553"/>
      <c r="AB75" s="1553"/>
      <c r="AC75" s="1553"/>
      <c r="AD75" s="1683"/>
      <c r="AE75" s="1399"/>
      <c r="AF75" s="1399"/>
      <c r="AG75" s="1399"/>
      <c r="AH75" s="1399"/>
      <c r="AI75" s="1399"/>
      <c r="AJ75" s="1399"/>
      <c r="AK75" s="1399"/>
      <c r="AL75" s="1399"/>
      <c r="AM75" s="1399"/>
      <c r="AN75" s="1399"/>
    </row>
    <row r="76" spans="1:40" ht="36">
      <c r="A76" s="1210" t="s">
        <v>1252</v>
      </c>
      <c r="B76" s="1576" t="str">
        <f>估价对象房地状况!C20</f>
        <v>较好</v>
      </c>
      <c r="C76" s="1697"/>
      <c r="D76" s="1578">
        <f t="shared" si="20"/>
        <v>0</v>
      </c>
      <c r="E76" s="1700"/>
      <c r="F76" s="1701"/>
      <c r="G76" s="1698"/>
      <c r="H76" s="1699" t="str">
        <f t="shared" si="21"/>
        <v>——</v>
      </c>
      <c r="I76" s="1668">
        <v>0.15</v>
      </c>
      <c r="J76" s="1669">
        <f t="shared" si="22"/>
        <v>0</v>
      </c>
      <c r="K76" s="1669">
        <f t="shared" si="23"/>
        <v>0</v>
      </c>
      <c r="L76" s="1669">
        <v>0</v>
      </c>
      <c r="M76" s="1669">
        <f t="shared" si="24"/>
        <v>0</v>
      </c>
      <c r="N76" s="1669">
        <f t="shared" si="24"/>
        <v>0</v>
      </c>
      <c r="P76" s="1729"/>
      <c r="Q76" s="1729"/>
      <c r="R76" s="1735"/>
      <c r="S76" s="1735"/>
      <c r="T76" s="1735"/>
      <c r="U76" s="1735"/>
      <c r="V76" s="1735"/>
      <c r="W76" s="1729"/>
      <c r="X76" s="1729"/>
      <c r="Y76" s="1729"/>
      <c r="Z76" s="1729"/>
      <c r="AA76" s="1729"/>
      <c r="AB76" s="1729"/>
      <c r="AC76" s="1729"/>
      <c r="AD76" s="1735"/>
      <c r="AJ76" s="1399"/>
      <c r="AN76" s="1396"/>
    </row>
    <row r="77" spans="1:40" ht="36">
      <c r="A77" s="1588" t="s">
        <v>1254</v>
      </c>
      <c r="B77" s="1702"/>
      <c r="C77" s="1697"/>
      <c r="D77" s="1578">
        <f t="shared" si="20"/>
        <v>0</v>
      </c>
      <c r="E77" s="1703"/>
      <c r="F77" s="1701"/>
      <c r="G77" s="1698"/>
      <c r="H77" s="1699" t="str">
        <f t="shared" si="21"/>
        <v>——</v>
      </c>
      <c r="I77" s="1670">
        <v>0.04</v>
      </c>
      <c r="J77" s="1669">
        <f t="shared" si="22"/>
        <v>0</v>
      </c>
      <c r="K77" s="1669">
        <f t="shared" si="23"/>
        <v>0</v>
      </c>
      <c r="L77" s="1669">
        <v>0</v>
      </c>
      <c r="M77" s="1669">
        <f t="shared" si="24"/>
        <v>0</v>
      </c>
      <c r="N77" s="1669">
        <f t="shared" si="24"/>
        <v>0</v>
      </c>
      <c r="AC77" s="1398"/>
      <c r="AD77" s="1396"/>
      <c r="AJ77" s="1399"/>
      <c r="AN77" s="1396"/>
    </row>
    <row r="78" spans="1:40" ht="14.4">
      <c r="A78" s="1564" t="s">
        <v>164</v>
      </c>
      <c r="B78" s="1565">
        <f>1+E80</f>
        <v>1</v>
      </c>
      <c r="C78" s="1591"/>
      <c r="D78" s="1567"/>
      <c r="E78" s="1568"/>
      <c r="F78" s="1569"/>
      <c r="G78" s="1563"/>
      <c r="H78" s="1563"/>
      <c r="I78" s="1563"/>
      <c r="J78" s="1162"/>
      <c r="K78" s="1162"/>
      <c r="L78" s="1162"/>
      <c r="M78" s="1162"/>
      <c r="N78" s="1162"/>
      <c r="AC78" s="1398"/>
      <c r="AD78" s="1396"/>
      <c r="AJ78" s="1399"/>
      <c r="AN78" s="1396"/>
    </row>
    <row r="79" spans="1:40" ht="24">
      <c r="A79" s="1210" t="s">
        <v>1235</v>
      </c>
      <c r="B79" s="1570"/>
      <c r="C79" s="1571" t="s">
        <v>1237</v>
      </c>
      <c r="D79" s="1572" t="s">
        <v>1238</v>
      </c>
      <c r="E79" s="1573" t="s">
        <v>1239</v>
      </c>
      <c r="F79" s="1574" t="s">
        <v>1240</v>
      </c>
      <c r="G79" s="1572" t="s">
        <v>1241</v>
      </c>
      <c r="H79" s="1575" t="s">
        <v>1242</v>
      </c>
      <c r="I79" s="1572" t="s">
        <v>1243</v>
      </c>
      <c r="J79" s="1667" t="s">
        <v>252</v>
      </c>
      <c r="K79" s="1667" t="s">
        <v>264</v>
      </c>
      <c r="L79" s="1667" t="s">
        <v>274</v>
      </c>
      <c r="M79" s="1667" t="s">
        <v>284</v>
      </c>
      <c r="N79" s="1667" t="s">
        <v>291</v>
      </c>
      <c r="AC79" s="1398"/>
      <c r="AD79" s="1396"/>
      <c r="AJ79" s="1399"/>
      <c r="AN79" s="1396"/>
    </row>
    <row r="80" spans="1:40" ht="36">
      <c r="A80" s="1210" t="s">
        <v>664</v>
      </c>
      <c r="B80" s="1570" t="str">
        <f>估价对象房地状况!G15</f>
        <v>估价对象位于XX开发区，园区建设成熟度XX，产业集聚程度XX</v>
      </c>
      <c r="C80" s="1577"/>
      <c r="D80" s="1578">
        <f t="shared" ref="D80:D87" si="25">SUMIF($J$79:$N$79,C80,J80:N80)</f>
        <v>0</v>
      </c>
      <c r="E80" s="1579">
        <f>ROUND(SUM(D80:D87),4)</f>
        <v>0</v>
      </c>
      <c r="F80" s="1580" t="str">
        <f>IF(E2="工业",SUMIF(L1:L12,G2,N1:N12),"——")</f>
        <v>——</v>
      </c>
      <c r="G80" s="1581"/>
      <c r="H80" s="1582" t="str">
        <f t="shared" ref="H80:H87" si="26">IFERROR(ROUNDDOWN($F$80*I80/2,4),"——")</f>
        <v>——</v>
      </c>
      <c r="I80" s="1668">
        <v>0.26</v>
      </c>
      <c r="J80" s="1669">
        <f t="shared" ref="J80:J87" si="27">K80+$G80</f>
        <v>0</v>
      </c>
      <c r="K80" s="1669">
        <f t="shared" ref="K80:K87" si="28">$L80+$G80</f>
        <v>0</v>
      </c>
      <c r="L80" s="1669">
        <v>0</v>
      </c>
      <c r="M80" s="1669">
        <f t="shared" ref="M80:N87" si="29">L80-$G80</f>
        <v>0</v>
      </c>
      <c r="N80" s="1669">
        <f t="shared" si="29"/>
        <v>0</v>
      </c>
      <c r="AC80" s="1398"/>
      <c r="AD80" s="1396"/>
      <c r="AJ80" s="1399"/>
      <c r="AN80" s="1396"/>
    </row>
    <row r="81" spans="1:40" ht="60">
      <c r="A81" s="1210" t="s">
        <v>668</v>
      </c>
      <c r="B81" s="1570" t="str">
        <f>估价对象房地状况!G16</f>
        <v>估价对象周边道路状况、公共交通通达情况、停车便捷程度，综合评价交通便捷度较好</v>
      </c>
      <c r="C81" s="1577"/>
      <c r="D81" s="1578">
        <f t="shared" si="25"/>
        <v>0</v>
      </c>
      <c r="E81" s="1700"/>
      <c r="F81" s="1701"/>
      <c r="G81" s="1581"/>
      <c r="H81" s="1582" t="str">
        <f t="shared" si="26"/>
        <v>——</v>
      </c>
      <c r="I81" s="1668">
        <v>0.33</v>
      </c>
      <c r="J81" s="1669">
        <f t="shared" si="27"/>
        <v>0</v>
      </c>
      <c r="K81" s="1669">
        <f t="shared" si="28"/>
        <v>0</v>
      </c>
      <c r="L81" s="1669">
        <v>0</v>
      </c>
      <c r="M81" s="1669">
        <f t="shared" si="29"/>
        <v>0</v>
      </c>
      <c r="N81" s="1669">
        <f t="shared" si="29"/>
        <v>0</v>
      </c>
      <c r="AC81" s="1398"/>
      <c r="AD81" s="1396"/>
      <c r="AJ81" s="1399"/>
      <c r="AN81" s="1396"/>
    </row>
    <row r="82" spans="1:40" ht="24">
      <c r="A82" s="1210" t="s">
        <v>678</v>
      </c>
      <c r="B82" s="1570">
        <f>估价对象房地状况!G17</f>
        <v>0</v>
      </c>
      <c r="C82" s="1577"/>
      <c r="D82" s="1578">
        <f t="shared" si="25"/>
        <v>0</v>
      </c>
      <c r="E82" s="1700"/>
      <c r="F82" s="1701"/>
      <c r="G82" s="1581"/>
      <c r="H82" s="1582" t="str">
        <f t="shared" si="26"/>
        <v>——</v>
      </c>
      <c r="I82" s="1668">
        <v>0.05</v>
      </c>
      <c r="J82" s="1669">
        <f t="shared" si="27"/>
        <v>0</v>
      </c>
      <c r="K82" s="1669">
        <f t="shared" si="28"/>
        <v>0</v>
      </c>
      <c r="L82" s="1669">
        <v>0</v>
      </c>
      <c r="M82" s="1669">
        <f t="shared" si="29"/>
        <v>0</v>
      </c>
      <c r="N82" s="1669">
        <f t="shared" si="29"/>
        <v>0</v>
      </c>
      <c r="AC82" s="1398"/>
      <c r="AD82" s="1396"/>
      <c r="AJ82" s="1399"/>
      <c r="AN82" s="1396"/>
    </row>
    <row r="83" spans="1:40" ht="13.8">
      <c r="A83" s="1210" t="s">
        <v>1253</v>
      </c>
      <c r="B83" s="1570">
        <f>估价对象房地状况!G22</f>
        <v>0</v>
      </c>
      <c r="C83" s="1577"/>
      <c r="D83" s="1578">
        <f t="shared" si="25"/>
        <v>0</v>
      </c>
      <c r="E83" s="1700"/>
      <c r="F83" s="1701"/>
      <c r="G83" s="1581"/>
      <c r="H83" s="1582" t="str">
        <f t="shared" si="26"/>
        <v>——</v>
      </c>
      <c r="I83" s="1668">
        <v>0.04</v>
      </c>
      <c r="J83" s="1669">
        <f t="shared" si="27"/>
        <v>0</v>
      </c>
      <c r="K83" s="1669">
        <f t="shared" si="28"/>
        <v>0</v>
      </c>
      <c r="L83" s="1669">
        <v>0</v>
      </c>
      <c r="M83" s="1669">
        <f t="shared" si="29"/>
        <v>0</v>
      </c>
      <c r="N83" s="1669">
        <f t="shared" si="29"/>
        <v>0</v>
      </c>
      <c r="AC83" s="1398"/>
      <c r="AD83" s="1396"/>
      <c r="AJ83" s="1399"/>
      <c r="AN83" s="1396"/>
    </row>
    <row r="84" spans="1:40" ht="24">
      <c r="A84" s="1210" t="s">
        <v>1250</v>
      </c>
      <c r="B84" s="1587" t="str">
        <f>估价对象房地状况!G19</f>
        <v>估价对象所在区域公共配套设施齐备情况</v>
      </c>
      <c r="C84" s="1577"/>
      <c r="D84" s="1578">
        <f t="shared" si="25"/>
        <v>0</v>
      </c>
      <c r="E84" s="1700"/>
      <c r="F84" s="1701"/>
      <c r="G84" s="1581"/>
      <c r="H84" s="1582" t="str">
        <f t="shared" si="26"/>
        <v>——</v>
      </c>
      <c r="I84" s="1668">
        <v>0.06</v>
      </c>
      <c r="J84" s="1669">
        <f t="shared" si="27"/>
        <v>0</v>
      </c>
      <c r="K84" s="1669">
        <f t="shared" si="28"/>
        <v>0</v>
      </c>
      <c r="L84" s="1669">
        <v>0</v>
      </c>
      <c r="M84" s="1669">
        <f t="shared" si="29"/>
        <v>0</v>
      </c>
      <c r="N84" s="1669">
        <f t="shared" si="29"/>
        <v>0</v>
      </c>
      <c r="AC84" s="1398"/>
      <c r="AD84" s="1396"/>
      <c r="AJ84" s="1399"/>
      <c r="AN84" s="1396"/>
    </row>
    <row r="85" spans="1:40" ht="24">
      <c r="A85" s="1210" t="s">
        <v>1251</v>
      </c>
      <c r="B85" s="1587" t="str">
        <f>估价对象房地状况!G20</f>
        <v>估价对象所在区域基础设施水平</v>
      </c>
      <c r="C85" s="1577"/>
      <c r="D85" s="1578">
        <f t="shared" si="25"/>
        <v>0</v>
      </c>
      <c r="E85" s="1700"/>
      <c r="F85" s="1701"/>
      <c r="G85" s="1581"/>
      <c r="H85" s="1582" t="str">
        <f t="shared" si="26"/>
        <v>——</v>
      </c>
      <c r="I85" s="1668">
        <v>0.15</v>
      </c>
      <c r="J85" s="1669">
        <f t="shared" si="27"/>
        <v>0</v>
      </c>
      <c r="K85" s="1669">
        <f t="shared" si="28"/>
        <v>0</v>
      </c>
      <c r="L85" s="1669">
        <v>0</v>
      </c>
      <c r="M85" s="1669">
        <f t="shared" si="29"/>
        <v>0</v>
      </c>
      <c r="N85" s="1669">
        <f t="shared" si="29"/>
        <v>0</v>
      </c>
      <c r="AC85" s="1398"/>
      <c r="AD85" s="1396"/>
      <c r="AJ85" s="1399"/>
      <c r="AN85" s="1396"/>
    </row>
    <row r="86" spans="1:40" ht="36">
      <c r="A86" s="1210" t="s">
        <v>1248</v>
      </c>
      <c r="B86" s="1585" t="s">
        <v>1249</v>
      </c>
      <c r="C86" s="1577"/>
      <c r="D86" s="1578">
        <f t="shared" si="25"/>
        <v>0</v>
      </c>
      <c r="E86" s="1700"/>
      <c r="F86" s="1701"/>
      <c r="G86" s="1581"/>
      <c r="H86" s="1582" t="str">
        <f t="shared" si="26"/>
        <v>——</v>
      </c>
      <c r="I86" s="1668">
        <v>0.05</v>
      </c>
      <c r="J86" s="1669">
        <f t="shared" si="27"/>
        <v>0</v>
      </c>
      <c r="K86" s="1669">
        <f t="shared" si="28"/>
        <v>0</v>
      </c>
      <c r="L86" s="1669">
        <v>0</v>
      </c>
      <c r="M86" s="1669">
        <f t="shared" si="29"/>
        <v>0</v>
      </c>
      <c r="N86" s="1669">
        <f t="shared" si="29"/>
        <v>0</v>
      </c>
      <c r="AC86" s="1398"/>
      <c r="AD86" s="1396"/>
      <c r="AJ86" s="1399"/>
      <c r="AN86" s="1396"/>
    </row>
    <row r="87" spans="1:40" ht="48">
      <c r="A87" s="1588" t="s">
        <v>673</v>
      </c>
      <c r="B87" s="1704" t="str">
        <f>估价对象房地状况!G18</f>
        <v>该园区内是否有污染型企业，绿化情况，卫生条件，整体环境状况判断</v>
      </c>
      <c r="C87" s="1577"/>
      <c r="D87" s="1578">
        <f t="shared" si="25"/>
        <v>0</v>
      </c>
      <c r="E87" s="1703"/>
      <c r="F87" s="1701"/>
      <c r="G87" s="1581"/>
      <c r="H87" s="1582" t="str">
        <f t="shared" si="26"/>
        <v>——</v>
      </c>
      <c r="I87" s="1670">
        <v>0.06</v>
      </c>
      <c r="J87" s="1669">
        <f t="shared" si="27"/>
        <v>0</v>
      </c>
      <c r="K87" s="1669">
        <f t="shared" si="28"/>
        <v>0</v>
      </c>
      <c r="L87" s="1669">
        <v>0</v>
      </c>
      <c r="M87" s="1669">
        <f t="shared" si="29"/>
        <v>0</v>
      </c>
      <c r="N87" s="1669">
        <f t="shared" si="29"/>
        <v>0</v>
      </c>
      <c r="AC87" s="1398"/>
      <c r="AD87" s="1396"/>
      <c r="AJ87" s="1399"/>
      <c r="AN87" s="1396"/>
    </row>
    <row r="90" spans="1:40">
      <c r="A90" s="3396" t="s">
        <v>1255</v>
      </c>
      <c r="B90" s="3396"/>
      <c r="C90" s="3396"/>
      <c r="D90" s="3396"/>
      <c r="E90" s="3396"/>
      <c r="F90" s="3396"/>
      <c r="G90" s="3396"/>
      <c r="H90" s="3396"/>
      <c r="I90" s="3396"/>
      <c r="J90" s="3396"/>
      <c r="K90" s="1238"/>
      <c r="L90" s="1238"/>
      <c r="M90" s="1238"/>
      <c r="N90" s="1238"/>
    </row>
    <row r="91" spans="1:40">
      <c r="A91" s="3405" t="s">
        <v>349</v>
      </c>
      <c r="B91" s="3405" t="s">
        <v>1256</v>
      </c>
      <c r="C91" s="1705" t="s">
        <v>1112</v>
      </c>
      <c r="D91" s="1706"/>
      <c r="E91" s="1706"/>
      <c r="F91" s="1706"/>
      <c r="G91" s="1706"/>
      <c r="H91" s="1706"/>
      <c r="I91" s="1706"/>
      <c r="J91" s="1730"/>
      <c r="K91" s="1224"/>
      <c r="L91" s="1224"/>
      <c r="M91" s="1224"/>
      <c r="N91" s="1224"/>
    </row>
    <row r="92" spans="1:40">
      <c r="A92" s="3405"/>
      <c r="B92" s="3405"/>
      <c r="C92" s="1220" t="s">
        <v>242</v>
      </c>
      <c r="D92" s="1220" t="s">
        <v>255</v>
      </c>
      <c r="E92" s="1220" t="s">
        <v>267</v>
      </c>
      <c r="F92" s="1220" t="s">
        <v>277</v>
      </c>
      <c r="G92" s="1220" t="s">
        <v>286</v>
      </c>
      <c r="H92" s="1220" t="s">
        <v>294</v>
      </c>
      <c r="I92" s="1220" t="s">
        <v>299</v>
      </c>
      <c r="J92" s="1220" t="s">
        <v>304</v>
      </c>
      <c r="K92" s="1220" t="s">
        <v>307</v>
      </c>
      <c r="L92" s="1220" t="s">
        <v>310</v>
      </c>
      <c r="M92" s="1220" t="s">
        <v>313</v>
      </c>
      <c r="N92" s="1220" t="s">
        <v>316</v>
      </c>
    </row>
    <row r="93" spans="1:40">
      <c r="A93" s="3406" t="s">
        <v>1257</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40">
      <c r="A94" s="3407"/>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40">
      <c r="A95" s="3407"/>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40">
      <c r="A96" s="3407"/>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407"/>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407"/>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407"/>
      <c r="B99" s="1707" t="s">
        <v>1258</v>
      </c>
      <c r="C99" s="1709">
        <f>$I$3</f>
        <v>8</v>
      </c>
      <c r="D99" s="1709">
        <f t="shared" ref="D99:N99" si="30">$I$3</f>
        <v>8</v>
      </c>
      <c r="E99" s="1709">
        <f t="shared" si="30"/>
        <v>8</v>
      </c>
      <c r="F99" s="1709">
        <f t="shared" si="30"/>
        <v>8</v>
      </c>
      <c r="G99" s="1709">
        <f t="shared" si="30"/>
        <v>8</v>
      </c>
      <c r="H99" s="1709">
        <f t="shared" si="30"/>
        <v>8</v>
      </c>
      <c r="I99" s="1709">
        <f t="shared" si="30"/>
        <v>8</v>
      </c>
      <c r="J99" s="1709">
        <f t="shared" si="30"/>
        <v>8</v>
      </c>
      <c r="K99" s="1709">
        <f t="shared" si="30"/>
        <v>8</v>
      </c>
      <c r="L99" s="1709">
        <f t="shared" si="30"/>
        <v>8</v>
      </c>
      <c r="M99" s="1709">
        <f t="shared" si="30"/>
        <v>8</v>
      </c>
      <c r="N99" s="1709">
        <f t="shared" si="30"/>
        <v>8</v>
      </c>
    </row>
    <row r="100" spans="1:14">
      <c r="A100" s="3408"/>
      <c r="B100" s="1707">
        <v>7</v>
      </c>
      <c r="C100" s="1710">
        <f>(-0.163*(C99^2)-0.59*C99+7617)*(10^(-4))</f>
        <v>0.76018479999999999</v>
      </c>
      <c r="D100" s="1710">
        <f>(-0.163*(D99^2)-0.59*D99+7617)*(10^(-4))</f>
        <v>0.76018479999999999</v>
      </c>
      <c r="E100" s="1710">
        <f>(-0.161*(E99^2)-7.509*E99+6533)*(10^(-4))</f>
        <v>0.64626240000000001</v>
      </c>
      <c r="F100" s="1710">
        <f>(-0.161*(F99^2)-7.509*F99+6533)*(10^(-4))</f>
        <v>0.64626240000000001</v>
      </c>
      <c r="G100" s="1710">
        <f>(-0.161*(G99^2)-7.509*G99+6533)*(10^(-4))</f>
        <v>0.64626240000000001</v>
      </c>
      <c r="H100" s="1710">
        <f>(-0.161*(H99^2)-7.509*H99+6533)*(10^(-4))</f>
        <v>0.64626240000000001</v>
      </c>
      <c r="I100" s="1710">
        <f>(-0.161*(I99^2)-7.509*I99+6533)*(10^(-4))</f>
        <v>0.64626240000000001</v>
      </c>
      <c r="J100" s="1710">
        <f>(-0.214*(J99^2)-21.991*J99+4665)*(10^(-4))</f>
        <v>0.44753760000000004</v>
      </c>
      <c r="K100" s="1710">
        <f>(-0.214*(K99^2)-21.991*K99+4665)*(10^(-4))</f>
        <v>0.44753760000000004</v>
      </c>
      <c r="L100" s="1710">
        <f>(-0.214*(L99^2)-21.991*L99+4665)*(10^(-4))</f>
        <v>0.44753760000000004</v>
      </c>
      <c r="M100" s="1710">
        <f>(-0.214*(M99^2)-21.991*M99+4665)*(10^(-4))</f>
        <v>0.44753760000000004</v>
      </c>
      <c r="N100" s="1710">
        <f>(-0.214*(N99^2)-21.991*N99+4665)*(10^(-4))</f>
        <v>0.44753760000000004</v>
      </c>
    </row>
    <row r="101" spans="1:14">
      <c r="A101" s="3406" t="s">
        <v>1259</v>
      </c>
      <c r="B101" s="1711" t="s">
        <v>105</v>
      </c>
      <c r="C101" s="1712">
        <f>$G$3</f>
        <v>10.52</v>
      </c>
      <c r="D101" s="1712">
        <f t="shared" ref="D101:N101" si="31">$G$3</f>
        <v>10.52</v>
      </c>
      <c r="E101" s="1712">
        <f t="shared" si="31"/>
        <v>10.52</v>
      </c>
      <c r="F101" s="1712">
        <f t="shared" si="31"/>
        <v>10.52</v>
      </c>
      <c r="G101" s="1712">
        <f t="shared" si="31"/>
        <v>10.52</v>
      </c>
      <c r="H101" s="1712">
        <f t="shared" si="31"/>
        <v>10.52</v>
      </c>
      <c r="I101" s="1712">
        <f t="shared" si="31"/>
        <v>10.52</v>
      </c>
      <c r="J101" s="1712">
        <f t="shared" si="31"/>
        <v>10.52</v>
      </c>
      <c r="K101" s="1712">
        <f t="shared" si="31"/>
        <v>10.52</v>
      </c>
      <c r="L101" s="1712">
        <f t="shared" si="31"/>
        <v>10.52</v>
      </c>
      <c r="M101" s="1712">
        <f t="shared" si="31"/>
        <v>10.52</v>
      </c>
      <c r="N101" s="1712">
        <f t="shared" si="31"/>
        <v>10.52</v>
      </c>
    </row>
    <row r="102" spans="1:14">
      <c r="A102" s="3407"/>
      <c r="B102" s="1707">
        <v>1</v>
      </c>
      <c r="C102" s="1708">
        <f>1.9362/C101</f>
        <v>0.18404942965779467</v>
      </c>
      <c r="D102" s="1708">
        <f>1.9362/D101</f>
        <v>0.18404942965779467</v>
      </c>
      <c r="E102" s="1708">
        <f>1.8629/E101</f>
        <v>0.17708174904942967</v>
      </c>
      <c r="F102" s="1708">
        <f>1.8629/F101</f>
        <v>0.17708174904942967</v>
      </c>
      <c r="G102" s="1708">
        <f>1.8629/G101</f>
        <v>0.17708174904942967</v>
      </c>
      <c r="H102" s="1708">
        <f>1.8629/H101</f>
        <v>0.17708174904942967</v>
      </c>
      <c r="I102" s="1708">
        <f>1.8629/I101</f>
        <v>0.17708174904942967</v>
      </c>
      <c r="J102" s="1708">
        <f>1.942/J101</f>
        <v>0.18460076045627377</v>
      </c>
      <c r="K102" s="1708">
        <f>1.942/K101</f>
        <v>0.18460076045627377</v>
      </c>
      <c r="L102" s="1708">
        <f>1.942/L101</f>
        <v>0.18460076045627377</v>
      </c>
      <c r="M102" s="1708">
        <f>1.942/M101</f>
        <v>0.18460076045627377</v>
      </c>
      <c r="N102" s="1708">
        <f>1.942/N101</f>
        <v>0.18460076045627377</v>
      </c>
    </row>
    <row r="103" spans="1:14">
      <c r="A103" s="3407"/>
      <c r="B103" s="1707">
        <v>2</v>
      </c>
      <c r="C103" s="1708">
        <f>1.4198/C101</f>
        <v>0.13496197718631178</v>
      </c>
      <c r="D103" s="1708">
        <f>1.4198/D101</f>
        <v>0.13496197718631178</v>
      </c>
      <c r="E103" s="1708">
        <f>1.3372/E101</f>
        <v>0.12711026615969581</v>
      </c>
      <c r="F103" s="1708">
        <f>1.3372/F101</f>
        <v>0.12711026615969581</v>
      </c>
      <c r="G103" s="1708">
        <f>1.3372/G101</f>
        <v>0.12711026615969581</v>
      </c>
      <c r="H103" s="1708">
        <f>1.3372/H101</f>
        <v>0.12711026615969581</v>
      </c>
      <c r="I103" s="1708">
        <f>1.3372/I101</f>
        <v>0.12711026615969581</v>
      </c>
      <c r="J103" s="1708">
        <f>1.2799/J101</f>
        <v>0.12166349809885932</v>
      </c>
      <c r="K103" s="1708">
        <f>1.2799/K101</f>
        <v>0.12166349809885932</v>
      </c>
      <c r="L103" s="1708">
        <f>1.2799/L101</f>
        <v>0.12166349809885932</v>
      </c>
      <c r="M103" s="1708">
        <f>1.2799/M101</f>
        <v>0.12166349809885932</v>
      </c>
      <c r="N103" s="1708">
        <f>1.2799/N101</f>
        <v>0.12166349809885932</v>
      </c>
    </row>
    <row r="104" spans="1:14">
      <c r="A104" s="3407"/>
      <c r="B104" s="1707">
        <v>3</v>
      </c>
      <c r="C104" s="1708">
        <f>1.1594/C101</f>
        <v>0.11020912547528518</v>
      </c>
      <c r="D104" s="1708">
        <f>1.1594/D101</f>
        <v>0.11020912547528518</v>
      </c>
      <c r="E104" s="1708">
        <f>1.0788/E101</f>
        <v>0.10254752851711027</v>
      </c>
      <c r="F104" s="1708">
        <f>1.0788/F101</f>
        <v>0.10254752851711027</v>
      </c>
      <c r="G104" s="1708">
        <f>1.0788/G101</f>
        <v>0.10254752851711027</v>
      </c>
      <c r="H104" s="1708">
        <f>1.0788/H101</f>
        <v>0.10254752851711027</v>
      </c>
      <c r="I104" s="1708">
        <f>1.0788/I101</f>
        <v>0.10254752851711027</v>
      </c>
      <c r="J104" s="1708">
        <f>1.0072/J101</f>
        <v>9.574144486692017E-2</v>
      </c>
      <c r="K104" s="1708">
        <f>1.0072/K101</f>
        <v>9.574144486692017E-2</v>
      </c>
      <c r="L104" s="1708">
        <f>1.0072/L101</f>
        <v>9.574144486692017E-2</v>
      </c>
      <c r="M104" s="1708">
        <f>1.0072/M101</f>
        <v>9.574144486692017E-2</v>
      </c>
      <c r="N104" s="1708">
        <f>1.0072/N101</f>
        <v>9.574144486692017E-2</v>
      </c>
    </row>
    <row r="105" spans="1:14">
      <c r="A105" s="3407"/>
      <c r="B105" s="1707">
        <v>4</v>
      </c>
      <c r="C105" s="1708">
        <f>0.9622/C101</f>
        <v>9.1463878326996206E-2</v>
      </c>
      <c r="D105" s="1708">
        <f>0.9622/D101</f>
        <v>9.1463878326996206E-2</v>
      </c>
      <c r="E105" s="1708">
        <f>0.8656/E101</f>
        <v>8.2281368821292777E-2</v>
      </c>
      <c r="F105" s="1708">
        <f>0.8656/F101</f>
        <v>8.2281368821292777E-2</v>
      </c>
      <c r="G105" s="1708">
        <f>0.8656/G101</f>
        <v>8.2281368821292777E-2</v>
      </c>
      <c r="H105" s="1708">
        <f>0.8656/H101</f>
        <v>8.2281368821292777E-2</v>
      </c>
      <c r="I105" s="1708">
        <f>0.8656/I101</f>
        <v>8.2281368821292777E-2</v>
      </c>
      <c r="J105" s="1708">
        <f>0.7525/J101</f>
        <v>7.1530418250950564E-2</v>
      </c>
      <c r="K105" s="1708">
        <f>0.7525/K101</f>
        <v>7.1530418250950564E-2</v>
      </c>
      <c r="L105" s="1708">
        <f>0.7525/L101</f>
        <v>7.1530418250950564E-2</v>
      </c>
      <c r="M105" s="1708">
        <f>0.7525/M101</f>
        <v>7.1530418250950564E-2</v>
      </c>
      <c r="N105" s="1708">
        <f>0.7525/N101</f>
        <v>7.1530418250950564E-2</v>
      </c>
    </row>
    <row r="106" spans="1:14">
      <c r="A106" s="3407"/>
      <c r="B106" s="1707">
        <v>5</v>
      </c>
      <c r="C106" s="1708">
        <f>0.8417/C101</f>
        <v>8.0009505703422051E-2</v>
      </c>
      <c r="D106" s="1708">
        <f>0.8417/D101</f>
        <v>8.0009505703422051E-2</v>
      </c>
      <c r="E106" s="1708">
        <f>0.7371/E101</f>
        <v>7.0066539923954368E-2</v>
      </c>
      <c r="F106" s="1708">
        <f>0.7371/F101</f>
        <v>7.0066539923954368E-2</v>
      </c>
      <c r="G106" s="1708">
        <f>0.7371/G101</f>
        <v>7.0066539923954368E-2</v>
      </c>
      <c r="H106" s="1708">
        <f>0.7371/H101</f>
        <v>7.0066539923954368E-2</v>
      </c>
      <c r="I106" s="1708">
        <f>0.7371/I101</f>
        <v>7.0066539923954368E-2</v>
      </c>
      <c r="J106" s="1708">
        <f>0.5659/J101</f>
        <v>5.3792775665399237E-2</v>
      </c>
      <c r="K106" s="1708">
        <f>0.5659/K101</f>
        <v>5.3792775665399237E-2</v>
      </c>
      <c r="L106" s="1708">
        <f>0.5659/L101</f>
        <v>5.3792775665399237E-2</v>
      </c>
      <c r="M106" s="1708">
        <f>0.5659/M101</f>
        <v>5.3792775665399237E-2</v>
      </c>
      <c r="N106" s="1708">
        <f>0.5659/N101</f>
        <v>5.3792775665399237E-2</v>
      </c>
    </row>
    <row r="107" spans="1:14">
      <c r="A107" s="3407"/>
      <c r="B107" s="1707">
        <v>6</v>
      </c>
      <c r="C107" s="1708">
        <f>0.7608/C101</f>
        <v>7.2319391634980995E-2</v>
      </c>
      <c r="D107" s="1708">
        <f>0.7608/D101</f>
        <v>7.2319391634980995E-2</v>
      </c>
      <c r="E107" s="1708">
        <f>0.6482/E101</f>
        <v>6.1615969581749051E-2</v>
      </c>
      <c r="F107" s="1708">
        <f>0.6482/F101</f>
        <v>6.1615969581749051E-2</v>
      </c>
      <c r="G107" s="1708">
        <f>0.6482/G101</f>
        <v>6.1615969581749051E-2</v>
      </c>
      <c r="H107" s="1708">
        <f>0.6482/H101</f>
        <v>6.1615969581749051E-2</v>
      </c>
      <c r="I107" s="1708">
        <f>0.6482/I101</f>
        <v>6.1615969581749051E-2</v>
      </c>
      <c r="J107" s="1708">
        <f>0.4525/J101</f>
        <v>4.3013307984790874E-2</v>
      </c>
      <c r="K107" s="1708">
        <f>0.4525/K101</f>
        <v>4.3013307984790874E-2</v>
      </c>
      <c r="L107" s="1708">
        <f>0.4525/L101</f>
        <v>4.3013307984790874E-2</v>
      </c>
      <c r="M107" s="1708">
        <f>0.4525/M101</f>
        <v>4.3013307984790874E-2</v>
      </c>
      <c r="N107" s="1708">
        <f>0.4525/N101</f>
        <v>4.3013307984790874E-2</v>
      </c>
    </row>
    <row r="108" spans="1:14">
      <c r="A108" s="3407"/>
      <c r="B108" s="3409" t="s">
        <v>1260</v>
      </c>
      <c r="C108" s="1709">
        <f>C99</f>
        <v>8</v>
      </c>
      <c r="D108" s="1709">
        <f t="shared" ref="D108:N108" si="32">D99</f>
        <v>8</v>
      </c>
      <c r="E108" s="1709">
        <f t="shared" si="32"/>
        <v>8</v>
      </c>
      <c r="F108" s="1709">
        <f t="shared" si="32"/>
        <v>8</v>
      </c>
      <c r="G108" s="1709">
        <f t="shared" si="32"/>
        <v>8</v>
      </c>
      <c r="H108" s="1709">
        <f t="shared" si="32"/>
        <v>8</v>
      </c>
      <c r="I108" s="1709">
        <f t="shared" si="32"/>
        <v>8</v>
      </c>
      <c r="J108" s="1709">
        <f t="shared" si="32"/>
        <v>8</v>
      </c>
      <c r="K108" s="1709">
        <f t="shared" si="32"/>
        <v>8</v>
      </c>
      <c r="L108" s="1709">
        <f t="shared" si="32"/>
        <v>8</v>
      </c>
      <c r="M108" s="1709">
        <f t="shared" si="32"/>
        <v>8</v>
      </c>
      <c r="N108" s="1709">
        <f t="shared" si="32"/>
        <v>8</v>
      </c>
    </row>
    <row r="109" spans="1:14">
      <c r="A109" s="3408"/>
      <c r="B109" s="3410"/>
      <c r="C109" s="1710">
        <f>(-0.163*(C108^2)-0.59*C108+7617)*(10^(-4))/C101</f>
        <v>7.2260912547528519E-2</v>
      </c>
      <c r="D109" s="1710">
        <f>(-0.163*(D108^2)-0.59*D108+7617)*(10^(-4))/D101</f>
        <v>7.2260912547528519E-2</v>
      </c>
      <c r="E109" s="1710">
        <f>(-0.161*(E108^2)-7.509*E108+6533)*(10^(-4))/E101</f>
        <v>6.1431787072243352E-2</v>
      </c>
      <c r="F109" s="1710">
        <f>(-0.161*(F108^2)-7.509*F108+6533)*(10^(-4))/F101</f>
        <v>6.1431787072243352E-2</v>
      </c>
      <c r="G109" s="1710">
        <f>(-0.161*(G108^2)-7.509*G108+6533)*(10^(-4))/G101</f>
        <v>6.1431787072243352E-2</v>
      </c>
      <c r="H109" s="1710">
        <f>(-0.161*(H108^2)-7.509*H108+6533)*(10^(-4))/H101</f>
        <v>6.1431787072243352E-2</v>
      </c>
      <c r="I109" s="1710">
        <f>(-0.161*(I108^2)-7.509*I108+6533)*(10^(-4))/I101</f>
        <v>6.1431787072243352E-2</v>
      </c>
      <c r="J109" s="1710">
        <f>(-0.214*(J108^2)-21.991*J108+4665)*(10^(-4))/J101</f>
        <v>4.2541596958174908E-2</v>
      </c>
      <c r="K109" s="1710">
        <f>(-0.214*(K108^2)-21.991*K108+4665)*(10^(-4))/K101</f>
        <v>4.2541596958174908E-2</v>
      </c>
      <c r="L109" s="1710">
        <f>(-0.214*(L108^2)-21.991*L108+4665)*(10^(-4))/L101</f>
        <v>4.2541596958174908E-2</v>
      </c>
      <c r="M109" s="1710">
        <f>(-0.214*(M108^2)-21.991*M108+4665)*(10^(-4))/M101</f>
        <v>4.2541596958174908E-2</v>
      </c>
      <c r="N109" s="1710">
        <f>(-0.214*(N108^2)-21.991*N108+4665)*(10^(-4))/N101</f>
        <v>4.2541596958174908E-2</v>
      </c>
    </row>
    <row r="110" spans="1:14">
      <c r="A110" s="3397" t="s">
        <v>1261</v>
      </c>
      <c r="B110" s="3397"/>
      <c r="C110" s="3397"/>
      <c r="D110" s="3397"/>
      <c r="E110" s="3397"/>
      <c r="F110" s="3397"/>
      <c r="G110" s="3397"/>
      <c r="H110" s="3397"/>
      <c r="I110" s="3397"/>
      <c r="J110" s="3397"/>
      <c r="K110" s="1713"/>
      <c r="L110" s="1713"/>
      <c r="M110" s="1713"/>
      <c r="N110" s="1713"/>
    </row>
    <row r="113" spans="1:13" ht="25.2">
      <c r="A113" s="1714" t="s">
        <v>1262</v>
      </c>
      <c r="B113" s="1715">
        <f>G3</f>
        <v>10.52</v>
      </c>
      <c r="C113" s="1716" t="s">
        <v>1263</v>
      </c>
      <c r="D113" s="1717">
        <f>SUMPRODUCT((A115:A118=F113)*(B114:M114=H113)*B115:M118)</f>
        <v>0</v>
      </c>
      <c r="E113" s="1718" t="s">
        <v>349</v>
      </c>
      <c r="F113" s="1719">
        <f>E2</f>
        <v>0</v>
      </c>
      <c r="G113" s="1718" t="s">
        <v>219</v>
      </c>
      <c r="H113" s="1719">
        <f>G2</f>
        <v>0</v>
      </c>
      <c r="I113" s="1718"/>
      <c r="J113" s="1149"/>
      <c r="K113" s="1149"/>
      <c r="L113" s="1149"/>
      <c r="M113" s="1149"/>
    </row>
    <row r="114" spans="1:13" ht="13.2">
      <c r="A114" s="1720"/>
      <c r="B114" s="1721" t="s">
        <v>242</v>
      </c>
      <c r="C114" s="1721" t="s">
        <v>255</v>
      </c>
      <c r="D114" s="1721" t="s">
        <v>267</v>
      </c>
      <c r="E114" s="1722" t="s">
        <v>277</v>
      </c>
      <c r="F114" s="1722" t="s">
        <v>286</v>
      </c>
      <c r="G114" s="1722" t="s">
        <v>294</v>
      </c>
      <c r="H114" s="1723" t="s">
        <v>299</v>
      </c>
      <c r="I114" s="1723" t="s">
        <v>304</v>
      </c>
      <c r="J114" s="1731" t="s">
        <v>307</v>
      </c>
      <c r="K114" s="1731" t="s">
        <v>310</v>
      </c>
      <c r="L114" s="1731" t="s">
        <v>313</v>
      </c>
      <c r="M114" s="1732" t="s">
        <v>316</v>
      </c>
    </row>
    <row r="115" spans="1:13" ht="13.2">
      <c r="A115" s="1724" t="s">
        <v>1264</v>
      </c>
      <c r="B115" s="1725">
        <f>ROUND(0.9335-0.0094*B113,4)</f>
        <v>0.83460000000000001</v>
      </c>
      <c r="C115" s="1725">
        <f>B115</f>
        <v>0.83460000000000001</v>
      </c>
      <c r="D115" s="1725">
        <f>ROUND(0.8331-0.0109*B113,4)</f>
        <v>0.71840000000000004</v>
      </c>
      <c r="E115" s="1725">
        <f>D115</f>
        <v>0.71840000000000004</v>
      </c>
      <c r="F115" s="1725">
        <f>E115</f>
        <v>0.71840000000000004</v>
      </c>
      <c r="G115" s="1725">
        <f>F115</f>
        <v>0.71840000000000004</v>
      </c>
      <c r="H115" s="1725">
        <f>G115</f>
        <v>0.71840000000000004</v>
      </c>
      <c r="I115" s="1725">
        <f>ROUND(0.689-0.0155*B113,4)</f>
        <v>0.52590000000000003</v>
      </c>
      <c r="J115" s="1725">
        <f t="shared" ref="J115:M118" si="33">I115</f>
        <v>0.52590000000000003</v>
      </c>
      <c r="K115" s="1725">
        <f t="shared" si="33"/>
        <v>0.52590000000000003</v>
      </c>
      <c r="L115" s="1725">
        <f t="shared" si="33"/>
        <v>0.52590000000000003</v>
      </c>
      <c r="M115" s="1733">
        <f t="shared" si="33"/>
        <v>0.52590000000000003</v>
      </c>
    </row>
    <row r="116" spans="1:13" ht="13.2">
      <c r="A116" s="1724" t="s">
        <v>1265</v>
      </c>
      <c r="B116" s="1725">
        <f>ROUND(0.949-0.012*B113,4)</f>
        <v>0.82279999999999998</v>
      </c>
      <c r="C116" s="1725">
        <f>B116</f>
        <v>0.82279999999999998</v>
      </c>
      <c r="D116" s="1725">
        <f>ROUND(0.8567-0.013*B113,4)</f>
        <v>0.71989999999999998</v>
      </c>
      <c r="E116" s="1725">
        <f t="shared" ref="E116:H117" si="34">D116</f>
        <v>0.71989999999999998</v>
      </c>
      <c r="F116" s="1725">
        <f t="shared" si="34"/>
        <v>0.71989999999999998</v>
      </c>
      <c r="G116" s="1725">
        <f t="shared" si="34"/>
        <v>0.71989999999999998</v>
      </c>
      <c r="H116" s="1725">
        <f t="shared" si="34"/>
        <v>0.71989999999999998</v>
      </c>
      <c r="I116" s="1725">
        <f>ROUND(0.7694-0.014*B113,4)</f>
        <v>0.62209999999999999</v>
      </c>
      <c r="J116" s="1725">
        <f t="shared" si="33"/>
        <v>0.62209999999999999</v>
      </c>
      <c r="K116" s="1725">
        <f t="shared" si="33"/>
        <v>0.62209999999999999</v>
      </c>
      <c r="L116" s="1725">
        <f t="shared" si="33"/>
        <v>0.62209999999999999</v>
      </c>
      <c r="M116" s="1733">
        <f t="shared" si="33"/>
        <v>0.62209999999999999</v>
      </c>
    </row>
    <row r="117" spans="1:13" ht="13.2">
      <c r="A117" s="1726" t="s">
        <v>379</v>
      </c>
      <c r="B117" s="1725">
        <f>ROUND(0.8808-0.006*B113,4)</f>
        <v>0.81769999999999998</v>
      </c>
      <c r="C117" s="1725">
        <f>B117</f>
        <v>0.81769999999999998</v>
      </c>
      <c r="D117" s="1725">
        <f>ROUND(0.8748-0.008*B113,4)</f>
        <v>0.79059999999999997</v>
      </c>
      <c r="E117" s="1725">
        <f t="shared" si="34"/>
        <v>0.79059999999999997</v>
      </c>
      <c r="F117" s="1725">
        <f t="shared" si="34"/>
        <v>0.79059999999999997</v>
      </c>
      <c r="G117" s="1725">
        <f t="shared" si="34"/>
        <v>0.79059999999999997</v>
      </c>
      <c r="H117" s="1725">
        <f t="shared" si="34"/>
        <v>0.79059999999999997</v>
      </c>
      <c r="I117" s="1725">
        <f>ROUND(0.7412-0.0095*B113,4)</f>
        <v>0.64129999999999998</v>
      </c>
      <c r="J117" s="1725">
        <f t="shared" si="33"/>
        <v>0.64129999999999998</v>
      </c>
      <c r="K117" s="1725">
        <f t="shared" si="33"/>
        <v>0.64129999999999998</v>
      </c>
      <c r="L117" s="1725">
        <f t="shared" si="33"/>
        <v>0.64129999999999998</v>
      </c>
      <c r="M117" s="1733">
        <f t="shared" si="33"/>
        <v>0.64129999999999998</v>
      </c>
    </row>
    <row r="118" spans="1:13" ht="13.2">
      <c r="A118" s="1727" t="s">
        <v>1266</v>
      </c>
      <c r="B118" s="1728">
        <f>ROUND(0.7275-0.01*B113,4)</f>
        <v>0.62229999999999996</v>
      </c>
      <c r="C118" s="1728">
        <f>B118</f>
        <v>0.62229999999999996</v>
      </c>
      <c r="D118" s="1728">
        <f>ROUND(0.7043-0.012*B113,4)</f>
        <v>0.57809999999999995</v>
      </c>
      <c r="E118" s="1728">
        <f>D118</f>
        <v>0.57809999999999995</v>
      </c>
      <c r="F118" s="1728">
        <f>E118</f>
        <v>0.57809999999999995</v>
      </c>
      <c r="G118" s="1728">
        <f>ROUND(0.6299-0.0122*B113,4)</f>
        <v>0.50160000000000005</v>
      </c>
      <c r="H118" s="1728">
        <f>G118</f>
        <v>0.50160000000000005</v>
      </c>
      <c r="I118" s="1728">
        <f>ROUND(0.5667-0.0136*B113,4)</f>
        <v>0.42359999999999998</v>
      </c>
      <c r="J118" s="1728">
        <f t="shared" si="33"/>
        <v>0.42359999999999998</v>
      </c>
      <c r="K118" s="1728">
        <f t="shared" si="33"/>
        <v>0.42359999999999998</v>
      </c>
      <c r="L118" s="1728">
        <f t="shared" si="33"/>
        <v>0.42359999999999998</v>
      </c>
      <c r="M118" s="1734">
        <f t="shared" si="33"/>
        <v>0.42359999999999998</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1"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16">
      <formula1>"三通一平,四通一平,五通一平,六通一平,七通一平"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52" sqref="K52"/>
    </sheetView>
  </sheetViews>
  <sheetFormatPr defaultColWidth="9" defaultRowHeight="13.8"/>
  <cols>
    <col min="1" max="1" width="10.44140625" style="195" customWidth="1"/>
    <col min="2" max="2" width="15.77734375" style="195" customWidth="1"/>
    <col min="3" max="3" width="15.10937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1267</v>
      </c>
      <c r="B1" s="1305" t="s">
        <v>1268</v>
      </c>
      <c r="C1" s="1306" t="s">
        <v>1269</v>
      </c>
      <c r="D1" s="1307" t="s">
        <v>379</v>
      </c>
      <c r="E1" s="1308"/>
      <c r="F1" s="203" t="s">
        <v>1270</v>
      </c>
      <c r="G1" s="204" t="s">
        <v>1271</v>
      </c>
      <c r="H1" s="202"/>
      <c r="I1" s="202"/>
      <c r="J1" s="202"/>
      <c r="K1" s="369"/>
      <c r="L1" s="370"/>
      <c r="M1" s="371"/>
      <c r="N1" s="371"/>
      <c r="O1" s="371"/>
      <c r="P1" s="372"/>
      <c r="Q1" s="372"/>
      <c r="R1" s="372"/>
      <c r="S1" s="372"/>
      <c r="T1" s="372"/>
      <c r="U1" s="372"/>
      <c r="V1" s="372"/>
      <c r="W1" s="372"/>
      <c r="X1" s="372"/>
      <c r="Y1" s="372"/>
      <c r="Z1" s="372"/>
      <c r="AA1" s="372"/>
      <c r="AB1" s="372"/>
      <c r="AC1" s="460"/>
    </row>
    <row r="2" spans="1:29" s="1304" customFormat="1" ht="28.5" customHeight="1">
      <c r="A2" s="205" t="s">
        <v>915</v>
      </c>
      <c r="B2" s="1309">
        <f>ROUND(B3*D3/10000,0)</f>
        <v>272457</v>
      </c>
      <c r="C2" s="207"/>
      <c r="D2" s="207"/>
      <c r="E2" s="207"/>
      <c r="F2" s="1310"/>
      <c r="G2" s="207"/>
      <c r="H2" s="207"/>
      <c r="I2" s="207"/>
      <c r="J2" s="207"/>
      <c r="K2" s="1320"/>
      <c r="L2" s="1321"/>
      <c r="M2" s="1322"/>
      <c r="N2" s="1322"/>
      <c r="O2" s="1322"/>
      <c r="P2" s="1323"/>
      <c r="Q2" s="1323"/>
      <c r="R2" s="1323"/>
      <c r="S2" s="1323"/>
      <c r="T2" s="1323"/>
      <c r="U2" s="1323"/>
      <c r="V2" s="1323"/>
      <c r="W2" s="1323"/>
      <c r="X2" s="1323"/>
      <c r="Y2" s="1323"/>
      <c r="Z2" s="1323"/>
      <c r="AA2" s="1323"/>
      <c r="AB2" s="1323"/>
      <c r="AC2" s="1337"/>
    </row>
    <row r="3" spans="1:29" s="1304" customFormat="1" ht="28.5" customHeight="1">
      <c r="A3" s="210" t="s">
        <v>1272</v>
      </c>
      <c r="B3" s="213">
        <f>C49</f>
        <v>37522</v>
      </c>
      <c r="C3" s="212" t="s">
        <v>1273</v>
      </c>
      <c r="D3" s="213">
        <f>SUMIF('数据-汇总表'!$C19:$C33,D1,'数据-汇总表'!$E19:$E33)</f>
        <v>72612.570000000007</v>
      </c>
      <c r="E3" s="207"/>
      <c r="F3" s="1310"/>
      <c r="G3" s="207"/>
      <c r="H3" s="207"/>
      <c r="I3" s="207"/>
      <c r="J3" s="207"/>
      <c r="K3" s="1320"/>
      <c r="L3" s="1321"/>
      <c r="M3" s="1322"/>
      <c r="N3" s="1322"/>
      <c r="O3" s="1322"/>
      <c r="P3" s="1323"/>
      <c r="Q3" s="1323"/>
      <c r="R3" s="1323"/>
      <c r="S3" s="1323"/>
      <c r="T3" s="1323"/>
      <c r="U3" s="1323"/>
      <c r="V3" s="1323"/>
      <c r="W3" s="1323"/>
      <c r="X3" s="1323"/>
      <c r="Y3" s="1323"/>
      <c r="Z3" s="1323"/>
      <c r="AA3" s="1323"/>
      <c r="AB3" s="1323"/>
      <c r="AC3" s="1098"/>
    </row>
    <row r="4" spans="1:29" ht="14.4">
      <c r="A4" s="214" t="s">
        <v>919</v>
      </c>
      <c r="B4" s="215"/>
      <c r="C4" s="3342" t="s">
        <v>920</v>
      </c>
      <c r="D4" s="3343"/>
      <c r="E4" s="3383" t="s">
        <v>921</v>
      </c>
      <c r="F4" s="3384"/>
      <c r="G4" s="3342" t="s">
        <v>922</v>
      </c>
      <c r="H4" s="3343"/>
      <c r="I4" s="3342" t="s">
        <v>923</v>
      </c>
      <c r="J4" s="3343"/>
      <c r="K4" s="1324" t="s">
        <v>924</v>
      </c>
      <c r="L4" s="377"/>
      <c r="M4" s="378"/>
      <c r="N4" s="378"/>
      <c r="O4" s="378"/>
      <c r="P4" s="3370" t="s">
        <v>925</v>
      </c>
      <c r="Q4" s="3371"/>
      <c r="R4" s="3376" t="s">
        <v>921</v>
      </c>
      <c r="S4" s="3377"/>
      <c r="T4" s="3376" t="s">
        <v>922</v>
      </c>
      <c r="U4" s="3377"/>
      <c r="V4" s="3362" t="s">
        <v>923</v>
      </c>
      <c r="W4" s="3362"/>
      <c r="X4" s="443"/>
      <c r="Y4" s="3376" t="s">
        <v>925</v>
      </c>
      <c r="Z4" s="3377"/>
      <c r="AA4" s="3363" t="s">
        <v>921</v>
      </c>
      <c r="AB4" s="3363" t="s">
        <v>922</v>
      </c>
      <c r="AC4" s="3363" t="s">
        <v>923</v>
      </c>
    </row>
    <row r="5" spans="1:29">
      <c r="A5" s="216"/>
      <c r="B5" s="217"/>
      <c r="C5" s="3412" t="s">
        <v>2435</v>
      </c>
      <c r="D5" s="3413"/>
      <c r="E5" s="3414" t="s">
        <v>1274</v>
      </c>
      <c r="F5" s="3415"/>
      <c r="G5" s="3416" t="s">
        <v>1275</v>
      </c>
      <c r="H5" s="3413"/>
      <c r="I5" s="3416" t="s">
        <v>1276</v>
      </c>
      <c r="J5" s="3413"/>
      <c r="K5" s="1325"/>
      <c r="L5" s="377"/>
      <c r="M5" s="378"/>
      <c r="N5" s="378"/>
      <c r="O5" s="378"/>
      <c r="P5" s="3372"/>
      <c r="Q5" s="3373"/>
      <c r="R5" s="3378"/>
      <c r="S5" s="3379"/>
      <c r="T5" s="3378"/>
      <c r="U5" s="3379"/>
      <c r="V5" s="3362"/>
      <c r="W5" s="3362"/>
      <c r="X5" s="443"/>
      <c r="Y5" s="3378"/>
      <c r="Z5" s="3379"/>
      <c r="AA5" s="3364"/>
      <c r="AB5" s="3364"/>
      <c r="AC5" s="3364"/>
    </row>
    <row r="6" spans="1:29" ht="14.4">
      <c r="A6" s="218"/>
      <c r="B6" s="219"/>
      <c r="C6" s="3417" t="s">
        <v>2436</v>
      </c>
      <c r="D6" s="3418"/>
      <c r="E6" s="3419" t="s">
        <v>2436</v>
      </c>
      <c r="F6" s="3420"/>
      <c r="G6" s="3417" t="s">
        <v>2436</v>
      </c>
      <c r="H6" s="3418"/>
      <c r="I6" s="3417" t="s">
        <v>2436</v>
      </c>
      <c r="J6" s="3418"/>
      <c r="K6" s="1325" t="s">
        <v>928</v>
      </c>
      <c r="L6" s="377"/>
      <c r="M6" s="378"/>
      <c r="N6" s="378"/>
      <c r="O6" s="378"/>
      <c r="P6" s="3374"/>
      <c r="Q6" s="3375"/>
      <c r="R6" s="3378"/>
      <c r="S6" s="3379"/>
      <c r="T6" s="3380"/>
      <c r="U6" s="3381"/>
      <c r="V6" s="3362"/>
      <c r="W6" s="3362"/>
      <c r="X6" s="443"/>
      <c r="Y6" s="3380"/>
      <c r="Z6" s="3381"/>
      <c r="AA6" s="3365"/>
      <c r="AB6" s="3365"/>
      <c r="AC6" s="3365"/>
    </row>
    <row r="7" spans="1:29" s="190" customFormat="1" ht="14.4">
      <c r="A7" s="220"/>
      <c r="B7" s="221" t="s">
        <v>929</v>
      </c>
      <c r="C7" s="222">
        <f>'数据-取费表'!B2</f>
        <v>43654</v>
      </c>
      <c r="D7" s="223">
        <v>100</v>
      </c>
      <c r="E7" s="224">
        <v>43654</v>
      </c>
      <c r="F7" s="225">
        <f>SUMIF(58:58,YEAR(E7)&amp;"-"&amp;MONTH(E7),59:59)</f>
        <v>100</v>
      </c>
      <c r="G7" s="226">
        <v>43654</v>
      </c>
      <c r="H7" s="223">
        <f>SUMIF(58:58,YEAR(G7)&amp;"-"&amp;MONTH(G7),59:59)</f>
        <v>100</v>
      </c>
      <c r="I7" s="226">
        <v>43654</v>
      </c>
      <c r="J7" s="223">
        <f>SUMIF(58:58,YEAR(I7)&amp;"-"&amp;MONTH(I7),59:59)</f>
        <v>100</v>
      </c>
      <c r="K7" s="1326"/>
      <c r="L7" s="380"/>
      <c r="M7" s="381"/>
      <c r="N7" s="381"/>
      <c r="O7" s="381"/>
      <c r="P7" s="3350" t="s">
        <v>930</v>
      </c>
      <c r="Q7" s="3351"/>
      <c r="R7" s="444" t="s">
        <v>931</v>
      </c>
      <c r="S7" s="445">
        <f t="shared" ref="S7:S15" si="0">F7</f>
        <v>100</v>
      </c>
      <c r="T7" s="444" t="s">
        <v>931</v>
      </c>
      <c r="U7" s="445">
        <f t="shared" ref="U7:U15" si="1">H7</f>
        <v>100</v>
      </c>
      <c r="V7" s="444" t="s">
        <v>931</v>
      </c>
      <c r="W7" s="445">
        <f t="shared" ref="W7:W15" si="2">J7</f>
        <v>100</v>
      </c>
      <c r="X7" s="446"/>
      <c r="Y7" s="3350" t="s">
        <v>930</v>
      </c>
      <c r="Z7" s="3382"/>
      <c r="AA7" s="463">
        <f>D7/F7</f>
        <v>1</v>
      </c>
      <c r="AB7" s="463">
        <f>D7/H7</f>
        <v>1</v>
      </c>
      <c r="AC7" s="463">
        <f>D7/J7</f>
        <v>1</v>
      </c>
    </row>
    <row r="8" spans="1:29" s="190" customFormat="1" ht="14.4">
      <c r="A8" s="227"/>
      <c r="B8" s="228" t="s">
        <v>932</v>
      </c>
      <c r="C8" s="229" t="s">
        <v>934</v>
      </c>
      <c r="D8" s="223">
        <v>100</v>
      </c>
      <c r="E8" s="229" t="s">
        <v>934</v>
      </c>
      <c r="F8" s="225">
        <f>SUMIF(61:61,E8,62:62)-SUMIF(61:61,C8,62:62)+100</f>
        <v>100</v>
      </c>
      <c r="G8" s="229" t="s">
        <v>934</v>
      </c>
      <c r="H8" s="223">
        <f>SUMIF(61:61,G8,62:62)-SUMIF(61:61,C8,62:62)+100</f>
        <v>100</v>
      </c>
      <c r="I8" s="229" t="s">
        <v>934</v>
      </c>
      <c r="J8" s="223">
        <f>SUMIF(61:61,I8,62:62)-SUMIF(61:61,C8,62:62)+100</f>
        <v>100</v>
      </c>
      <c r="K8" s="1326"/>
      <c r="L8" s="380"/>
      <c r="M8" s="381"/>
      <c r="N8" s="381"/>
      <c r="O8" s="381"/>
      <c r="P8" s="3350" t="s">
        <v>935</v>
      </c>
      <c r="Q8" s="3382"/>
      <c r="R8" s="444" t="s">
        <v>931</v>
      </c>
      <c r="S8" s="445">
        <f t="shared" si="0"/>
        <v>100</v>
      </c>
      <c r="T8" s="444" t="s">
        <v>931</v>
      </c>
      <c r="U8" s="445">
        <f t="shared" si="1"/>
        <v>100</v>
      </c>
      <c r="V8" s="444" t="s">
        <v>931</v>
      </c>
      <c r="W8" s="445">
        <f t="shared" si="2"/>
        <v>100</v>
      </c>
      <c r="X8" s="446"/>
      <c r="Y8" s="3350" t="s">
        <v>935</v>
      </c>
      <c r="Z8" s="3382"/>
      <c r="AA8" s="463">
        <f t="shared" ref="AA8:AA46" si="3">D8/F8</f>
        <v>1</v>
      </c>
      <c r="AB8" s="463">
        <f t="shared" ref="AB8:AB46" si="4">D8/H8</f>
        <v>1</v>
      </c>
      <c r="AC8" s="463">
        <f t="shared" ref="AC8:AC46" si="5">D8/J8</f>
        <v>1</v>
      </c>
    </row>
    <row r="9" spans="1:29" s="190" customFormat="1" ht="14.4">
      <c r="A9" s="230"/>
      <c r="B9" s="231" t="s">
        <v>936</v>
      </c>
      <c r="C9" s="1311" t="s">
        <v>379</v>
      </c>
      <c r="D9" s="233">
        <v>100</v>
      </c>
      <c r="E9" s="497" t="s">
        <v>379</v>
      </c>
      <c r="F9" s="1312">
        <f>SUMIF(63:63,E9,64:64)-SUMIF(63:63,C9,64:64)+100</f>
        <v>100</v>
      </c>
      <c r="G9" s="497" t="s">
        <v>379</v>
      </c>
      <c r="H9" s="233">
        <f>SUMIF(63:63,G9,64:64)-SUMIF(63:63,C9,64:64)+100</f>
        <v>100</v>
      </c>
      <c r="I9" s="497" t="s">
        <v>379</v>
      </c>
      <c r="J9" s="233">
        <f>SUMIF(63:63,I9,64:64)-SUMIF(63:63,C9,64:64)+100</f>
        <v>100</v>
      </c>
      <c r="K9" s="1326"/>
      <c r="L9" s="380"/>
      <c r="M9" s="381"/>
      <c r="N9" s="381"/>
      <c r="O9" s="382"/>
      <c r="P9" s="3353" t="s">
        <v>938</v>
      </c>
      <c r="Q9" s="447" t="str">
        <f t="shared" ref="Q9:Q15" si="6">B9</f>
        <v>用途</v>
      </c>
      <c r="R9" s="444" t="s">
        <v>931</v>
      </c>
      <c r="S9" s="445">
        <f t="shared" si="0"/>
        <v>100</v>
      </c>
      <c r="T9" s="444" t="s">
        <v>931</v>
      </c>
      <c r="U9" s="445">
        <f t="shared" si="1"/>
        <v>100</v>
      </c>
      <c r="V9" s="444" t="s">
        <v>931</v>
      </c>
      <c r="W9" s="445">
        <f t="shared" si="2"/>
        <v>100</v>
      </c>
      <c r="X9" s="446"/>
      <c r="Y9" s="3341" t="s">
        <v>939</v>
      </c>
      <c r="Z9" s="464" t="str">
        <f t="shared" ref="Z9:Z15" si="7">Q9</f>
        <v>用途</v>
      </c>
      <c r="AA9" s="463">
        <f t="shared" si="3"/>
        <v>1</v>
      </c>
      <c r="AB9" s="463">
        <f t="shared" si="4"/>
        <v>1</v>
      </c>
      <c r="AC9" s="463">
        <f t="shared" si="5"/>
        <v>1</v>
      </c>
    </row>
    <row r="10" spans="1:29" s="191" customFormat="1" ht="28.8">
      <c r="A10" s="235"/>
      <c r="B10" s="228" t="s">
        <v>940</v>
      </c>
      <c r="C10" s="236" t="s">
        <v>1277</v>
      </c>
      <c r="D10" s="237">
        <v>100</v>
      </c>
      <c r="E10" s="238" t="s">
        <v>1277</v>
      </c>
      <c r="F10" s="543">
        <f>SUMIF(65:65,E10,66:66)-SUMIF(65:65,C10,66:66)+100</f>
        <v>100</v>
      </c>
      <c r="G10" s="236" t="s">
        <v>1277</v>
      </c>
      <c r="H10" s="237">
        <f>SUMIF(65:65,G10,66:66)-SUMIF(65:65,C10,66:66)+100</f>
        <v>100</v>
      </c>
      <c r="I10" s="236" t="s">
        <v>1277</v>
      </c>
      <c r="J10" s="237">
        <f>SUMIF(65:65,I10,66:66)-SUMIF(65:65,C10,66:66)+100</f>
        <v>100</v>
      </c>
      <c r="K10" s="1327">
        <v>2</v>
      </c>
      <c r="L10" s="385"/>
      <c r="M10" s="386"/>
      <c r="N10" s="386"/>
      <c r="O10" s="387"/>
      <c r="P10" s="3353"/>
      <c r="Q10" s="447" t="str">
        <f t="shared" si="6"/>
        <v>土地使用年限（年）</v>
      </c>
      <c r="R10" s="444" t="s">
        <v>931</v>
      </c>
      <c r="S10" s="445">
        <f t="shared" si="0"/>
        <v>100</v>
      </c>
      <c r="T10" s="444" t="s">
        <v>931</v>
      </c>
      <c r="U10" s="445">
        <f t="shared" si="1"/>
        <v>100</v>
      </c>
      <c r="V10" s="444" t="s">
        <v>931</v>
      </c>
      <c r="W10" s="445">
        <f t="shared" si="2"/>
        <v>100</v>
      </c>
      <c r="X10" s="446"/>
      <c r="Y10" s="3341"/>
      <c r="Z10" s="464" t="str">
        <f t="shared" si="7"/>
        <v>土地使用年限（年）</v>
      </c>
      <c r="AA10" s="463">
        <f t="shared" si="3"/>
        <v>1</v>
      </c>
      <c r="AB10" s="463">
        <f t="shared" si="4"/>
        <v>1</v>
      </c>
      <c r="AC10" s="463">
        <f t="shared" si="5"/>
        <v>1</v>
      </c>
    </row>
    <row r="11" spans="1:29" ht="15">
      <c r="A11" s="530"/>
      <c r="B11" s="228" t="s">
        <v>942</v>
      </c>
      <c r="C11" s="531">
        <f>'数据-汇总表'!I7</f>
        <v>9.92</v>
      </c>
      <c r="D11" s="237">
        <v>100</v>
      </c>
      <c r="E11" s="532">
        <v>2.4</v>
      </c>
      <c r="F11" s="543">
        <f>LOOKUP(E11,68:68,69:69)-LOOKUP(C11,68:68,69:69)+100</f>
        <v>108</v>
      </c>
      <c r="G11" s="531">
        <v>2.13</v>
      </c>
      <c r="H11" s="237">
        <f>LOOKUP(G11,68:68,69:69)-LOOKUP(C11,68:68,69:69)+100</f>
        <v>108</v>
      </c>
      <c r="I11" s="531">
        <v>1.3</v>
      </c>
      <c r="J11" s="237">
        <f>LOOKUP(I11,68:68,69:69)-LOOKUP(C11,68:68,69:69)+100</f>
        <v>108</v>
      </c>
      <c r="K11" s="1327">
        <v>2</v>
      </c>
      <c r="L11" s="389"/>
      <c r="M11" s="378"/>
      <c r="N11" s="378"/>
      <c r="O11" s="390"/>
      <c r="P11" s="3353"/>
      <c r="Q11" s="447" t="str">
        <f t="shared" si="6"/>
        <v>容积率</v>
      </c>
      <c r="R11" s="444" t="s">
        <v>931</v>
      </c>
      <c r="S11" s="445">
        <f t="shared" si="0"/>
        <v>108</v>
      </c>
      <c r="T11" s="444" t="s">
        <v>931</v>
      </c>
      <c r="U11" s="445">
        <f t="shared" si="1"/>
        <v>108</v>
      </c>
      <c r="V11" s="444" t="s">
        <v>931</v>
      </c>
      <c r="W11" s="445">
        <f t="shared" si="2"/>
        <v>108</v>
      </c>
      <c r="X11" s="446"/>
      <c r="Y11" s="3341"/>
      <c r="Z11" s="464" t="str">
        <f t="shared" si="7"/>
        <v>容积率</v>
      </c>
      <c r="AA11" s="463">
        <f t="shared" si="3"/>
        <v>0.92592592592592593</v>
      </c>
      <c r="AB11" s="463">
        <f t="shared" si="4"/>
        <v>0.92592592592592593</v>
      </c>
      <c r="AC11" s="463">
        <f t="shared" si="5"/>
        <v>0.92592592592592593</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1328"/>
      <c r="L12" s="380"/>
      <c r="M12" s="381"/>
      <c r="N12" s="381"/>
      <c r="O12" s="382"/>
      <c r="P12" s="3353"/>
      <c r="Q12" s="447">
        <f t="shared" si="6"/>
        <v>111</v>
      </c>
      <c r="R12" s="444" t="s">
        <v>931</v>
      </c>
      <c r="S12" s="445">
        <f t="shared" si="0"/>
        <v>100</v>
      </c>
      <c r="T12" s="444" t="s">
        <v>931</v>
      </c>
      <c r="U12" s="445">
        <f t="shared" si="1"/>
        <v>100</v>
      </c>
      <c r="V12" s="444" t="s">
        <v>931</v>
      </c>
      <c r="W12" s="445">
        <f t="shared" si="2"/>
        <v>100</v>
      </c>
      <c r="X12" s="446"/>
      <c r="Y12" s="3341"/>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1328"/>
      <c r="L13" s="391"/>
      <c r="M13" s="378"/>
      <c r="N13" s="378"/>
      <c r="O13" s="390"/>
      <c r="P13" s="3353"/>
      <c r="Q13" s="447">
        <f t="shared" si="6"/>
        <v>111</v>
      </c>
      <c r="R13" s="444" t="s">
        <v>931</v>
      </c>
      <c r="S13" s="445">
        <f t="shared" si="0"/>
        <v>100</v>
      </c>
      <c r="T13" s="444" t="s">
        <v>931</v>
      </c>
      <c r="U13" s="445">
        <f t="shared" si="1"/>
        <v>100</v>
      </c>
      <c r="V13" s="444" t="s">
        <v>931</v>
      </c>
      <c r="W13" s="445">
        <f t="shared" si="2"/>
        <v>100</v>
      </c>
      <c r="X13" s="446"/>
      <c r="Y13" s="3341"/>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1328"/>
      <c r="L14" s="391"/>
      <c r="M14" s="378"/>
      <c r="N14" s="378"/>
      <c r="O14" s="390"/>
      <c r="P14" s="3353"/>
      <c r="Q14" s="447">
        <f t="shared" si="6"/>
        <v>111</v>
      </c>
      <c r="R14" s="444" t="s">
        <v>931</v>
      </c>
      <c r="S14" s="445">
        <f t="shared" si="0"/>
        <v>100</v>
      </c>
      <c r="T14" s="444" t="s">
        <v>931</v>
      </c>
      <c r="U14" s="445">
        <f t="shared" si="1"/>
        <v>100</v>
      </c>
      <c r="V14" s="444" t="s">
        <v>931</v>
      </c>
      <c r="W14" s="445">
        <f t="shared" si="2"/>
        <v>100</v>
      </c>
      <c r="X14" s="446"/>
      <c r="Y14" s="3341"/>
      <c r="Z14" s="464">
        <f t="shared" si="7"/>
        <v>111</v>
      </c>
      <c r="AA14" s="463">
        <f t="shared" si="3"/>
        <v>1</v>
      </c>
      <c r="AB14" s="463">
        <f t="shared" si="4"/>
        <v>1</v>
      </c>
      <c r="AC14" s="463">
        <f t="shared" si="5"/>
        <v>1</v>
      </c>
    </row>
    <row r="15" spans="1:29" ht="15">
      <c r="A15" s="248" t="s">
        <v>944</v>
      </c>
      <c r="B15" s="249" t="s">
        <v>227</v>
      </c>
      <c r="C15" s="598" t="str">
        <f>估价对象房地状况!C3</f>
        <v>较好</v>
      </c>
      <c r="D15" s="251">
        <v>100</v>
      </c>
      <c r="E15" s="252"/>
      <c r="F15" s="253">
        <f>SUMIF(76:76,E16,77:77)-SUMIF(76:76,C16,77:77)+100</f>
        <v>100</v>
      </c>
      <c r="G15" s="254"/>
      <c r="H15" s="251">
        <f>SUMIF(76:76,G16,77:77)-SUMIF(76:76,C16,77:77)+100</f>
        <v>100</v>
      </c>
      <c r="I15" s="252"/>
      <c r="J15" s="251">
        <f>SUMIF(76:76,I16,77:77)-SUMIF(76:76,C16,77:77)+100</f>
        <v>97</v>
      </c>
      <c r="K15" s="1329">
        <v>3</v>
      </c>
      <c r="L15" s="391"/>
      <c r="M15" s="378"/>
      <c r="N15" s="378"/>
      <c r="O15" s="390"/>
      <c r="P15" s="3354" t="s">
        <v>945</v>
      </c>
      <c r="Q15" s="383" t="str">
        <f t="shared" si="6"/>
        <v>居住社区成熟度</v>
      </c>
      <c r="R15" s="448" t="s">
        <v>931</v>
      </c>
      <c r="S15" s="449">
        <f t="shared" si="0"/>
        <v>100</v>
      </c>
      <c r="T15" s="448" t="s">
        <v>931</v>
      </c>
      <c r="U15" s="449">
        <f t="shared" si="1"/>
        <v>100</v>
      </c>
      <c r="V15" s="448" t="s">
        <v>931</v>
      </c>
      <c r="W15" s="449">
        <f t="shared" si="2"/>
        <v>97</v>
      </c>
      <c r="X15" s="443"/>
      <c r="Y15" s="3354" t="s">
        <v>945</v>
      </c>
      <c r="Z15" s="442" t="str">
        <f t="shared" si="7"/>
        <v>居住社区成熟度</v>
      </c>
      <c r="AA15" s="454">
        <f t="shared" si="3"/>
        <v>1</v>
      </c>
      <c r="AB15" s="454">
        <f t="shared" si="4"/>
        <v>1</v>
      </c>
      <c r="AC15" s="454">
        <f t="shared" si="5"/>
        <v>1.0309278350515463</v>
      </c>
    </row>
    <row r="16" spans="1:29" ht="15">
      <c r="A16" s="255"/>
      <c r="B16" s="256"/>
      <c r="C16" s="257" t="s">
        <v>663</v>
      </c>
      <c r="D16" s="258"/>
      <c r="E16" s="536" t="s">
        <v>663</v>
      </c>
      <c r="F16" s="259"/>
      <c r="G16" s="537" t="s">
        <v>663</v>
      </c>
      <c r="H16" s="260"/>
      <c r="I16" s="536" t="s">
        <v>946</v>
      </c>
      <c r="J16" s="258"/>
      <c r="K16" s="1330"/>
      <c r="L16" s="391"/>
      <c r="M16" s="378"/>
      <c r="N16" s="378"/>
      <c r="O16" s="390"/>
      <c r="P16" s="3355"/>
      <c r="Q16" s="383"/>
      <c r="R16" s="448"/>
      <c r="S16" s="449"/>
      <c r="T16" s="448"/>
      <c r="U16" s="449"/>
      <c r="V16" s="448"/>
      <c r="W16" s="449"/>
      <c r="X16" s="443"/>
      <c r="Y16" s="3355"/>
      <c r="Z16" s="442"/>
      <c r="AA16" s="454">
        <v>1</v>
      </c>
      <c r="AB16" s="454">
        <v>1</v>
      </c>
      <c r="AC16" s="454">
        <v>1</v>
      </c>
    </row>
    <row r="17" spans="1:29" ht="15">
      <c r="A17" s="255"/>
      <c r="B17" s="274" t="s">
        <v>231</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1329">
        <v>3</v>
      </c>
      <c r="L17" s="391"/>
      <c r="M17" s="378"/>
      <c r="N17" s="378"/>
      <c r="O17" s="390"/>
      <c r="P17" s="3355"/>
      <c r="Q17" s="383" t="str">
        <f>B17</f>
        <v>交通便捷度</v>
      </c>
      <c r="R17" s="448" t="s">
        <v>931</v>
      </c>
      <c r="S17" s="449">
        <f>F17</f>
        <v>100</v>
      </c>
      <c r="T17" s="448" t="s">
        <v>931</v>
      </c>
      <c r="U17" s="449">
        <f>H17</f>
        <v>100</v>
      </c>
      <c r="V17" s="448" t="s">
        <v>931</v>
      </c>
      <c r="W17" s="449">
        <f>J17</f>
        <v>100</v>
      </c>
      <c r="X17" s="443"/>
      <c r="Y17" s="3355"/>
      <c r="Z17" s="442" t="str">
        <f>Q17</f>
        <v>交通便捷度</v>
      </c>
      <c r="AA17" s="454">
        <f t="shared" si="3"/>
        <v>1</v>
      </c>
      <c r="AB17" s="454">
        <f t="shared" si="4"/>
        <v>1</v>
      </c>
      <c r="AC17" s="454">
        <f t="shared" si="5"/>
        <v>1</v>
      </c>
    </row>
    <row r="18" spans="1:29" ht="15">
      <c r="A18" s="255"/>
      <c r="B18" s="275"/>
      <c r="C18" s="268" t="s">
        <v>663</v>
      </c>
      <c r="D18" s="260"/>
      <c r="E18" s="534" t="s">
        <v>663</v>
      </c>
      <c r="F18" s="271"/>
      <c r="G18" s="535" t="s">
        <v>663</v>
      </c>
      <c r="H18" s="258"/>
      <c r="I18" s="534" t="s">
        <v>663</v>
      </c>
      <c r="J18" s="258"/>
      <c r="K18" s="1330"/>
      <c r="L18" s="391"/>
      <c r="M18" s="378"/>
      <c r="N18" s="378"/>
      <c r="O18" s="390"/>
      <c r="P18" s="3355"/>
      <c r="Q18" s="383"/>
      <c r="R18" s="448"/>
      <c r="S18" s="449"/>
      <c r="T18" s="448"/>
      <c r="U18" s="449"/>
      <c r="V18" s="448"/>
      <c r="W18" s="449"/>
      <c r="X18" s="443"/>
      <c r="Y18" s="3355"/>
      <c r="Z18" s="442"/>
      <c r="AA18" s="454">
        <v>1</v>
      </c>
      <c r="AB18" s="454">
        <v>1</v>
      </c>
      <c r="AC18" s="454">
        <v>1</v>
      </c>
    </row>
    <row r="19" spans="1:29" ht="15">
      <c r="A19" s="255"/>
      <c r="B19" s="599" t="s">
        <v>233</v>
      </c>
      <c r="C19" s="262" t="str">
        <f>估价对象房地状况!C7</f>
        <v>较好</v>
      </c>
      <c r="D19" s="263">
        <v>100</v>
      </c>
      <c r="E19" s="264"/>
      <c r="F19" s="265">
        <f>SUMIF(80:80,E20,81:81)-SUMIF(80:80,C20,81:81)+100</f>
        <v>100</v>
      </c>
      <c r="G19" s="266"/>
      <c r="H19" s="260">
        <f>SUMIF(80:80,G20,81:81)-SUMIF(80:80,C20,81:81)+100</f>
        <v>100</v>
      </c>
      <c r="I19" s="264"/>
      <c r="J19" s="260">
        <f>SUMIF(80:80,I20,81:81)-SUMIF(80:80,C20,81:81)+100</f>
        <v>97</v>
      </c>
      <c r="K19" s="1329">
        <v>3</v>
      </c>
      <c r="L19" s="391"/>
      <c r="M19" s="378"/>
      <c r="N19" s="378"/>
      <c r="O19" s="390"/>
      <c r="P19" s="3355"/>
      <c r="Q19" s="383" t="str">
        <f>B19</f>
        <v>公共配套设施</v>
      </c>
      <c r="R19" s="448" t="s">
        <v>931</v>
      </c>
      <c r="S19" s="449">
        <f>F19</f>
        <v>100</v>
      </c>
      <c r="T19" s="448" t="s">
        <v>931</v>
      </c>
      <c r="U19" s="449">
        <f>H19</f>
        <v>100</v>
      </c>
      <c r="V19" s="448" t="s">
        <v>931</v>
      </c>
      <c r="W19" s="449">
        <f>J19</f>
        <v>97</v>
      </c>
      <c r="X19" s="443"/>
      <c r="Y19" s="3355"/>
      <c r="Z19" s="442" t="str">
        <f>Q19</f>
        <v>公共配套设施</v>
      </c>
      <c r="AA19" s="454">
        <f t="shared" si="3"/>
        <v>1</v>
      </c>
      <c r="AB19" s="454">
        <f t="shared" si="4"/>
        <v>1</v>
      </c>
      <c r="AC19" s="454">
        <f t="shared" si="5"/>
        <v>1.0309278350515463</v>
      </c>
    </row>
    <row r="20" spans="1:29" ht="15">
      <c r="A20" s="255"/>
      <c r="B20" s="275"/>
      <c r="C20" s="257" t="s">
        <v>663</v>
      </c>
      <c r="D20" s="258"/>
      <c r="E20" s="536" t="s">
        <v>663</v>
      </c>
      <c r="F20" s="259"/>
      <c r="G20" s="537" t="s">
        <v>663</v>
      </c>
      <c r="H20" s="258"/>
      <c r="I20" s="536" t="s">
        <v>946</v>
      </c>
      <c r="J20" s="258"/>
      <c r="K20" s="1330"/>
      <c r="L20" s="391"/>
      <c r="M20" s="378"/>
      <c r="N20" s="378"/>
      <c r="O20" s="390"/>
      <c r="P20" s="3355"/>
      <c r="Q20" s="383"/>
      <c r="R20" s="448"/>
      <c r="S20" s="449"/>
      <c r="T20" s="448"/>
      <c r="U20" s="449"/>
      <c r="V20" s="448"/>
      <c r="W20" s="449"/>
      <c r="X20" s="443"/>
      <c r="Y20" s="3355"/>
      <c r="Z20" s="442"/>
      <c r="AA20" s="454">
        <v>1</v>
      </c>
      <c r="AB20" s="454">
        <v>1</v>
      </c>
      <c r="AC20" s="454">
        <v>1</v>
      </c>
    </row>
    <row r="21" spans="1:29" ht="15">
      <c r="A21" s="255"/>
      <c r="B21" s="600" t="s">
        <v>234</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1329">
        <v>1</v>
      </c>
      <c r="L21" s="391"/>
      <c r="M21" s="378"/>
      <c r="N21" s="378"/>
      <c r="O21" s="390"/>
      <c r="P21" s="3355"/>
      <c r="Q21" s="383" t="str">
        <f>B21</f>
        <v>基础设施水平</v>
      </c>
      <c r="R21" s="448" t="s">
        <v>931</v>
      </c>
      <c r="S21" s="449">
        <f>F21</f>
        <v>100</v>
      </c>
      <c r="T21" s="448" t="s">
        <v>931</v>
      </c>
      <c r="U21" s="449">
        <f>H21</f>
        <v>100</v>
      </c>
      <c r="V21" s="448" t="s">
        <v>931</v>
      </c>
      <c r="W21" s="449">
        <f>J21</f>
        <v>100</v>
      </c>
      <c r="X21" s="443"/>
      <c r="Y21" s="3355"/>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68" t="s">
        <v>261</v>
      </c>
      <c r="F22" s="259"/>
      <c r="G22" s="268" t="s">
        <v>261</v>
      </c>
      <c r="H22" s="258"/>
      <c r="I22" s="268" t="s">
        <v>261</v>
      </c>
      <c r="J22" s="258"/>
      <c r="K22" s="1331"/>
      <c r="L22" s="391"/>
      <c r="M22" s="378"/>
      <c r="N22" s="378"/>
      <c r="O22" s="390"/>
      <c r="P22" s="3355"/>
      <c r="Q22" s="383"/>
      <c r="R22" s="448"/>
      <c r="S22" s="449"/>
      <c r="T22" s="448"/>
      <c r="U22" s="449"/>
      <c r="V22" s="448"/>
      <c r="W22" s="449"/>
      <c r="X22" s="443"/>
      <c r="Y22" s="3355"/>
      <c r="Z22" s="442"/>
      <c r="AA22" s="454">
        <v>1</v>
      </c>
      <c r="AB22" s="454">
        <v>1</v>
      </c>
      <c r="AC22" s="454">
        <v>1</v>
      </c>
    </row>
    <row r="23" spans="1:29" ht="15">
      <c r="A23" s="255"/>
      <c r="B23" s="274" t="s">
        <v>1278</v>
      </c>
      <c r="C23" s="262" t="str">
        <f>估价对象房地状况!C9</f>
        <v>较好</v>
      </c>
      <c r="D23" s="260">
        <v>100</v>
      </c>
      <c r="E23" s="270"/>
      <c r="F23" s="271">
        <f>SUMIF(84:84,E24,85:85)-SUMIF(84:84,C24,85:85)+100</f>
        <v>97</v>
      </c>
      <c r="G23" s="272"/>
      <c r="H23" s="260">
        <f>SUMIF(84:84,G24,85:85)-SUMIF(84:84,C24,85:85)+100</f>
        <v>97</v>
      </c>
      <c r="I23" s="270"/>
      <c r="J23" s="260">
        <f>SUMIF(84:84,I24,85:85)-SUMIF(84:84,C24,85:85)+100</f>
        <v>97</v>
      </c>
      <c r="K23" s="1329">
        <v>3</v>
      </c>
      <c r="L23" s="391"/>
      <c r="M23" s="378"/>
      <c r="N23" s="378"/>
      <c r="O23" s="390"/>
      <c r="P23" s="3355"/>
      <c r="Q23" s="383" t="str">
        <f>B23</f>
        <v>自然及人文环境</v>
      </c>
      <c r="R23" s="448" t="s">
        <v>931</v>
      </c>
      <c r="S23" s="449">
        <f>F23</f>
        <v>97</v>
      </c>
      <c r="T23" s="448" t="s">
        <v>931</v>
      </c>
      <c r="U23" s="449">
        <f>H23</f>
        <v>97</v>
      </c>
      <c r="V23" s="448" t="s">
        <v>931</v>
      </c>
      <c r="W23" s="449">
        <f>J23</f>
        <v>97</v>
      </c>
      <c r="X23" s="443"/>
      <c r="Y23" s="3355"/>
      <c r="Z23" s="442" t="str">
        <f>Q23</f>
        <v>自然及人文环境</v>
      </c>
      <c r="AA23" s="454">
        <f t="shared" si="3"/>
        <v>1.0309278350515463</v>
      </c>
      <c r="AB23" s="454">
        <f t="shared" si="4"/>
        <v>1.0309278350515463</v>
      </c>
      <c r="AC23" s="454">
        <f t="shared" si="5"/>
        <v>1.0309278350515463</v>
      </c>
    </row>
    <row r="24" spans="1:29" ht="15">
      <c r="A24" s="255"/>
      <c r="B24" s="275"/>
      <c r="C24" s="257" t="s">
        <v>663</v>
      </c>
      <c r="D24" s="258"/>
      <c r="E24" s="536" t="s">
        <v>946</v>
      </c>
      <c r="F24" s="259"/>
      <c r="G24" s="536" t="s">
        <v>946</v>
      </c>
      <c r="H24" s="258"/>
      <c r="I24" s="536" t="s">
        <v>946</v>
      </c>
      <c r="J24" s="258"/>
      <c r="K24" s="1330"/>
      <c r="L24" s="391"/>
      <c r="M24" s="378"/>
      <c r="N24" s="378"/>
      <c r="O24" s="390"/>
      <c r="P24" s="3355"/>
      <c r="Q24" s="383"/>
      <c r="R24" s="448"/>
      <c r="S24" s="449"/>
      <c r="T24" s="448"/>
      <c r="U24" s="449"/>
      <c r="V24" s="448"/>
      <c r="W24" s="449"/>
      <c r="X24" s="443"/>
      <c r="Y24" s="3355"/>
      <c r="Z24" s="442"/>
      <c r="AA24" s="454">
        <v>1</v>
      </c>
      <c r="AB24" s="454">
        <v>1</v>
      </c>
      <c r="AC24" s="454">
        <v>1</v>
      </c>
    </row>
    <row r="25" spans="1:29" ht="15" hidden="1">
      <c r="A25" s="255"/>
      <c r="B25" s="544" t="s">
        <v>1279</v>
      </c>
      <c r="C25" s="294"/>
      <c r="D25" s="247">
        <v>100</v>
      </c>
      <c r="E25" s="1313"/>
      <c r="F25" s="277">
        <f>SUMIF(86:86,E25,87:87)-SUMIF(86:86,C25,87:87)+100</f>
        <v>100</v>
      </c>
      <c r="G25" s="578"/>
      <c r="H25" s="247">
        <f>SUMIF(86:86,G25,87:87)-SUMIF(86:86,C25,87:87)+100</f>
        <v>100</v>
      </c>
      <c r="I25" s="1313"/>
      <c r="J25" s="247">
        <f>SUMIF(86:86,I25,87:87)-SUMIF(86:86,C25,87:87)+100</f>
        <v>100</v>
      </c>
      <c r="K25" s="1327"/>
      <c r="L25" s="391"/>
      <c r="M25" s="378"/>
      <c r="N25" s="378"/>
      <c r="O25" s="390"/>
      <c r="P25" s="3355"/>
      <c r="Q25" s="383" t="str">
        <f t="shared" ref="Q25:Q46" si="11">B25</f>
        <v>楼层-1</v>
      </c>
      <c r="R25" s="448" t="s">
        <v>931</v>
      </c>
      <c r="S25" s="449">
        <f>F25</f>
        <v>100</v>
      </c>
      <c r="T25" s="448" t="s">
        <v>931</v>
      </c>
      <c r="U25" s="449">
        <f>H25</f>
        <v>100</v>
      </c>
      <c r="V25" s="448" t="s">
        <v>931</v>
      </c>
      <c r="W25" s="449">
        <f>J25</f>
        <v>100</v>
      </c>
      <c r="X25" s="443"/>
      <c r="Y25" s="3355"/>
      <c r="Z25" s="442" t="str">
        <f>Q25</f>
        <v>楼层-1</v>
      </c>
      <c r="AA25" s="454">
        <f t="shared" si="3"/>
        <v>1</v>
      </c>
      <c r="AB25" s="454">
        <f t="shared" si="4"/>
        <v>1</v>
      </c>
      <c r="AC25" s="454">
        <f t="shared" si="5"/>
        <v>1</v>
      </c>
    </row>
    <row r="26" spans="1:29" ht="15" hidden="1">
      <c r="A26" s="255"/>
      <c r="B26" s="289" t="s">
        <v>1280</v>
      </c>
      <c r="C26" s="294"/>
      <c r="D26" s="247">
        <v>100</v>
      </c>
      <c r="E26" s="1313"/>
      <c r="F26" s="277">
        <f>SUMIF(88:88,E26,89:89)-SUMIF(88:88,C26,89:89)+100</f>
        <v>100</v>
      </c>
      <c r="G26" s="578"/>
      <c r="H26" s="247">
        <f>SUMIF(88:88,G26,89:89)-SUMIF(88:88,C26,89:89)+100</f>
        <v>100</v>
      </c>
      <c r="I26" s="1313"/>
      <c r="J26" s="247">
        <f>SUMIF(88:88,I26,89:89)-SUMIF(88:88,C26,89:89)+100</f>
        <v>100</v>
      </c>
      <c r="K26" s="1327"/>
      <c r="L26" s="391"/>
      <c r="M26" s="378"/>
      <c r="N26" s="378"/>
      <c r="O26" s="390"/>
      <c r="P26" s="3355"/>
      <c r="Q26" s="383" t="str">
        <f t="shared" si="11"/>
        <v>朝向</v>
      </c>
      <c r="R26" s="448" t="s">
        <v>931</v>
      </c>
      <c r="S26" s="449">
        <f>F26</f>
        <v>100</v>
      </c>
      <c r="T26" s="448" t="s">
        <v>931</v>
      </c>
      <c r="U26" s="449">
        <f>H26</f>
        <v>100</v>
      </c>
      <c r="V26" s="448" t="s">
        <v>931</v>
      </c>
      <c r="W26" s="449">
        <f>J26</f>
        <v>100</v>
      </c>
      <c r="X26" s="443"/>
      <c r="Y26" s="3355"/>
      <c r="Z26" s="442" t="str">
        <f>Q26</f>
        <v>朝向</v>
      </c>
      <c r="AA26" s="454">
        <f t="shared" si="3"/>
        <v>1</v>
      </c>
      <c r="AB26" s="454">
        <f t="shared" si="4"/>
        <v>1</v>
      </c>
      <c r="AC26" s="454">
        <f t="shared" si="5"/>
        <v>1</v>
      </c>
    </row>
    <row r="27" spans="1:29" s="190" customFormat="1" ht="15">
      <c r="A27" s="279"/>
      <c r="B27" s="278" t="s">
        <v>1281</v>
      </c>
      <c r="C27" s="1314" t="s">
        <v>952</v>
      </c>
      <c r="D27" s="540">
        <v>100</v>
      </c>
      <c r="E27" s="1315" t="s">
        <v>952</v>
      </c>
      <c r="F27" s="541">
        <f>SUMIF(90:90,E27,91:91)-SUMIF(90:90,C27,91:91)+100</f>
        <v>100</v>
      </c>
      <c r="G27" s="1316" t="s">
        <v>1007</v>
      </c>
      <c r="H27" s="540">
        <f>SUMIF(90:90,G27,91:91)-SUMIF(90:90,C27,91:91)+100</f>
        <v>99</v>
      </c>
      <c r="I27" s="1315" t="s">
        <v>1005</v>
      </c>
      <c r="J27" s="540">
        <f>SUMIF(90:90,I27,91:91)-SUMIF(90:90,C27,91:91)+100</f>
        <v>102</v>
      </c>
      <c r="K27" s="1328"/>
      <c r="L27" s="380"/>
      <c r="M27" s="381"/>
      <c r="N27" s="381"/>
      <c r="O27" s="382"/>
      <c r="P27" s="3355"/>
      <c r="Q27" s="447" t="str">
        <f t="shared" si="11"/>
        <v>道路级别</v>
      </c>
      <c r="R27" s="444" t="s">
        <v>931</v>
      </c>
      <c r="S27" s="445">
        <f>F27</f>
        <v>100</v>
      </c>
      <c r="T27" s="444" t="s">
        <v>931</v>
      </c>
      <c r="U27" s="445">
        <f>H27</f>
        <v>99</v>
      </c>
      <c r="V27" s="444" t="s">
        <v>931</v>
      </c>
      <c r="W27" s="445">
        <f>J27</f>
        <v>102</v>
      </c>
      <c r="X27" s="446"/>
      <c r="Y27" s="3355"/>
      <c r="Z27" s="464" t="str">
        <f>Q27</f>
        <v>道路级别</v>
      </c>
      <c r="AA27" s="454">
        <f t="shared" si="3"/>
        <v>1</v>
      </c>
      <c r="AB27" s="454">
        <f t="shared" si="4"/>
        <v>1.0101010101010102</v>
      </c>
      <c r="AC27" s="454">
        <f t="shared" si="5"/>
        <v>0.98039215686274506</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1328"/>
      <c r="L28" s="391"/>
      <c r="M28" s="378"/>
      <c r="N28" s="378"/>
      <c r="O28" s="390"/>
      <c r="P28" s="3355"/>
      <c r="Q28" s="383">
        <f t="shared" si="11"/>
        <v>111</v>
      </c>
      <c r="R28" s="448" t="s">
        <v>931</v>
      </c>
      <c r="S28" s="449">
        <f t="shared" ref="S28:S46" si="12">F28</f>
        <v>100</v>
      </c>
      <c r="T28" s="448" t="s">
        <v>931</v>
      </c>
      <c r="U28" s="449">
        <f t="shared" ref="U28:U46" si="13">H28</f>
        <v>100</v>
      </c>
      <c r="V28" s="448" t="s">
        <v>931</v>
      </c>
      <c r="W28" s="449">
        <f t="shared" ref="W28:W46" si="14">J28</f>
        <v>100</v>
      </c>
      <c r="X28" s="443"/>
      <c r="Y28" s="3355"/>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1328"/>
      <c r="L29" s="391"/>
      <c r="M29" s="378"/>
      <c r="N29" s="378"/>
      <c r="O29" s="390"/>
      <c r="P29" s="3355"/>
      <c r="Q29" s="383">
        <f t="shared" si="11"/>
        <v>111</v>
      </c>
      <c r="R29" s="448" t="s">
        <v>931</v>
      </c>
      <c r="S29" s="449">
        <f t="shared" si="12"/>
        <v>100</v>
      </c>
      <c r="T29" s="448" t="s">
        <v>931</v>
      </c>
      <c r="U29" s="449">
        <f t="shared" si="13"/>
        <v>100</v>
      </c>
      <c r="V29" s="448" t="s">
        <v>931</v>
      </c>
      <c r="W29" s="449">
        <f t="shared" si="14"/>
        <v>100</v>
      </c>
      <c r="X29" s="443"/>
      <c r="Y29" s="3355"/>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1328"/>
      <c r="L30" s="391"/>
      <c r="M30" s="378"/>
      <c r="N30" s="378"/>
      <c r="O30" s="390"/>
      <c r="P30" s="3355"/>
      <c r="Q30" s="383">
        <f t="shared" si="11"/>
        <v>111</v>
      </c>
      <c r="R30" s="448" t="s">
        <v>931</v>
      </c>
      <c r="S30" s="449">
        <f t="shared" si="12"/>
        <v>100</v>
      </c>
      <c r="T30" s="448" t="s">
        <v>931</v>
      </c>
      <c r="U30" s="449">
        <f t="shared" si="13"/>
        <v>100</v>
      </c>
      <c r="V30" s="448" t="s">
        <v>931</v>
      </c>
      <c r="W30" s="449">
        <f t="shared" si="14"/>
        <v>100</v>
      </c>
      <c r="X30" s="443"/>
      <c r="Y30" s="3355"/>
      <c r="Z30" s="442">
        <f t="shared" si="15"/>
        <v>111</v>
      </c>
      <c r="AA30" s="454">
        <f t="shared" si="3"/>
        <v>1</v>
      </c>
      <c r="AB30" s="454">
        <f t="shared" si="4"/>
        <v>1</v>
      </c>
      <c r="AC30" s="454">
        <f t="shared" si="5"/>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1328"/>
      <c r="L31" s="391"/>
      <c r="M31" s="378"/>
      <c r="N31" s="378"/>
      <c r="O31" s="390"/>
      <c r="P31" s="3355"/>
      <c r="Q31" s="383">
        <f t="shared" si="11"/>
        <v>111</v>
      </c>
      <c r="R31" s="448" t="s">
        <v>931</v>
      </c>
      <c r="S31" s="449">
        <f t="shared" si="12"/>
        <v>100</v>
      </c>
      <c r="T31" s="448" t="s">
        <v>931</v>
      </c>
      <c r="U31" s="449">
        <f t="shared" si="13"/>
        <v>100</v>
      </c>
      <c r="V31" s="448" t="s">
        <v>931</v>
      </c>
      <c r="W31" s="449">
        <f t="shared" si="14"/>
        <v>100</v>
      </c>
      <c r="X31" s="443"/>
      <c r="Y31" s="3355"/>
      <c r="Z31" s="442">
        <f t="shared" si="15"/>
        <v>111</v>
      </c>
      <c r="AA31" s="454">
        <f t="shared" si="3"/>
        <v>1</v>
      </c>
      <c r="AB31" s="454">
        <f t="shared" si="4"/>
        <v>1</v>
      </c>
      <c r="AC31" s="454">
        <f t="shared" si="5"/>
        <v>1</v>
      </c>
    </row>
    <row r="32" spans="1:29" ht="15">
      <c r="A32" s="283" t="s">
        <v>955</v>
      </c>
      <c r="B32" s="284" t="s">
        <v>1282</v>
      </c>
      <c r="C32" s="602" t="s">
        <v>1283</v>
      </c>
      <c r="D32" s="286">
        <v>100</v>
      </c>
      <c r="E32" s="1317" t="s">
        <v>1284</v>
      </c>
      <c r="F32" s="277">
        <f>SUMIF(100:100,E32,101:101)-SUMIF(100:100,C32,101:101)+100</f>
        <v>94</v>
      </c>
      <c r="G32" s="602" t="s">
        <v>1284</v>
      </c>
      <c r="H32" s="286">
        <f>SUMIF(100:100,G32,101:101)-SUMIF(100:100,C32,101:101)+100</f>
        <v>94</v>
      </c>
      <c r="I32" s="1317" t="s">
        <v>1285</v>
      </c>
      <c r="J32" s="247">
        <f>SUMIF(100:100,I32,101:101)-SUMIF(100:100,C32,101:101)+100</f>
        <v>97</v>
      </c>
      <c r="K32" s="1327">
        <v>3</v>
      </c>
      <c r="L32" s="391"/>
      <c r="M32" s="378"/>
      <c r="N32" s="378"/>
      <c r="O32" s="390"/>
      <c r="P32" s="3356" t="s">
        <v>954</v>
      </c>
      <c r="Q32" s="383" t="str">
        <f t="shared" si="11"/>
        <v>建筑类型</v>
      </c>
      <c r="R32" s="448" t="s">
        <v>931</v>
      </c>
      <c r="S32" s="449">
        <f t="shared" si="12"/>
        <v>94</v>
      </c>
      <c r="T32" s="448" t="s">
        <v>931</v>
      </c>
      <c r="U32" s="449">
        <f t="shared" si="13"/>
        <v>94</v>
      </c>
      <c r="V32" s="448" t="s">
        <v>931</v>
      </c>
      <c r="W32" s="449">
        <f t="shared" si="14"/>
        <v>97</v>
      </c>
      <c r="X32" s="443"/>
      <c r="Y32" s="3357" t="s">
        <v>954</v>
      </c>
      <c r="Z32" s="442" t="str">
        <f t="shared" si="15"/>
        <v>建筑类型</v>
      </c>
      <c r="AA32" s="454">
        <f t="shared" si="3"/>
        <v>1.0638297872340425</v>
      </c>
      <c r="AB32" s="454">
        <f t="shared" si="4"/>
        <v>1.0638297872340425</v>
      </c>
      <c r="AC32" s="454">
        <f t="shared" si="5"/>
        <v>1.0309278350515463</v>
      </c>
    </row>
    <row r="33" spans="1:29" s="192" customFormat="1" ht="15">
      <c r="A33" s="288"/>
      <c r="B33" s="289" t="s">
        <v>1286</v>
      </c>
      <c r="C33" s="242">
        <f>'数据-基础表'!B3</f>
        <v>124721</v>
      </c>
      <c r="D33" s="237">
        <v>100</v>
      </c>
      <c r="E33" s="532">
        <v>258880</v>
      </c>
      <c r="F33" s="543">
        <f>LOOKUP(E33,103:103,104:104)-LOOKUP(C33,103:103,104:104)+100</f>
        <v>101</v>
      </c>
      <c r="G33" s="531">
        <v>155000</v>
      </c>
      <c r="H33" s="237">
        <f>LOOKUP(G33,103:103,104:104)-LOOKUP(C33,103:103,104:104)+100</f>
        <v>101</v>
      </c>
      <c r="I33" s="532">
        <v>37869</v>
      </c>
      <c r="J33" s="237">
        <f>LOOKUP(I33,103:103,104:104)-LOOKUP(C33,103:103,104:104)+100</f>
        <v>98</v>
      </c>
      <c r="K33" s="1328"/>
      <c r="L33" s="389"/>
      <c r="M33" s="395"/>
      <c r="N33" s="395"/>
      <c r="O33" s="396"/>
      <c r="P33" s="3357"/>
      <c r="Q33" s="450" t="str">
        <f t="shared" si="11"/>
        <v>项目建筑规模</v>
      </c>
      <c r="R33" s="451" t="s">
        <v>931</v>
      </c>
      <c r="S33" s="452">
        <f t="shared" si="12"/>
        <v>101</v>
      </c>
      <c r="T33" s="451" t="s">
        <v>931</v>
      </c>
      <c r="U33" s="452">
        <f t="shared" si="13"/>
        <v>101</v>
      </c>
      <c r="V33" s="451" t="s">
        <v>931</v>
      </c>
      <c r="W33" s="452">
        <f t="shared" si="14"/>
        <v>98</v>
      </c>
      <c r="X33" s="453"/>
      <c r="Y33" s="3357"/>
      <c r="Z33" s="465" t="str">
        <f t="shared" si="15"/>
        <v>项目建筑规模</v>
      </c>
      <c r="AA33" s="454">
        <f t="shared" si="3"/>
        <v>0.99009900990099009</v>
      </c>
      <c r="AB33" s="454">
        <f t="shared" si="4"/>
        <v>0.99009900990099009</v>
      </c>
      <c r="AC33" s="454">
        <f t="shared" si="5"/>
        <v>1.0204081632653061</v>
      </c>
    </row>
    <row r="34" spans="1:29" ht="15">
      <c r="A34" s="293"/>
      <c r="B34" s="3173" t="s">
        <v>1287</v>
      </c>
      <c r="C34" s="603" t="s">
        <v>1438</v>
      </c>
      <c r="D34" s="247">
        <v>100</v>
      </c>
      <c r="E34" s="603" t="s">
        <v>1438</v>
      </c>
      <c r="F34" s="277">
        <f>SUMIF(105:105,E34,106:106)-SUMIF(105:105,C34,106:106)+100</f>
        <v>100</v>
      </c>
      <c r="G34" s="603" t="s">
        <v>1438</v>
      </c>
      <c r="H34" s="247">
        <f>SUMIF(105:105,G34,106:106)-SUMIF(105:105,C34,106:106)+100</f>
        <v>100</v>
      </c>
      <c r="I34" s="603" t="s">
        <v>1438</v>
      </c>
      <c r="J34" s="247">
        <f>SUMIF(105:105,I34,106:106)-SUMIF(105:105,C34,106:106)+100</f>
        <v>100</v>
      </c>
      <c r="K34" s="1327">
        <v>100</v>
      </c>
      <c r="L34" s="391"/>
      <c r="M34" s="378"/>
      <c r="N34" s="378"/>
      <c r="O34" s="390"/>
      <c r="P34" s="3357"/>
      <c r="Q34" s="383" t="str">
        <f t="shared" si="11"/>
        <v>建筑结构</v>
      </c>
      <c r="R34" s="448" t="s">
        <v>931</v>
      </c>
      <c r="S34" s="449">
        <f t="shared" si="12"/>
        <v>100</v>
      </c>
      <c r="T34" s="448" t="s">
        <v>931</v>
      </c>
      <c r="U34" s="449">
        <f t="shared" si="13"/>
        <v>100</v>
      </c>
      <c r="V34" s="448" t="s">
        <v>931</v>
      </c>
      <c r="W34" s="449">
        <f t="shared" si="14"/>
        <v>100</v>
      </c>
      <c r="X34" s="443"/>
      <c r="Y34" s="3357"/>
      <c r="Z34" s="442" t="str">
        <f t="shared" si="15"/>
        <v>建筑结构</v>
      </c>
      <c r="AA34" s="454">
        <f t="shared" si="3"/>
        <v>1</v>
      </c>
      <c r="AB34" s="454">
        <f t="shared" si="4"/>
        <v>1</v>
      </c>
      <c r="AC34" s="454">
        <f t="shared" si="5"/>
        <v>1</v>
      </c>
    </row>
    <row r="35" spans="1:29" ht="15">
      <c r="A35" s="293"/>
      <c r="B35" s="3173" t="s">
        <v>1288</v>
      </c>
      <c r="C35" s="578" t="s">
        <v>2441</v>
      </c>
      <c r="D35" s="247">
        <v>100</v>
      </c>
      <c r="E35" s="1313" t="s">
        <v>2443</v>
      </c>
      <c r="F35" s="277">
        <f>SUMIF(107:107,E35,108:108)-SUMIF(107:107,C35,108:108)+100</f>
        <v>99</v>
      </c>
      <c r="G35" s="1313" t="s">
        <v>2443</v>
      </c>
      <c r="H35" s="247">
        <f>SUMIF(107:107,G35,108:108)-SUMIF(107:107,C35,108:108)+100</f>
        <v>99</v>
      </c>
      <c r="I35" s="1313" t="s">
        <v>2441</v>
      </c>
      <c r="J35" s="247">
        <f>SUMIF(107:107,I35,108:108)-SUMIF(107:107,C35,108:108)+100</f>
        <v>100</v>
      </c>
      <c r="K35" s="1327">
        <v>1</v>
      </c>
      <c r="L35" s="391"/>
      <c r="M35" s="378"/>
      <c r="N35" s="378"/>
      <c r="O35" s="390"/>
      <c r="P35" s="3357"/>
      <c r="Q35" s="383" t="str">
        <f t="shared" si="11"/>
        <v>建筑品质</v>
      </c>
      <c r="R35" s="448" t="s">
        <v>931</v>
      </c>
      <c r="S35" s="449">
        <f t="shared" si="12"/>
        <v>99</v>
      </c>
      <c r="T35" s="448" t="s">
        <v>931</v>
      </c>
      <c r="U35" s="449">
        <f t="shared" si="13"/>
        <v>99</v>
      </c>
      <c r="V35" s="448" t="s">
        <v>931</v>
      </c>
      <c r="W35" s="449">
        <f t="shared" si="14"/>
        <v>100</v>
      </c>
      <c r="X35" s="443"/>
      <c r="Y35" s="3357"/>
      <c r="Z35" s="442" t="str">
        <f t="shared" si="15"/>
        <v>建筑品质</v>
      </c>
      <c r="AA35" s="454">
        <f t="shared" si="3"/>
        <v>1.0101010101010102</v>
      </c>
      <c r="AB35" s="454">
        <f t="shared" si="4"/>
        <v>1.0101010101010102</v>
      </c>
      <c r="AC35" s="454">
        <f t="shared" si="5"/>
        <v>1</v>
      </c>
    </row>
    <row r="36" spans="1:29" ht="15">
      <c r="A36" s="293"/>
      <c r="B36" s="3173" t="s">
        <v>1289</v>
      </c>
      <c r="C36" s="578" t="s">
        <v>1305</v>
      </c>
      <c r="D36" s="247">
        <v>100</v>
      </c>
      <c r="E36" s="1313" t="s">
        <v>1306</v>
      </c>
      <c r="F36" s="277">
        <f>SUMIF(109:109,E36,110:110)-SUMIF(109:109,C36,110:110)+100</f>
        <v>99</v>
      </c>
      <c r="G36" s="1313" t="s">
        <v>1306</v>
      </c>
      <c r="H36" s="247">
        <f>SUMIF(109:109,G36,110:110)-SUMIF(109:109,C36,110:110)+100</f>
        <v>99</v>
      </c>
      <c r="I36" s="1313" t="s">
        <v>1305</v>
      </c>
      <c r="J36" s="247">
        <f>SUMIF(109:109,I36,110:110)-SUMIF(109:109,C36,110:110)+100</f>
        <v>100</v>
      </c>
      <c r="K36" s="1327">
        <v>1</v>
      </c>
      <c r="L36" s="391"/>
      <c r="M36" s="378"/>
      <c r="N36" s="378"/>
      <c r="O36" s="390"/>
      <c r="P36" s="3357"/>
      <c r="Q36" s="383" t="str">
        <f t="shared" si="11"/>
        <v>公共部分装修</v>
      </c>
      <c r="R36" s="448" t="s">
        <v>931</v>
      </c>
      <c r="S36" s="449">
        <f t="shared" si="12"/>
        <v>99</v>
      </c>
      <c r="T36" s="448" t="s">
        <v>931</v>
      </c>
      <c r="U36" s="449">
        <f t="shared" si="13"/>
        <v>99</v>
      </c>
      <c r="V36" s="448" t="s">
        <v>931</v>
      </c>
      <c r="W36" s="449">
        <f t="shared" si="14"/>
        <v>100</v>
      </c>
      <c r="X36" s="443"/>
      <c r="Y36" s="3357"/>
      <c r="Z36" s="442" t="str">
        <f t="shared" si="15"/>
        <v>公共部分装修</v>
      </c>
      <c r="AA36" s="454">
        <f t="shared" si="3"/>
        <v>1.0101010101010102</v>
      </c>
      <c r="AB36" s="454">
        <f t="shared" si="4"/>
        <v>1.0101010101010102</v>
      </c>
      <c r="AC36" s="454">
        <f t="shared" si="5"/>
        <v>1</v>
      </c>
    </row>
    <row r="37" spans="1:29" s="190" customFormat="1" ht="15">
      <c r="A37" s="296"/>
      <c r="B37" s="289" t="s">
        <v>1290</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1327"/>
      <c r="L37" s="380"/>
      <c r="M37" s="381"/>
      <c r="N37" s="381"/>
      <c r="O37" s="382"/>
      <c r="P37" s="3357"/>
      <c r="Q37" s="447" t="str">
        <f t="shared" si="11"/>
        <v>成新度</v>
      </c>
      <c r="R37" s="444" t="s">
        <v>931</v>
      </c>
      <c r="S37" s="445">
        <f t="shared" si="12"/>
        <v>100</v>
      </c>
      <c r="T37" s="444" t="s">
        <v>931</v>
      </c>
      <c r="U37" s="445">
        <f t="shared" si="13"/>
        <v>100</v>
      </c>
      <c r="V37" s="444" t="s">
        <v>931</v>
      </c>
      <c r="W37" s="445">
        <f t="shared" si="14"/>
        <v>100</v>
      </c>
      <c r="X37" s="446"/>
      <c r="Y37" s="3357"/>
      <c r="Z37" s="464" t="str">
        <f t="shared" si="15"/>
        <v>成新度</v>
      </c>
      <c r="AA37" s="463">
        <f t="shared" si="3"/>
        <v>1</v>
      </c>
      <c r="AB37" s="463">
        <f t="shared" si="4"/>
        <v>1</v>
      </c>
      <c r="AC37" s="463">
        <f t="shared" si="5"/>
        <v>1</v>
      </c>
    </row>
    <row r="38" spans="1:29" ht="15">
      <c r="A38" s="293"/>
      <c r="B38" s="289" t="s">
        <v>1291</v>
      </c>
      <c r="C38" s="578" t="s">
        <v>2448</v>
      </c>
      <c r="D38" s="247">
        <v>100</v>
      </c>
      <c r="E38" s="1313" t="s">
        <v>2448</v>
      </c>
      <c r="F38" s="277">
        <f>SUMIF(114:114,E38,115:115)-SUMIF(114:114,C38,115:115)+100</f>
        <v>100</v>
      </c>
      <c r="G38" s="1313" t="s">
        <v>2448</v>
      </c>
      <c r="H38" s="247">
        <f>SUMIF(114:114,G38,115:115)-SUMIF(114:114,C38,115:115)+100</f>
        <v>100</v>
      </c>
      <c r="I38" s="1313" t="s">
        <v>2446</v>
      </c>
      <c r="J38" s="247">
        <f>SUMIF(114:114,I38,115:115)-SUMIF(114:114,C38,115:115)+100</f>
        <v>101</v>
      </c>
      <c r="K38" s="1327">
        <v>1</v>
      </c>
      <c r="L38" s="391"/>
      <c r="M38" s="378"/>
      <c r="N38" s="378"/>
      <c r="O38" s="390"/>
      <c r="P38" s="3357" t="s">
        <v>954</v>
      </c>
      <c r="Q38" s="383" t="str">
        <f t="shared" si="11"/>
        <v>物业管理</v>
      </c>
      <c r="R38" s="448" t="s">
        <v>931</v>
      </c>
      <c r="S38" s="449">
        <f t="shared" si="12"/>
        <v>100</v>
      </c>
      <c r="T38" s="448" t="s">
        <v>931</v>
      </c>
      <c r="U38" s="449">
        <f t="shared" si="13"/>
        <v>100</v>
      </c>
      <c r="V38" s="448" t="s">
        <v>931</v>
      </c>
      <c r="W38" s="449">
        <f t="shared" si="14"/>
        <v>101</v>
      </c>
      <c r="X38" s="443"/>
      <c r="Y38" s="3357" t="s">
        <v>954</v>
      </c>
      <c r="Z38" s="442" t="str">
        <f t="shared" si="15"/>
        <v>物业管理</v>
      </c>
      <c r="AA38" s="454">
        <f t="shared" si="3"/>
        <v>1</v>
      </c>
      <c r="AB38" s="454">
        <f t="shared" si="4"/>
        <v>1</v>
      </c>
      <c r="AC38" s="454">
        <f t="shared" si="5"/>
        <v>0.99009900990099009</v>
      </c>
    </row>
    <row r="39" spans="1:29" ht="15">
      <c r="A39" s="293"/>
      <c r="B39" s="544" t="s">
        <v>1292</v>
      </c>
      <c r="C39" s="578"/>
      <c r="D39" s="247">
        <v>100</v>
      </c>
      <c r="E39" s="1313"/>
      <c r="F39" s="277">
        <f>SUMIF(116:116,E39,117:117)-SUMIF(116:116,C39,117:117)+100</f>
        <v>100</v>
      </c>
      <c r="G39" s="578"/>
      <c r="H39" s="247">
        <f>SUMIF(116:116,G39,117:117)-SUMIF(116:116,C39,117:117)+100</f>
        <v>100</v>
      </c>
      <c r="I39" s="1313"/>
      <c r="J39" s="247">
        <f>SUMIF(116:116,I39,117:117)-SUMIF(116:116,C39,117:117)+100</f>
        <v>100</v>
      </c>
      <c r="K39" s="1327"/>
      <c r="L39" s="391"/>
      <c r="M39" s="378"/>
      <c r="N39" s="378"/>
      <c r="O39" s="390"/>
      <c r="P39" s="3357"/>
      <c r="Q39" s="383" t="str">
        <f t="shared" si="11"/>
        <v>市政基础设施</v>
      </c>
      <c r="R39" s="448" t="s">
        <v>931</v>
      </c>
      <c r="S39" s="449">
        <f t="shared" si="12"/>
        <v>100</v>
      </c>
      <c r="T39" s="448" t="s">
        <v>931</v>
      </c>
      <c r="U39" s="449">
        <f t="shared" si="13"/>
        <v>100</v>
      </c>
      <c r="V39" s="448" t="s">
        <v>931</v>
      </c>
      <c r="W39" s="449">
        <f t="shared" si="14"/>
        <v>100</v>
      </c>
      <c r="X39" s="443"/>
      <c r="Y39" s="3357"/>
      <c r="Z39" s="442" t="str">
        <f t="shared" si="15"/>
        <v>市政基础设施</v>
      </c>
      <c r="AA39" s="454">
        <f t="shared" si="3"/>
        <v>1</v>
      </c>
      <c r="AB39" s="454">
        <f t="shared" si="4"/>
        <v>1</v>
      </c>
      <c r="AC39" s="454">
        <f t="shared" si="5"/>
        <v>1</v>
      </c>
    </row>
    <row r="40" spans="1:29" ht="15" hidden="1">
      <c r="A40" s="293"/>
      <c r="B40" s="289" t="s">
        <v>1293</v>
      </c>
      <c r="C40" s="578"/>
      <c r="D40" s="247">
        <v>100</v>
      </c>
      <c r="E40" s="1313"/>
      <c r="F40" s="277">
        <f>SUMIF(118:118,E40,119:119)-SUMIF(118:118,C40,119:119)+100</f>
        <v>100</v>
      </c>
      <c r="G40" s="578"/>
      <c r="H40" s="247">
        <f>SUMIF(118:118,G40,119:119)-SUMIF(118:118,C40,119:119)+100</f>
        <v>100</v>
      </c>
      <c r="I40" s="1313"/>
      <c r="J40" s="247">
        <f>SUMIF(118:118,I40,119:119)-SUMIF(118:118,C40,119:119)+100</f>
        <v>100</v>
      </c>
      <c r="K40" s="1327"/>
      <c r="L40" s="391"/>
      <c r="M40" s="378"/>
      <c r="N40" s="378"/>
      <c r="O40" s="390"/>
      <c r="P40" s="3357"/>
      <c r="Q40" s="383" t="str">
        <f t="shared" si="11"/>
        <v>房型</v>
      </c>
      <c r="R40" s="448" t="s">
        <v>931</v>
      </c>
      <c r="S40" s="449">
        <f t="shared" si="12"/>
        <v>100</v>
      </c>
      <c r="T40" s="448" t="s">
        <v>931</v>
      </c>
      <c r="U40" s="449">
        <f t="shared" si="13"/>
        <v>100</v>
      </c>
      <c r="V40" s="448" t="s">
        <v>931</v>
      </c>
      <c r="W40" s="449">
        <f t="shared" si="14"/>
        <v>100</v>
      </c>
      <c r="X40" s="443"/>
      <c r="Y40" s="3357"/>
      <c r="Z40" s="442" t="str">
        <f t="shared" si="15"/>
        <v>房型</v>
      </c>
      <c r="AA40" s="454">
        <f t="shared" si="3"/>
        <v>1</v>
      </c>
      <c r="AB40" s="454">
        <f t="shared" si="4"/>
        <v>1</v>
      </c>
      <c r="AC40" s="454">
        <f t="shared" si="5"/>
        <v>1</v>
      </c>
    </row>
    <row r="41" spans="1:29" s="192" customFormat="1" ht="28.8" hidden="1">
      <c r="A41" s="288"/>
      <c r="B41" s="289" t="s">
        <v>1294</v>
      </c>
      <c r="C41" s="242"/>
      <c r="D41" s="237">
        <v>100</v>
      </c>
      <c r="E41" s="532"/>
      <c r="F41" s="543">
        <f>SUMIF(120:120,E41,121:121)-SUMIF(120:120,C41,121:121)+100</f>
        <v>100</v>
      </c>
      <c r="G41" s="531"/>
      <c r="H41" s="237">
        <f>SUMIF(120:120,G41,121:121)-SUMIF(120:120,C41,121:121)+100</f>
        <v>100</v>
      </c>
      <c r="I41" s="1332"/>
      <c r="J41" s="247">
        <f>SUMIF(120:120,I41,121:121)-SUMIF(120:120,C41,121:121)+100</f>
        <v>100</v>
      </c>
      <c r="K41" s="1328"/>
      <c r="L41" s="389"/>
      <c r="M41" s="395"/>
      <c r="N41" s="395"/>
      <c r="O41" s="396"/>
      <c r="P41" s="3357"/>
      <c r="Q41" s="450" t="str">
        <f t="shared" si="11"/>
        <v>单套/主力户型建筑面积</v>
      </c>
      <c r="R41" s="451" t="s">
        <v>931</v>
      </c>
      <c r="S41" s="452">
        <f t="shared" si="12"/>
        <v>100</v>
      </c>
      <c r="T41" s="451" t="s">
        <v>931</v>
      </c>
      <c r="U41" s="452">
        <f t="shared" si="13"/>
        <v>100</v>
      </c>
      <c r="V41" s="451" t="s">
        <v>931</v>
      </c>
      <c r="W41" s="452">
        <f t="shared" si="14"/>
        <v>100</v>
      </c>
      <c r="X41" s="453"/>
      <c r="Y41" s="3357"/>
      <c r="Z41" s="465" t="str">
        <f t="shared" si="15"/>
        <v>单套/主力户型建筑面积</v>
      </c>
      <c r="AA41" s="454">
        <f t="shared" si="3"/>
        <v>1</v>
      </c>
      <c r="AB41" s="454">
        <f t="shared" si="4"/>
        <v>1</v>
      </c>
      <c r="AC41" s="454">
        <f t="shared" si="5"/>
        <v>1</v>
      </c>
    </row>
    <row r="42" spans="1:29" ht="15">
      <c r="A42" s="293"/>
      <c r="B42" s="3173" t="s">
        <v>1295</v>
      </c>
      <c r="C42" s="578" t="s">
        <v>1296</v>
      </c>
      <c r="D42" s="247">
        <v>100</v>
      </c>
      <c r="E42" s="578" t="s">
        <v>1296</v>
      </c>
      <c r="F42" s="277">
        <f>SUMIF(122:122,E42,123:123)-SUMIF(122:122,C42,123:123)+100</f>
        <v>100</v>
      </c>
      <c r="G42" s="578" t="s">
        <v>1296</v>
      </c>
      <c r="H42" s="247">
        <f>SUMIF(122:122,G42,123:123)-SUMIF(122:122,C42,123:123)+100</f>
        <v>100</v>
      </c>
      <c r="I42" s="578" t="s">
        <v>1296</v>
      </c>
      <c r="J42" s="247">
        <f>SUMIF(122:122,I42,123:123)-SUMIF(122:122,C42,123:123)+100</f>
        <v>100</v>
      </c>
      <c r="K42" s="1327">
        <v>2</v>
      </c>
      <c r="L42" s="391"/>
      <c r="M42" s="378"/>
      <c r="N42" s="378"/>
      <c r="O42" s="390"/>
      <c r="P42" s="3357"/>
      <c r="Q42" s="383" t="str">
        <f t="shared" si="11"/>
        <v>内部装修</v>
      </c>
      <c r="R42" s="448" t="s">
        <v>931</v>
      </c>
      <c r="S42" s="449">
        <f t="shared" si="12"/>
        <v>100</v>
      </c>
      <c r="T42" s="448" t="s">
        <v>931</v>
      </c>
      <c r="U42" s="449">
        <f t="shared" si="13"/>
        <v>100</v>
      </c>
      <c r="V42" s="448" t="s">
        <v>931</v>
      </c>
      <c r="W42" s="449">
        <f t="shared" si="14"/>
        <v>100</v>
      </c>
      <c r="X42" s="443"/>
      <c r="Y42" s="3357"/>
      <c r="Z42" s="442" t="str">
        <f t="shared" si="15"/>
        <v>内部装修</v>
      </c>
      <c r="AA42" s="454">
        <f t="shared" si="3"/>
        <v>1</v>
      </c>
      <c r="AB42" s="454">
        <f t="shared" si="4"/>
        <v>1</v>
      </c>
      <c r="AC42" s="454">
        <f t="shared" si="5"/>
        <v>1</v>
      </c>
    </row>
    <row r="43" spans="1:29" ht="28.8">
      <c r="A43" s="293"/>
      <c r="B43" s="289" t="s">
        <v>237</v>
      </c>
      <c r="C43" s="578"/>
      <c r="D43" s="247">
        <v>100</v>
      </c>
      <c r="E43" s="1313"/>
      <c r="F43" s="277">
        <f>SUMIF(124:124,E43,125:125)-SUMIF(124:124,C43,125:125)+100</f>
        <v>100</v>
      </c>
      <c r="G43" s="578"/>
      <c r="H43" s="247">
        <f>SUMIF(124:124,G43,125:125)-SUMIF(124:124,C43,125:125)+100</f>
        <v>100</v>
      </c>
      <c r="I43" s="1313"/>
      <c r="J43" s="247">
        <f>SUMIF(124:124,I43,125:125)-SUMIF(124:124,C43,125:125)+100</f>
        <v>100</v>
      </c>
      <c r="K43" s="1327"/>
      <c r="L43" s="391"/>
      <c r="M43" s="378"/>
      <c r="N43" s="378"/>
      <c r="O43" s="390"/>
      <c r="P43" s="3357"/>
      <c r="Q43" s="383" t="str">
        <f t="shared" si="11"/>
        <v>内部装修维护情况</v>
      </c>
      <c r="R43" s="448" t="s">
        <v>931</v>
      </c>
      <c r="S43" s="449">
        <f t="shared" si="12"/>
        <v>100</v>
      </c>
      <c r="T43" s="448" t="s">
        <v>931</v>
      </c>
      <c r="U43" s="449">
        <f t="shared" si="13"/>
        <v>100</v>
      </c>
      <c r="V43" s="448" t="s">
        <v>931</v>
      </c>
      <c r="W43" s="449">
        <f t="shared" si="14"/>
        <v>100</v>
      </c>
      <c r="X43" s="443"/>
      <c r="Y43" s="3357"/>
      <c r="Z43" s="442" t="str">
        <f t="shared" si="15"/>
        <v>内部装修维护情况</v>
      </c>
      <c r="AA43" s="454">
        <f t="shared" si="3"/>
        <v>1</v>
      </c>
      <c r="AB43" s="454">
        <f t="shared" si="4"/>
        <v>1</v>
      </c>
      <c r="AC43" s="454">
        <f t="shared" si="5"/>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1328"/>
      <c r="L44" s="380"/>
      <c r="M44" s="381"/>
      <c r="N44" s="381"/>
      <c r="O44" s="382"/>
      <c r="P44" s="3357"/>
      <c r="Q44" s="447">
        <f t="shared" si="11"/>
        <v>111</v>
      </c>
      <c r="R44" s="444" t="s">
        <v>931</v>
      </c>
      <c r="S44" s="445">
        <f t="shared" si="12"/>
        <v>100</v>
      </c>
      <c r="T44" s="444" t="s">
        <v>931</v>
      </c>
      <c r="U44" s="445">
        <f t="shared" si="13"/>
        <v>100</v>
      </c>
      <c r="V44" s="444" t="s">
        <v>931</v>
      </c>
      <c r="W44" s="445">
        <f t="shared" si="14"/>
        <v>100</v>
      </c>
      <c r="X44" s="446"/>
      <c r="Y44" s="3357"/>
      <c r="Z44" s="464">
        <f t="shared" si="15"/>
        <v>111</v>
      </c>
      <c r="AA44" s="463">
        <f t="shared" si="3"/>
        <v>1</v>
      </c>
      <c r="AB44" s="463">
        <f t="shared" si="4"/>
        <v>1</v>
      </c>
      <c r="AC44" s="463">
        <f t="shared" si="5"/>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1328"/>
      <c r="L45" s="391"/>
      <c r="M45" s="378"/>
      <c r="N45" s="378"/>
      <c r="O45" s="390"/>
      <c r="P45" s="3357"/>
      <c r="Q45" s="383">
        <f t="shared" si="11"/>
        <v>111</v>
      </c>
      <c r="R45" s="448" t="s">
        <v>931</v>
      </c>
      <c r="S45" s="449">
        <f t="shared" si="12"/>
        <v>100</v>
      </c>
      <c r="T45" s="448" t="s">
        <v>931</v>
      </c>
      <c r="U45" s="449">
        <f t="shared" si="13"/>
        <v>100</v>
      </c>
      <c r="V45" s="448" t="s">
        <v>931</v>
      </c>
      <c r="W45" s="449">
        <f t="shared" si="14"/>
        <v>100</v>
      </c>
      <c r="X45" s="443"/>
      <c r="Y45" s="3357"/>
      <c r="Z45" s="442">
        <f t="shared" si="15"/>
        <v>111</v>
      </c>
      <c r="AA45" s="454">
        <f t="shared" si="3"/>
        <v>1</v>
      </c>
      <c r="AB45" s="454">
        <f t="shared" si="4"/>
        <v>1</v>
      </c>
      <c r="AC45" s="454">
        <f t="shared" si="5"/>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1328"/>
      <c r="L46" s="391"/>
      <c r="M46" s="378"/>
      <c r="N46" s="378"/>
      <c r="O46" s="390"/>
      <c r="P46" s="3422"/>
      <c r="Q46" s="383">
        <f t="shared" si="11"/>
        <v>111</v>
      </c>
      <c r="R46" s="448" t="s">
        <v>931</v>
      </c>
      <c r="S46" s="449">
        <f t="shared" si="12"/>
        <v>100</v>
      </c>
      <c r="T46" s="448" t="s">
        <v>931</v>
      </c>
      <c r="U46" s="449">
        <f t="shared" si="13"/>
        <v>100</v>
      </c>
      <c r="V46" s="448" t="s">
        <v>931</v>
      </c>
      <c r="W46" s="449">
        <f t="shared" si="14"/>
        <v>100</v>
      </c>
      <c r="X46" s="443"/>
      <c r="Y46" s="3422"/>
      <c r="Z46" s="442">
        <f t="shared" si="15"/>
        <v>111</v>
      </c>
      <c r="AA46" s="454">
        <f t="shared" si="3"/>
        <v>1</v>
      </c>
      <c r="AB46" s="454">
        <f t="shared" si="4"/>
        <v>1</v>
      </c>
      <c r="AC46" s="454">
        <f t="shared" si="5"/>
        <v>1</v>
      </c>
    </row>
    <row r="47" spans="1:29" ht="14.4">
      <c r="A47" s="303" t="s">
        <v>1297</v>
      </c>
      <c r="B47" s="304"/>
      <c r="C47" s="305" t="s">
        <v>138</v>
      </c>
      <c r="D47" s="306"/>
      <c r="E47" s="307">
        <v>36000</v>
      </c>
      <c r="F47" s="308"/>
      <c r="G47" s="309">
        <v>35000</v>
      </c>
      <c r="H47" s="310"/>
      <c r="I47" s="307">
        <v>38000</v>
      </c>
      <c r="J47" s="310"/>
      <c r="K47" s="1333"/>
      <c r="L47" s="398"/>
      <c r="M47" s="319"/>
      <c r="N47" s="378"/>
      <c r="O47" s="319"/>
      <c r="P47" s="3353" t="str">
        <f>A47</f>
        <v>成交单价（元/平方米）</v>
      </c>
      <c r="Q47" s="3353"/>
      <c r="R47" s="3421">
        <f>E47</f>
        <v>36000</v>
      </c>
      <c r="S47" s="3421"/>
      <c r="T47" s="3421">
        <f>G47</f>
        <v>35000</v>
      </c>
      <c r="U47" s="3421"/>
      <c r="V47" s="3421">
        <f>I47</f>
        <v>38000</v>
      </c>
      <c r="W47" s="3421"/>
      <c r="X47" s="330"/>
      <c r="Y47" s="466"/>
      <c r="Z47" s="330"/>
      <c r="AA47" s="330"/>
      <c r="AB47" s="330"/>
      <c r="AC47" s="330"/>
    </row>
    <row r="48" spans="1:29" ht="14.4">
      <c r="A48" s="311" t="s">
        <v>965</v>
      </c>
      <c r="B48" s="312"/>
      <c r="C48" s="313">
        <f>R49</f>
        <v>37522</v>
      </c>
      <c r="D48" s="314"/>
      <c r="E48" s="315">
        <f>R48</f>
        <v>36931</v>
      </c>
      <c r="F48" s="315"/>
      <c r="G48" s="313">
        <f>T48</f>
        <v>36268</v>
      </c>
      <c r="H48" s="314"/>
      <c r="I48" s="315">
        <f>V48</f>
        <v>39366</v>
      </c>
      <c r="J48" s="314"/>
      <c r="K48" s="1334"/>
      <c r="L48" s="398"/>
      <c r="M48" s="319"/>
      <c r="N48" s="319"/>
      <c r="O48" s="319"/>
      <c r="P48" s="3353" t="str">
        <f>A48</f>
        <v>比较价格（元/平方米）</v>
      </c>
      <c r="Q48" s="3353"/>
      <c r="R48" s="3421">
        <f>IF(F1="售价",ROUND(PRODUCT(R47,AA7:AA46),0),ROUND(PRODUCT(R47,AA7:AA46),1))</f>
        <v>36931</v>
      </c>
      <c r="S48" s="3421"/>
      <c r="T48" s="3421">
        <f>IF(F1="售价",ROUND(PRODUCT(T47,AB7:AB46),0),ROUND(PRODUCT(T47,AB7:AB46),1))</f>
        <v>36268</v>
      </c>
      <c r="U48" s="3421"/>
      <c r="V48" s="3421">
        <f>IF(F1="售价",ROUND(PRODUCT(V47,AC7:AC46),0),ROUND(PRODUCT(V47,AC7:AC46),1))</f>
        <v>39366</v>
      </c>
      <c r="W48" s="3421"/>
      <c r="X48" s="330"/>
      <c r="Y48" s="330"/>
      <c r="Z48" s="330"/>
      <c r="AA48" s="330"/>
      <c r="AB48" s="330"/>
      <c r="AC48" s="330"/>
    </row>
    <row r="49" spans="1:29" ht="14.4">
      <c r="A49" s="316" t="s">
        <v>966</v>
      </c>
      <c r="B49" s="317"/>
      <c r="C49" s="318">
        <f>R49</f>
        <v>37522</v>
      </c>
      <c r="D49" s="318"/>
      <c r="E49" s="318"/>
      <c r="F49" s="318"/>
      <c r="G49" s="318"/>
      <c r="H49" s="318"/>
      <c r="I49" s="318"/>
      <c r="J49" s="318"/>
      <c r="K49" s="1335"/>
      <c r="L49" s="398"/>
      <c r="M49" s="319"/>
      <c r="N49" s="319"/>
      <c r="O49" s="319"/>
      <c r="P49" s="3359" t="str">
        <f>A49</f>
        <v>估价对象XX用房的比较价格（楼面单价，元/平方米）</v>
      </c>
      <c r="Q49" s="3360"/>
      <c r="R49" s="3423">
        <f>IF(F1="售价",ROUND(AVERAGE(R48:V48),0),ROUND(AVERAGE(R48:V48),1))</f>
        <v>37522</v>
      </c>
      <c r="S49" s="3423"/>
      <c r="T49" s="3423"/>
      <c r="U49" s="3423"/>
      <c r="V49" s="3423"/>
      <c r="W49" s="342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967</v>
      </c>
      <c r="D52" s="322"/>
      <c r="E52" s="323">
        <f>IF(E47&lt;E48,E48/E47-1,E47/E48-1)</f>
        <v>2.5861111111111112E-2</v>
      </c>
      <c r="F52" s="324" t="str">
        <f>IF(OR(E52&gt;=0.3,E52&lt;=-0.3),"超过30%","")</f>
        <v/>
      </c>
      <c r="G52" s="323">
        <f>IF(G47&lt;G48,G48/G47-1,G47/G48-1)</f>
        <v>3.6228571428571499E-2</v>
      </c>
      <c r="H52" s="324" t="str">
        <f>IF(OR(G52&gt;=0.3,G52&lt;=-0.3),"超过30%","")</f>
        <v/>
      </c>
      <c r="I52" s="323">
        <f>IF(I47&lt;I48,I48/I47-1,I47/I48-1)</f>
        <v>3.5947368421052728E-2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968</v>
      </c>
      <c r="D53" s="325"/>
      <c r="E53" s="323">
        <f>IF(E48&lt;G48,G48/E48-1,E48/G48-1)</f>
        <v>1.8280577919929319E-2</v>
      </c>
      <c r="F53" s="324" t="str">
        <f>IF(OR(E53&gt;=0.2,E53&lt;=-0.2),"超过20%","")</f>
        <v/>
      </c>
      <c r="G53" s="323">
        <f>IF(G48&lt;I48,I48/G48-1,G48/I48-1)</f>
        <v>8.5419653689202679E-2</v>
      </c>
      <c r="H53" s="324" t="str">
        <f>IF(OR(G53&gt;=0.2,G53&lt;=-0.2),"超过20%","")</f>
        <v/>
      </c>
      <c r="I53" s="323">
        <f>IF(I48&lt;E48,E48/I48-1,I48/E48-1)</f>
        <v>6.5933768378868773E-2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969</v>
      </c>
      <c r="D54" s="325"/>
      <c r="E54" s="323">
        <f>IF(E47&lt;G47,G47/E47-1,E47/G47-1)</f>
        <v>2.857142857142847E-2</v>
      </c>
      <c r="F54" s="324" t="str">
        <f>IF(OR(E54&gt;=0.3,E54&lt;=-0.3),"超过30%","")</f>
        <v/>
      </c>
      <c r="G54" s="323">
        <f>IF(G47&lt;I47,I47/G47-1,G47/I47-1)</f>
        <v>8.5714285714285632E-2</v>
      </c>
      <c r="H54" s="324" t="str">
        <f>IF(OR(G54&gt;=0.3,G54&lt;=-0.3),"超过30%","")</f>
        <v/>
      </c>
      <c r="I54" s="323">
        <f>IF(I47&lt;E47,E47/I47-1,I47/E47-1)</f>
        <v>5.555555555555558E-2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6">
      <c r="A57" s="329" t="s">
        <v>991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4.4">
      <c r="A58" s="333" t="s">
        <v>929</v>
      </c>
      <c r="B58" s="334"/>
      <c r="C58" s="336"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4.4">
      <c r="A60" s="341" t="s">
        <v>1108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4.4">
      <c r="A61" s="345" t="s">
        <v>932</v>
      </c>
      <c r="B61" s="338"/>
      <c r="C61" s="346" t="s">
        <v>933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ht="14.4">
      <c r="A63" s="348" t="s">
        <v>995</v>
      </c>
      <c r="B63" s="349" t="s">
        <v>996</v>
      </c>
      <c r="C63" s="350" t="str">
        <f>C9</f>
        <v>住宅</v>
      </c>
      <c r="D63" s="1318"/>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c r="A64" s="352"/>
      <c r="B64" s="353"/>
      <c r="C64" s="354">
        <v>100</v>
      </c>
      <c r="D64" s="354"/>
      <c r="E64" s="1319"/>
      <c r="F64" s="1319"/>
      <c r="G64" s="1319"/>
      <c r="H64" s="1319"/>
      <c r="I64" s="1319"/>
      <c r="J64" s="1319"/>
      <c r="K64" s="1319"/>
      <c r="L64" s="1319"/>
      <c r="M64" s="1336"/>
      <c r="N64" s="425"/>
      <c r="O64" s="425"/>
      <c r="P64" s="423"/>
      <c r="Q64" s="412"/>
      <c r="R64" s="319"/>
      <c r="S64" s="319"/>
      <c r="T64" s="319"/>
      <c r="U64" s="319"/>
      <c r="V64" s="319"/>
      <c r="W64" s="319"/>
      <c r="X64" s="319"/>
      <c r="Y64" s="319"/>
      <c r="Z64" s="319"/>
      <c r="AA64" s="319"/>
      <c r="AB64" s="319"/>
      <c r="AC64" s="319"/>
    </row>
    <row r="65" spans="1:29" ht="28.8">
      <c r="A65" s="352"/>
      <c r="B65" s="355" t="s">
        <v>997</v>
      </c>
      <c r="C65" s="356" t="s">
        <v>1298</v>
      </c>
      <c r="D65" s="356" t="s">
        <v>1299</v>
      </c>
      <c r="E65" s="356" t="s">
        <v>1300</v>
      </c>
      <c r="F65" s="356" t="s">
        <v>1301</v>
      </c>
      <c r="G65" s="356" t="s">
        <v>1302</v>
      </c>
      <c r="H65" s="356" t="s">
        <v>1303</v>
      </c>
      <c r="I65" s="356" t="s">
        <v>1304</v>
      </c>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v>100</v>
      </c>
      <c r="D66" s="358">
        <f t="shared" ref="D66:I66" si="17">C66-$K10</f>
        <v>98</v>
      </c>
      <c r="E66" s="358">
        <f t="shared" si="17"/>
        <v>96</v>
      </c>
      <c r="F66" s="358">
        <f t="shared" si="17"/>
        <v>94</v>
      </c>
      <c r="G66" s="358">
        <f t="shared" si="17"/>
        <v>92</v>
      </c>
      <c r="H66" s="358">
        <f t="shared" si="17"/>
        <v>90</v>
      </c>
      <c r="I66" s="358">
        <f t="shared" si="17"/>
        <v>88</v>
      </c>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9" t="s">
        <v>998</v>
      </c>
      <c r="C67" s="545" t="str">
        <f>C68&amp;"（含）"&amp;"-"&amp;D68</f>
        <v>1（含）-3</v>
      </c>
      <c r="D67" s="545" t="str">
        <f t="shared" ref="D67:L67" si="18">D68&amp;"（含）"&amp;"-"&amp;E68</f>
        <v>3（含）-5</v>
      </c>
      <c r="E67" s="545" t="str">
        <f t="shared" si="18"/>
        <v>5（含）-7</v>
      </c>
      <c r="F67" s="545" t="str">
        <f t="shared" si="18"/>
        <v>7（含）-9</v>
      </c>
      <c r="G67" s="545" t="str">
        <f t="shared" si="18"/>
        <v>9（含）-11</v>
      </c>
      <c r="H67" s="545" t="str">
        <f t="shared" si="18"/>
        <v>11（含）-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c r="A68" s="352"/>
      <c r="B68" s="546"/>
      <c r="C68" s="360">
        <v>1</v>
      </c>
      <c r="D68" s="360">
        <v>3</v>
      </c>
      <c r="E68" s="360">
        <v>5</v>
      </c>
      <c r="F68" s="360">
        <v>7</v>
      </c>
      <c r="G68" s="360">
        <v>9</v>
      </c>
      <c r="H68" s="360">
        <v>11</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ht="14.4">
      <c r="A76" s="348" t="s">
        <v>999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4.4">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4.4">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4.4">
      <c r="A84" s="352"/>
      <c r="B84" s="355" t="s">
        <v>1278</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4.4">
      <c r="A86" s="471"/>
      <c r="B86" s="367" t="s">
        <v>1279</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4.4">
      <c r="A88" s="471"/>
      <c r="B88" s="355" t="s">
        <v>1280</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4.4">
      <c r="A90" s="362"/>
      <c r="B90" s="355" t="str">
        <f>B27</f>
        <v>道路级别</v>
      </c>
      <c r="C90" s="1338" t="s">
        <v>1004</v>
      </c>
      <c r="D90" s="1338" t="s">
        <v>1005</v>
      </c>
      <c r="E90" s="1338" t="s">
        <v>1006</v>
      </c>
      <c r="F90" s="1338" t="s">
        <v>952</v>
      </c>
      <c r="G90" s="1338" t="s">
        <v>1007</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c r="A91" s="362"/>
      <c r="B91" s="357"/>
      <c r="C91" s="1339">
        <v>100</v>
      </c>
      <c r="D91" s="1339">
        <v>99</v>
      </c>
      <c r="E91" s="1339">
        <v>98</v>
      </c>
      <c r="F91" s="1339">
        <v>97</v>
      </c>
      <c r="G91" s="1339">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ht="14.4">
      <c r="A100" s="348" t="s">
        <v>1008</v>
      </c>
      <c r="B100" s="349" t="s">
        <v>1282</v>
      </c>
      <c r="C100" s="1318" t="s">
        <v>2437</v>
      </c>
      <c r="D100" s="1318" t="s">
        <v>2438</v>
      </c>
      <c r="E100" s="1318" t="s">
        <v>1284</v>
      </c>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c r="A101" s="352"/>
      <c r="B101" s="357"/>
      <c r="C101" s="358">
        <v>100</v>
      </c>
      <c r="D101" s="358">
        <f t="shared" ref="D101:M101" si="22">C101-$K32</f>
        <v>97</v>
      </c>
      <c r="E101" s="358">
        <f t="shared" si="22"/>
        <v>94</v>
      </c>
      <c r="F101" s="358">
        <f t="shared" si="22"/>
        <v>91</v>
      </c>
      <c r="G101" s="358">
        <f t="shared" si="22"/>
        <v>88</v>
      </c>
      <c r="H101" s="358">
        <f t="shared" si="22"/>
        <v>85</v>
      </c>
      <c r="I101" s="358">
        <f t="shared" si="22"/>
        <v>82</v>
      </c>
      <c r="J101" s="358">
        <f t="shared" si="22"/>
        <v>79</v>
      </c>
      <c r="K101" s="358">
        <f t="shared" si="22"/>
        <v>76</v>
      </c>
      <c r="L101" s="358">
        <f t="shared" si="22"/>
        <v>73</v>
      </c>
      <c r="M101" s="358">
        <f t="shared" si="22"/>
        <v>70</v>
      </c>
      <c r="N101" s="425"/>
      <c r="O101" s="425"/>
      <c r="P101" s="423"/>
      <c r="Q101" s="412"/>
      <c r="R101" s="319"/>
      <c r="S101" s="319"/>
      <c r="T101" s="319"/>
      <c r="U101" s="319"/>
      <c r="V101" s="319"/>
      <c r="W101" s="319"/>
      <c r="X101" s="319"/>
      <c r="Y101" s="319"/>
      <c r="Z101" s="319"/>
      <c r="AA101" s="319"/>
      <c r="AB101" s="319"/>
      <c r="AC101" s="319"/>
    </row>
    <row r="102" spans="1:29" ht="27.6">
      <c r="A102" s="352"/>
      <c r="B102" s="355" t="s">
        <v>1286</v>
      </c>
      <c r="C102" s="368" t="str">
        <f>C103&amp;"(含)"&amp;"-"&amp;D103</f>
        <v>0(含)-50000</v>
      </c>
      <c r="D102" s="368" t="str">
        <f t="shared" ref="D102:L102" si="23">D103&amp;"(含)"&amp;"-"&amp;E103</f>
        <v>50000(含)-100000</v>
      </c>
      <c r="E102" s="368" t="str">
        <f t="shared" si="23"/>
        <v>100000(含)-150000</v>
      </c>
      <c r="F102" s="368" t="str">
        <f t="shared" si="23"/>
        <v>150000(含)-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50000</v>
      </c>
      <c r="E103" s="475">
        <v>100000</v>
      </c>
      <c r="F103" s="475">
        <v>150000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ht="14.4">
      <c r="A105" s="474"/>
      <c r="B105" s="355" t="s">
        <v>1287</v>
      </c>
      <c r="C105" s="1338" t="s">
        <v>2440</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58">
        <v>100</v>
      </c>
      <c r="D106" s="358">
        <f t="shared" ref="D106:M106" si="24">C106-$K34</f>
        <v>0</v>
      </c>
      <c r="E106" s="358">
        <f t="shared" si="24"/>
        <v>-100</v>
      </c>
      <c r="F106" s="358">
        <f t="shared" si="24"/>
        <v>-200</v>
      </c>
      <c r="G106" s="358">
        <f t="shared" si="24"/>
        <v>-300</v>
      </c>
      <c r="H106" s="358">
        <f t="shared" si="24"/>
        <v>-400</v>
      </c>
      <c r="I106" s="358">
        <f t="shared" si="24"/>
        <v>-500</v>
      </c>
      <c r="J106" s="358">
        <f t="shared" si="24"/>
        <v>-600</v>
      </c>
      <c r="K106" s="358">
        <f t="shared" si="24"/>
        <v>-700</v>
      </c>
      <c r="L106" s="358">
        <f t="shared" si="24"/>
        <v>-800</v>
      </c>
      <c r="M106" s="358">
        <f t="shared" si="24"/>
        <v>-900</v>
      </c>
      <c r="N106" s="425"/>
      <c r="O106" s="425"/>
      <c r="P106" s="423"/>
      <c r="Q106" s="412"/>
      <c r="R106" s="319"/>
      <c r="S106" s="319"/>
      <c r="T106" s="319"/>
      <c r="U106" s="319"/>
      <c r="V106" s="319"/>
      <c r="W106" s="319"/>
      <c r="X106" s="319"/>
      <c r="Y106" s="319"/>
      <c r="Z106" s="319"/>
      <c r="AA106" s="319"/>
      <c r="AB106" s="319"/>
      <c r="AC106" s="319"/>
    </row>
    <row r="107" spans="1:29" ht="14.4">
      <c r="A107" s="474"/>
      <c r="B107" s="355" t="s">
        <v>1288</v>
      </c>
      <c r="C107" s="1341" t="s">
        <v>2442</v>
      </c>
      <c r="D107" s="1341" t="s">
        <v>2444</v>
      </c>
      <c r="E107" s="1341" t="s">
        <v>2445</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ht="14.4">
      <c r="A109" s="474"/>
      <c r="B109" s="355" t="s">
        <v>1289</v>
      </c>
      <c r="C109" s="1340" t="s">
        <v>1296</v>
      </c>
      <c r="D109" s="1340" t="s">
        <v>1305</v>
      </c>
      <c r="E109" s="1340" t="s">
        <v>1306</v>
      </c>
      <c r="F109" s="1341" t="s">
        <v>1307</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ht="14.4">
      <c r="A111" s="476"/>
      <c r="B111" s="355" t="s">
        <v>1290</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342"/>
      <c r="K111" s="1342"/>
      <c r="L111" s="1343"/>
      <c r="M111" s="13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345"/>
      <c r="K112" s="1345"/>
      <c r="L112" s="1346"/>
      <c r="M112" s="1347"/>
      <c r="N112" s="435"/>
      <c r="O112" s="435"/>
      <c r="P112" s="436"/>
      <c r="Q112" s="457"/>
      <c r="R112" s="458"/>
      <c r="S112" s="458"/>
      <c r="T112" s="458"/>
      <c r="U112" s="458"/>
      <c r="V112" s="458"/>
      <c r="W112" s="458"/>
      <c r="X112" s="458"/>
      <c r="Y112" s="458"/>
      <c r="Z112" s="458"/>
      <c r="AA112" s="458"/>
      <c r="AB112" s="458"/>
      <c r="AC112" s="458"/>
    </row>
    <row r="113" spans="1:29" s="192" customFormat="1">
      <c r="A113" s="362"/>
      <c r="B113" s="357"/>
      <c r="C113" s="473">
        <v>100</v>
      </c>
      <c r="D113" s="358">
        <f>C113+$K37</f>
        <v>100</v>
      </c>
      <c r="E113" s="358">
        <f>D113+$K37</f>
        <v>100</v>
      </c>
      <c r="F113" s="358">
        <f>E113+$K37</f>
        <v>100</v>
      </c>
      <c r="G113" s="358">
        <f>F113+$K37</f>
        <v>100</v>
      </c>
      <c r="H113" s="358">
        <f>G113+$K37</f>
        <v>100</v>
      </c>
      <c r="I113" s="473"/>
      <c r="J113" s="1348"/>
      <c r="K113" s="1348"/>
      <c r="L113" s="1348"/>
      <c r="M113" s="1349"/>
      <c r="N113" s="435"/>
      <c r="O113" s="435"/>
      <c r="P113" s="436"/>
      <c r="Q113" s="457"/>
      <c r="R113" s="458"/>
      <c r="S113" s="458"/>
      <c r="T113" s="458"/>
      <c r="U113" s="458"/>
      <c r="V113" s="458"/>
      <c r="W113" s="458"/>
      <c r="X113" s="458"/>
      <c r="Y113" s="458"/>
      <c r="Z113" s="458"/>
      <c r="AA113" s="458"/>
      <c r="AB113" s="458"/>
      <c r="AC113" s="458"/>
    </row>
    <row r="114" spans="1:29" ht="14.4">
      <c r="A114" s="474"/>
      <c r="B114" s="355" t="s">
        <v>1291</v>
      </c>
      <c r="C114" s="1338" t="s">
        <v>2447</v>
      </c>
      <c r="D114" s="1338" t="s">
        <v>2449</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ht="14.4">
      <c r="A116" s="474"/>
      <c r="B116" s="367" t="s">
        <v>1292</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t="14.4">
      <c r="A118" s="474"/>
      <c r="B118" s="355" t="s">
        <v>1293</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8.8">
      <c r="A120" s="476"/>
      <c r="B120" s="355" t="s">
        <v>1294</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ht="14.4">
      <c r="A122" s="474"/>
      <c r="B122" s="355" t="s">
        <v>1295</v>
      </c>
      <c r="C122" s="1340" t="s">
        <v>1296</v>
      </c>
      <c r="D122" s="1340" t="s">
        <v>1305</v>
      </c>
      <c r="E122" s="1340" t="s">
        <v>1306</v>
      </c>
      <c r="F122" s="1341" t="s">
        <v>1307</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358">
        <f t="shared" si="29"/>
        <v>80</v>
      </c>
      <c r="N123" s="425"/>
      <c r="O123" s="425"/>
      <c r="P123" s="423"/>
      <c r="Q123" s="412"/>
      <c r="R123" s="319"/>
      <c r="S123" s="319"/>
      <c r="T123" s="319"/>
      <c r="U123" s="319"/>
      <c r="V123" s="319"/>
      <c r="W123" s="319"/>
      <c r="X123" s="319"/>
      <c r="Y123" s="319"/>
      <c r="Z123" s="319"/>
      <c r="AA123" s="319"/>
      <c r="AB123" s="319"/>
      <c r="AC123" s="319"/>
    </row>
    <row r="124" spans="1:29" ht="28.8">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ht="14.4">
      <c r="A136" s="478"/>
      <c r="B136" s="1350" t="s">
        <v>1308</v>
      </c>
      <c r="C136" s="1351"/>
      <c r="D136" s="1351"/>
      <c r="E136" s="1351"/>
      <c r="F136" s="1351"/>
      <c r="G136" s="1351"/>
      <c r="H136" s="1351"/>
      <c r="I136" s="1351"/>
      <c r="J136" s="1351"/>
      <c r="K136" s="1382"/>
      <c r="L136" s="494"/>
      <c r="M136" s="478"/>
      <c r="N136" s="478"/>
      <c r="O136" s="478"/>
      <c r="P136" s="478"/>
      <c r="Q136" s="478"/>
      <c r="R136" s="478"/>
      <c r="S136" s="478"/>
      <c r="T136" s="478"/>
      <c r="U136" s="478"/>
      <c r="V136" s="478"/>
      <c r="W136" s="478"/>
      <c r="X136" s="478"/>
      <c r="Y136" s="478"/>
      <c r="Z136" s="478"/>
      <c r="AA136" s="478"/>
      <c r="AB136" s="478"/>
      <c r="AC136" s="478"/>
    </row>
    <row r="137" spans="1:29" ht="15.6">
      <c r="A137" s="478"/>
      <c r="B137" s="1352" t="s">
        <v>1309</v>
      </c>
      <c r="C137" s="1353"/>
      <c r="D137" s="1353"/>
      <c r="E137" s="1353"/>
      <c r="F137" s="1353"/>
      <c r="G137" s="1354"/>
      <c r="H137" s="1355"/>
      <c r="I137" s="1383" t="s">
        <v>1284</v>
      </c>
      <c r="J137" s="1353"/>
      <c r="K137" s="1384"/>
      <c r="L137" s="494"/>
      <c r="M137" s="478"/>
      <c r="N137" s="478"/>
      <c r="O137" s="478"/>
      <c r="P137" s="478"/>
      <c r="Q137" s="478"/>
      <c r="R137" s="478"/>
      <c r="S137" s="478"/>
      <c r="T137" s="478"/>
      <c r="U137" s="478"/>
      <c r="V137" s="478"/>
      <c r="W137" s="478"/>
      <c r="X137" s="478"/>
      <c r="Y137" s="478"/>
      <c r="Z137" s="478"/>
      <c r="AA137" s="478"/>
      <c r="AB137" s="478"/>
      <c r="AC137" s="478"/>
    </row>
    <row r="138" spans="1:29" ht="15.6">
      <c r="A138" s="478"/>
      <c r="B138" s="1356"/>
      <c r="C138" s="1357" t="s">
        <v>1310</v>
      </c>
      <c r="D138" s="1357" t="s">
        <v>1311</v>
      </c>
      <c r="E138" s="1358" t="s">
        <v>1312</v>
      </c>
      <c r="F138" s="1359" t="s">
        <v>1313</v>
      </c>
      <c r="G138" s="1357" t="s">
        <v>1311</v>
      </c>
      <c r="H138" s="1360" t="s">
        <v>1312</v>
      </c>
      <c r="I138" s="1385"/>
      <c r="J138" s="1357" t="s">
        <v>1314</v>
      </c>
      <c r="K138" s="1360" t="s">
        <v>1315</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361">
        <v>6</v>
      </c>
      <c r="C139" s="1362">
        <v>96</v>
      </c>
      <c r="D139" s="1363" t="s">
        <v>1316</v>
      </c>
      <c r="E139" s="1364">
        <v>100</v>
      </c>
      <c r="F139" s="1365">
        <v>102.5</v>
      </c>
      <c r="G139" s="1363" t="s">
        <v>1316</v>
      </c>
      <c r="H139" s="1366">
        <v>105</v>
      </c>
      <c r="I139" s="1386" t="s">
        <v>1317</v>
      </c>
      <c r="J139" s="1362">
        <v>20</v>
      </c>
      <c r="K139" s="138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6">
      <c r="A140" s="478"/>
      <c r="B140" s="1367">
        <v>5</v>
      </c>
      <c r="C140" s="1368">
        <v>100</v>
      </c>
      <c r="D140" s="1369"/>
      <c r="E140" s="1370"/>
      <c r="F140" s="1371">
        <v>102</v>
      </c>
      <c r="G140" s="1369"/>
      <c r="H140" s="1372"/>
      <c r="I140" s="1388" t="s">
        <v>1318</v>
      </c>
      <c r="J140" s="1103">
        <f>ROUNDUP((J139-1)/2,0)</f>
        <v>10</v>
      </c>
      <c r="K140" s="1063">
        <v>100</v>
      </c>
      <c r="L140" s="494"/>
      <c r="M140" s="478"/>
      <c r="N140" s="478"/>
      <c r="O140" s="478"/>
      <c r="P140" s="478"/>
      <c r="Q140" s="478"/>
      <c r="R140" s="478"/>
      <c r="S140" s="478"/>
      <c r="T140" s="478"/>
      <c r="U140" s="478"/>
      <c r="V140" s="478"/>
      <c r="W140" s="478"/>
      <c r="X140" s="478"/>
      <c r="Y140" s="478"/>
      <c r="Z140" s="478"/>
      <c r="AA140" s="478"/>
      <c r="AB140" s="478"/>
      <c r="AC140" s="478"/>
    </row>
    <row r="141" spans="1:29" ht="15.6">
      <c r="A141" s="478"/>
      <c r="B141" s="1367">
        <v>4</v>
      </c>
      <c r="C141" s="1368">
        <v>102</v>
      </c>
      <c r="D141" s="1369"/>
      <c r="E141" s="1370"/>
      <c r="F141" s="1371">
        <v>101.5</v>
      </c>
      <c r="G141" s="1369"/>
      <c r="H141" s="1372"/>
      <c r="I141" s="1388" t="s">
        <v>1319</v>
      </c>
      <c r="J141" s="1103">
        <v>1</v>
      </c>
      <c r="K141" s="1389">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6">
      <c r="A142" s="478"/>
      <c r="B142" s="1367">
        <v>3</v>
      </c>
      <c r="C142" s="1368">
        <v>103</v>
      </c>
      <c r="D142" s="1369"/>
      <c r="E142" s="1370"/>
      <c r="F142" s="1371">
        <v>101</v>
      </c>
      <c r="G142" s="1369"/>
      <c r="H142" s="1372"/>
      <c r="I142" s="1388" t="s">
        <v>1320</v>
      </c>
      <c r="J142" s="1103">
        <f>J139</f>
        <v>20</v>
      </c>
      <c r="K142" s="1390">
        <v>95</v>
      </c>
      <c r="L142" s="494"/>
      <c r="M142" s="478"/>
      <c r="N142" s="478"/>
      <c r="O142" s="478"/>
      <c r="P142" s="478"/>
      <c r="Q142" s="478"/>
      <c r="R142" s="478"/>
      <c r="S142" s="478"/>
      <c r="T142" s="478"/>
      <c r="U142" s="478"/>
      <c r="V142" s="478"/>
      <c r="W142" s="478"/>
      <c r="X142" s="478"/>
      <c r="Y142" s="478"/>
      <c r="Z142" s="478"/>
      <c r="AA142" s="478"/>
      <c r="AB142" s="478"/>
      <c r="AC142" s="478"/>
    </row>
    <row r="143" spans="1:29" ht="15.6">
      <c r="A143" s="478"/>
      <c r="B143" s="1367">
        <v>2</v>
      </c>
      <c r="C143" s="1368">
        <v>100</v>
      </c>
      <c r="D143" s="1369"/>
      <c r="E143" s="1370"/>
      <c r="F143" s="1371">
        <v>100.5</v>
      </c>
      <c r="G143" s="1369"/>
      <c r="H143" s="1372"/>
      <c r="I143" s="1388" t="s">
        <v>1256</v>
      </c>
      <c r="J143" s="1368">
        <v>15</v>
      </c>
      <c r="K143" s="1389">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367">
        <v>1</v>
      </c>
      <c r="C144" s="1368">
        <v>98</v>
      </c>
      <c r="D144" s="1373" t="s">
        <v>1321</v>
      </c>
      <c r="E144" s="1370">
        <v>102</v>
      </c>
      <c r="F144" s="1374">
        <v>100</v>
      </c>
      <c r="G144" s="1373" t="s">
        <v>1321</v>
      </c>
      <c r="H144" s="1372">
        <v>105</v>
      </c>
      <c r="I144" s="1388" t="s">
        <v>1256</v>
      </c>
      <c r="J144" s="1368">
        <v>18</v>
      </c>
      <c r="K144" s="1389">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6">
      <c r="A145" s="478"/>
      <c r="B145" s="1375" t="s">
        <v>1322</v>
      </c>
      <c r="C145" s="1376">
        <f>ROUND(MAX(C139:C144)/MIN(C139:C144)-1,3)</f>
        <v>7.2999999999999995E-2</v>
      </c>
      <c r="D145" s="1377"/>
      <c r="E145" s="1377"/>
      <c r="F145" s="1378" t="s">
        <v>1323</v>
      </c>
      <c r="G145" s="1379"/>
      <c r="H145" s="1380"/>
      <c r="I145" s="1391" t="s">
        <v>1256</v>
      </c>
      <c r="J145" s="1392">
        <v>8</v>
      </c>
      <c r="K145" s="1393">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ht="14.4">
      <c r="A147" s="478"/>
      <c r="B147" s="1381" t="s">
        <v>1324</v>
      </c>
      <c r="L147" s="494"/>
      <c r="M147" s="478"/>
      <c r="N147" s="478"/>
      <c r="O147" s="478"/>
      <c r="P147" s="478"/>
      <c r="Q147" s="478"/>
      <c r="R147" s="478"/>
      <c r="S147" s="478"/>
      <c r="T147" s="478"/>
      <c r="U147" s="478"/>
      <c r="V147" s="478"/>
      <c r="W147" s="478"/>
      <c r="X147" s="478"/>
      <c r="Y147" s="478"/>
      <c r="Z147" s="478"/>
      <c r="AA147" s="478"/>
      <c r="AB147" s="478"/>
      <c r="AC147" s="478"/>
    </row>
    <row r="148" spans="1:29" ht="14.4">
      <c r="A148" s="478"/>
      <c r="B148" s="1381" t="s">
        <v>1325</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16" priority="10" stopIfTrue="1">
      <formula>$F$52="超过30%"</formula>
    </cfRule>
  </conditionalFormatting>
  <conditionalFormatting sqref="G52">
    <cfRule type="expression" dxfId="115" priority="5" stopIfTrue="1">
      <formula>$H$52="超过30%"</formula>
    </cfRule>
  </conditionalFormatting>
  <conditionalFormatting sqref="I52">
    <cfRule type="expression" dxfId="114" priority="3" stopIfTrue="1">
      <formula>$J$52="超过30%"</formula>
    </cfRule>
  </conditionalFormatting>
  <conditionalFormatting sqref="E53">
    <cfRule type="expression" dxfId="113" priority="7" stopIfTrue="1">
      <formula>$F$53="超过20%"</formula>
    </cfRule>
  </conditionalFormatting>
  <conditionalFormatting sqref="G53">
    <cfRule type="expression" dxfId="112" priority="4" stopIfTrue="1">
      <formula>$H$53="超过20%"</formula>
    </cfRule>
  </conditionalFormatting>
  <conditionalFormatting sqref="I53">
    <cfRule type="expression" dxfId="111" priority="2" stopIfTrue="1">
      <formula>$J$53="超过20%"</formula>
    </cfRule>
  </conditionalFormatting>
  <conditionalFormatting sqref="E54">
    <cfRule type="expression" dxfId="110" priority="6" stopIfTrue="1">
      <formula>$F$54="超过30%"</formula>
    </cfRule>
  </conditionalFormatting>
  <conditionalFormatting sqref="F54">
    <cfRule type="containsText" dxfId="109" priority="12" stopIfTrue="1" operator="containsText" text="超过">
      <formula>NOT(ISERROR(SEARCH("超过",F54)))</formula>
    </cfRule>
  </conditionalFormatting>
  <conditionalFormatting sqref="G54">
    <cfRule type="expression" dxfId="108" priority="8" stopIfTrue="1">
      <formula>$H$54="超过30%"</formula>
    </cfRule>
  </conditionalFormatting>
  <conditionalFormatting sqref="H54">
    <cfRule type="containsText" dxfId="107" priority="13"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14" stopIfTrue="1" operator="containsText" text="超过">
      <formula>NOT(ISERROR(SEARCH("超过",J54)))</formula>
    </cfRule>
  </conditionalFormatting>
  <conditionalFormatting sqref="F52 H52 J52">
    <cfRule type="containsText" dxfId="104" priority="15" stopIfTrue="1" operator="containsText" text="超过">
      <formula>NOT(ISERROR(SEARCH("超过",F52)))</formula>
    </cfRule>
  </conditionalFormatting>
  <conditionalFormatting sqref="F53 H53 J53">
    <cfRule type="containsText" dxfId="10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45" sqref="D45"/>
    </sheetView>
  </sheetViews>
  <sheetFormatPr defaultColWidth="9" defaultRowHeight="15"/>
  <cols>
    <col min="1" max="1" width="9" style="847" customWidth="1"/>
    <col min="2" max="2" width="20.6640625" style="846" customWidth="1"/>
    <col min="3" max="3" width="11.88671875" style="846" customWidth="1"/>
    <col min="4" max="4" width="40.44140625" style="847" customWidth="1"/>
    <col min="5" max="5" width="15.77734375" style="847" customWidth="1"/>
    <col min="6" max="6" width="10.6640625" style="847" customWidth="1"/>
    <col min="7" max="7" width="4.88671875" style="847" customWidth="1"/>
    <col min="8" max="8" width="8.44140625" style="847" customWidth="1"/>
    <col min="9" max="9" width="21.21875" style="847" customWidth="1"/>
    <col min="10" max="10" width="12.21875" style="847" customWidth="1"/>
    <col min="11" max="11" width="40.109375" style="848" customWidth="1"/>
    <col min="12" max="12" width="18.33203125" style="847" customWidth="1"/>
    <col min="13" max="13" width="13" style="847" customWidth="1"/>
    <col min="14" max="14" width="9.44140625" style="609" customWidth="1"/>
    <col min="15" max="15" width="5.88671875" style="609" customWidth="1"/>
    <col min="16" max="16" width="27.6640625" style="609" customWidth="1"/>
    <col min="17" max="17" width="13.77734375" style="999" customWidth="1"/>
    <col min="18" max="18" width="23.44140625" style="609" customWidth="1"/>
    <col min="19" max="19" width="1.44140625" style="609" customWidth="1"/>
    <col min="20" max="33" width="9" style="609"/>
    <col min="34" max="16384" width="9" style="847"/>
  </cols>
  <sheetData>
    <row r="1" spans="1:33" s="843" customFormat="1" ht="21.6">
      <c r="A1" s="1249" t="s">
        <v>1326</v>
      </c>
      <c r="B1" s="850"/>
      <c r="C1" s="851" t="s">
        <v>380</v>
      </c>
      <c r="D1" s="1250" t="s">
        <v>1327</v>
      </c>
      <c r="E1" s="853" t="s">
        <v>590</v>
      </c>
      <c r="F1" s="854">
        <f ca="1">J53</f>
        <v>31.729999999999997</v>
      </c>
      <c r="G1" s="855">
        <f>MATCH(C1,'数据-取费表'!A6:A16,0)+5</f>
        <v>7</v>
      </c>
      <c r="H1" s="852"/>
      <c r="I1" s="1000"/>
      <c r="J1" s="1000"/>
      <c r="K1" s="1001"/>
      <c r="L1" s="1000"/>
      <c r="M1" s="1000"/>
      <c r="N1" s="1002"/>
      <c r="O1" s="1002"/>
      <c r="P1" s="1002"/>
      <c r="Q1" s="1302"/>
      <c r="R1" s="1002"/>
      <c r="S1" s="1002"/>
      <c r="T1" s="1002"/>
      <c r="U1" s="1002"/>
      <c r="V1" s="1002"/>
      <c r="W1" s="1002"/>
      <c r="X1" s="1002"/>
      <c r="Y1" s="1002"/>
      <c r="Z1" s="1002"/>
      <c r="AA1" s="1002"/>
      <c r="AB1" s="1002"/>
      <c r="AC1" s="1002"/>
      <c r="AD1" s="1002"/>
      <c r="AE1" s="1002"/>
      <c r="AF1" s="1002"/>
      <c r="AG1" s="1002"/>
    </row>
    <row r="2" spans="1:33" ht="18" customHeight="1">
      <c r="A2" s="205" t="s">
        <v>915</v>
      </c>
      <c r="B2" s="119">
        <f ca="1">C40+J29+L46</f>
        <v>24082</v>
      </c>
      <c r="C2" s="1003"/>
      <c r="D2" s="859"/>
      <c r="E2" s="860"/>
      <c r="F2" s="860"/>
      <c r="G2" s="861"/>
      <c r="H2" s="1003"/>
      <c r="I2" s="1003"/>
      <c r="J2" s="1003"/>
      <c r="K2" s="1004"/>
      <c r="L2" s="1003"/>
      <c r="M2" s="1003"/>
    </row>
    <row r="3" spans="1:33" ht="18" customHeight="1">
      <c r="A3" s="1251" t="s">
        <v>1272</v>
      </c>
      <c r="B3" s="1252">
        <f ca="1">IF(ISERROR(B2*10000/F43),0,ROUND(B2*10000/F43,0))</f>
        <v>23547</v>
      </c>
      <c r="C3" s="1003"/>
      <c r="D3" s="859"/>
      <c r="E3" s="860"/>
      <c r="F3" s="860"/>
      <c r="G3" s="861"/>
      <c r="H3" s="865" t="s">
        <v>1328</v>
      </c>
      <c r="I3" s="862"/>
      <c r="J3" s="862"/>
      <c r="K3" s="1284"/>
      <c r="L3" s="862"/>
      <c r="M3" s="862"/>
    </row>
    <row r="4" spans="1:33" ht="18" customHeight="1">
      <c r="A4" s="1253" t="s">
        <v>1329</v>
      </c>
      <c r="B4" s="1254" t="s">
        <v>1330</v>
      </c>
      <c r="C4" s="1254" t="s">
        <v>1331</v>
      </c>
      <c r="D4" s="1254" t="s">
        <v>1332</v>
      </c>
      <c r="E4" s="871" t="s">
        <v>1333</v>
      </c>
      <c r="F4" s="872"/>
      <c r="G4" s="873"/>
      <c r="H4" s="1253" t="s">
        <v>1329</v>
      </c>
      <c r="I4" s="1254" t="s">
        <v>1330</v>
      </c>
      <c r="J4" s="1254" t="s">
        <v>1331</v>
      </c>
      <c r="K4" s="1254" t="s">
        <v>1332</v>
      </c>
      <c r="L4" s="871" t="s">
        <v>1333</v>
      </c>
      <c r="M4" s="872"/>
    </row>
    <row r="5" spans="1:33" ht="18" customHeight="1">
      <c r="A5" s="874">
        <v>1</v>
      </c>
      <c r="B5" s="875" t="s">
        <v>1334</v>
      </c>
      <c r="C5" s="1255">
        <f ca="1">C6+C10+C12</f>
        <v>1545</v>
      </c>
      <c r="D5" s="876" t="s">
        <v>1335</v>
      </c>
      <c r="E5" s="877"/>
      <c r="F5" s="878"/>
      <c r="G5" s="873"/>
      <c r="H5" s="874">
        <v>1</v>
      </c>
      <c r="I5" s="875" t="s">
        <v>1334</v>
      </c>
      <c r="J5" s="1255">
        <f ca="1">J6+J10+J12</f>
        <v>0</v>
      </c>
      <c r="K5" s="876" t="s">
        <v>1335</v>
      </c>
      <c r="L5" s="877"/>
      <c r="M5" s="878"/>
    </row>
    <row r="6" spans="1:33" ht="18" customHeight="1">
      <c r="A6" s="879" t="s">
        <v>851</v>
      </c>
      <c r="B6" s="3426" t="s">
        <v>1336</v>
      </c>
      <c r="C6" s="1005">
        <f ca="1">ROUND(F6*F8*F7*(1-F9)/10000,0)</f>
        <v>1545</v>
      </c>
      <c r="D6" s="1256" t="s">
        <v>1337</v>
      </c>
      <c r="E6" s="918" t="s">
        <v>1338</v>
      </c>
      <c r="F6" s="883">
        <f ca="1">INDIRECT("'数据-取费表'!u"&amp;$G$1)</f>
        <v>4.5999999999999996</v>
      </c>
      <c r="G6" s="873"/>
      <c r="H6" s="884" t="s">
        <v>851</v>
      </c>
      <c r="I6" s="3426" t="s">
        <v>1336</v>
      </c>
      <c r="J6" s="1005">
        <f ca="1">ROUND(M6*M8*M7*(1-M9)/10000,0)</f>
        <v>0</v>
      </c>
      <c r="K6" s="954" t="s">
        <v>1339</v>
      </c>
      <c r="L6" s="918" t="s">
        <v>1338</v>
      </c>
      <c r="M6" s="883">
        <f ca="1">INDIRECT("'数据-取费表'!z"&amp;$G$1)</f>
        <v>0</v>
      </c>
    </row>
    <row r="7" spans="1:33" ht="18" customHeight="1">
      <c r="A7" s="885"/>
      <c r="B7" s="3427"/>
      <c r="C7" s="1006"/>
      <c r="D7" s="901"/>
      <c r="E7" s="918" t="s">
        <v>1340</v>
      </c>
      <c r="F7" s="883">
        <f ca="1">IF(INDIRECT("'数据-取费表'!ah"&amp;$G$1)="",INDIRECT("'数据-取费表'!k"&amp;$G$1),INDIRECT("'数据-取费表'!ah"&amp;$G$1))</f>
        <v>10227.120000000001</v>
      </c>
      <c r="G7" s="873"/>
      <c r="H7" s="888"/>
      <c r="I7" s="3427"/>
      <c r="J7" s="1006"/>
      <c r="K7" s="901"/>
      <c r="L7" s="918" t="s">
        <v>1340</v>
      </c>
      <c r="M7" s="883">
        <f ca="1">F7</f>
        <v>10227.120000000001</v>
      </c>
    </row>
    <row r="8" spans="1:33" ht="18" customHeight="1">
      <c r="A8" s="889"/>
      <c r="B8" s="3428"/>
      <c r="C8" s="1006"/>
      <c r="D8" s="901"/>
      <c r="E8" s="918" t="s">
        <v>1341</v>
      </c>
      <c r="F8" s="883">
        <f ca="1">INDIRECT("'数据-取费表'!ai"&amp;$G$1)</f>
        <v>365</v>
      </c>
      <c r="G8" s="873"/>
      <c r="H8" s="888"/>
      <c r="I8" s="3428"/>
      <c r="J8" s="1006"/>
      <c r="K8" s="901"/>
      <c r="L8" s="918" t="s">
        <v>1341</v>
      </c>
      <c r="M8" s="883">
        <f ca="1">INDIRECT("'数据-取费表'!ai"&amp;$G$1)</f>
        <v>365</v>
      </c>
    </row>
    <row r="9" spans="1:33" ht="18" customHeight="1">
      <c r="A9" s="890"/>
      <c r="B9" s="3429"/>
      <c r="C9" s="1006"/>
      <c r="D9" s="901"/>
      <c r="E9" s="918" t="s">
        <v>1342</v>
      </c>
      <c r="F9" s="891">
        <f ca="1">INDIRECT("'数据-取费表'!w"&amp;$G$1)</f>
        <v>0.1</v>
      </c>
      <c r="G9" s="873"/>
      <c r="H9" s="892"/>
      <c r="I9" s="3428"/>
      <c r="J9" s="1006"/>
      <c r="K9" s="901"/>
      <c r="L9" s="915" t="s">
        <v>1342</v>
      </c>
      <c r="M9" s="902">
        <f ca="1">INDIRECT("'数据-取费表'!ab"&amp;$G$1)</f>
        <v>0</v>
      </c>
    </row>
    <row r="10" spans="1:33" ht="18" customHeight="1">
      <c r="A10" s="879" t="s">
        <v>853</v>
      </c>
      <c r="B10" s="893" t="s">
        <v>1343</v>
      </c>
      <c r="C10" s="120">
        <f ca="1">ROUND(IF(F10="押一",C6/12*F11,IF(F10="押二",C6/12*2*F11,IF(F10="押三",C6/12*3*F11,C11*F11))),0)</f>
        <v>0</v>
      </c>
      <c r="D10" s="894" t="s">
        <v>1344</v>
      </c>
      <c r="E10" s="895" t="s">
        <v>1345</v>
      </c>
      <c r="F10" s="3174" t="s">
        <v>1346</v>
      </c>
      <c r="G10" s="873"/>
      <c r="H10" s="897" t="s">
        <v>853</v>
      </c>
      <c r="I10" s="1007" t="s">
        <v>1343</v>
      </c>
      <c r="J10" s="1005">
        <f ca="1">ROUND(IF(M10="押一",J6/12*M11,IF(M10="押二",J6/12*2*M11,IF(M10="押三",J6/12*3*M11,J11*M11))),0)</f>
        <v>0</v>
      </c>
      <c r="K10" s="894" t="s">
        <v>1344</v>
      </c>
      <c r="L10" s="895" t="s">
        <v>1345</v>
      </c>
      <c r="M10" s="896"/>
    </row>
    <row r="11" spans="1:33" ht="18" customHeight="1">
      <c r="A11" s="898"/>
      <c r="B11" s="899" t="s">
        <v>1347</v>
      </c>
      <c r="C11" s="900"/>
      <c r="D11" s="901"/>
      <c r="E11" s="895" t="s">
        <v>635</v>
      </c>
      <c r="F11" s="902">
        <f ca="1">'数据-取费表'!B39</f>
        <v>1.4999999999999999E-2</v>
      </c>
      <c r="G11" s="873"/>
      <c r="H11" s="903"/>
      <c r="I11" s="899" t="s">
        <v>1347</v>
      </c>
      <c r="J11" s="900"/>
      <c r="K11" s="1008"/>
      <c r="L11" s="895" t="s">
        <v>635</v>
      </c>
      <c r="M11" s="1009">
        <f ca="1">'数据-取费表'!B39</f>
        <v>1.4999999999999999E-2</v>
      </c>
    </row>
    <row r="12" spans="1:33" ht="18" customHeight="1">
      <c r="A12" s="904" t="s">
        <v>1016</v>
      </c>
      <c r="B12" s="905" t="s">
        <v>1348</v>
      </c>
      <c r="C12" s="906"/>
      <c r="D12" s="907"/>
      <c r="E12" s="908"/>
      <c r="F12" s="909"/>
      <c r="G12" s="873"/>
      <c r="H12" s="910" t="s">
        <v>1016</v>
      </c>
      <c r="I12" s="1010" t="s">
        <v>1348</v>
      </c>
      <c r="J12" s="1011"/>
      <c r="K12" s="907"/>
      <c r="L12" s="908"/>
      <c r="M12" s="1012"/>
    </row>
    <row r="13" spans="1:33" ht="18" customHeight="1">
      <c r="A13" s="911">
        <v>2</v>
      </c>
      <c r="B13" s="912" t="s">
        <v>1349</v>
      </c>
      <c r="C13" s="913">
        <f ca="1">ROUND(C29*F13,0)</f>
        <v>7507</v>
      </c>
      <c r="D13" s="914" t="s">
        <v>1350</v>
      </c>
      <c r="E13" s="914" t="s">
        <v>1351</v>
      </c>
      <c r="F13" s="1257">
        <f ca="1">INDIRECT("'数据-取费表'!y"&amp;$G$1)</f>
        <v>1</v>
      </c>
      <c r="G13" s="873"/>
      <c r="H13" s="911">
        <v>2</v>
      </c>
      <c r="I13" s="912" t="s">
        <v>1349</v>
      </c>
      <c r="J13" s="1013">
        <f ca="1">ROUND(J14*J15,0)</f>
        <v>0</v>
      </c>
      <c r="K13" s="944" t="s">
        <v>1352</v>
      </c>
      <c r="L13" s="1285"/>
      <c r="M13" s="1286"/>
    </row>
    <row r="14" spans="1:33" ht="18" customHeight="1">
      <c r="A14" s="1258" t="s">
        <v>875</v>
      </c>
      <c r="B14" s="918" t="s">
        <v>1023</v>
      </c>
      <c r="C14" s="919">
        <f ca="1">INDIRECT("'数据-取费表'!m"&amp;$G$1)+INDIRECT("'数据-取费表'!t"&amp;$G$1)</f>
        <v>5399</v>
      </c>
      <c r="D14" s="920" t="s">
        <v>1353</v>
      </c>
      <c r="E14" s="921"/>
      <c r="F14" s="922"/>
      <c r="G14" s="873"/>
      <c r="H14" s="1259" t="s">
        <v>851</v>
      </c>
      <c r="I14" s="1016" t="s">
        <v>1354</v>
      </c>
      <c r="J14" s="121">
        <f ca="1">C29</f>
        <v>7507</v>
      </c>
      <c r="K14" s="1017"/>
      <c r="L14" s="1014"/>
      <c r="M14" s="1015"/>
    </row>
    <row r="15" spans="1:33" s="844" customFormat="1" ht="18" customHeight="1">
      <c r="A15" s="1258" t="s">
        <v>880</v>
      </c>
      <c r="B15" s="918" t="s">
        <v>1025</v>
      </c>
      <c r="C15" s="121">
        <f ca="1">ROUND(C14*F15,0)</f>
        <v>162</v>
      </c>
      <c r="D15" s="923" t="s">
        <v>1355</v>
      </c>
      <c r="E15" s="923" t="s">
        <v>1356</v>
      </c>
      <c r="F15" s="924">
        <f>'数据-取费表'!B33</f>
        <v>0.03</v>
      </c>
      <c r="G15" s="925"/>
      <c r="H15" s="910" t="s">
        <v>853</v>
      </c>
      <c r="I15" s="941" t="s">
        <v>1351</v>
      </c>
      <c r="J15" s="1287">
        <f ca="1">INDIRECT("'数据-取费表'!ad"&amp;$G$1)</f>
        <v>0</v>
      </c>
      <c r="K15" s="1288"/>
      <c r="L15" s="1289"/>
      <c r="M15" s="1290"/>
      <c r="N15" s="1019"/>
      <c r="O15" s="1019"/>
      <c r="P15" s="1019"/>
      <c r="Q15" s="1303"/>
      <c r="R15" s="1019"/>
      <c r="S15" s="1019"/>
      <c r="T15" s="1019"/>
      <c r="U15" s="1019"/>
      <c r="V15" s="1019"/>
      <c r="W15" s="1019"/>
      <c r="X15" s="1019"/>
      <c r="Y15" s="1019"/>
      <c r="Z15" s="1019"/>
      <c r="AA15" s="1019"/>
      <c r="AB15" s="1019"/>
      <c r="AC15" s="1019"/>
      <c r="AD15" s="1019"/>
      <c r="AE15" s="1019"/>
      <c r="AF15" s="1019"/>
      <c r="AG15" s="1019"/>
    </row>
    <row r="16" spans="1:33" ht="18" customHeight="1">
      <c r="A16" s="1258" t="s">
        <v>883</v>
      </c>
      <c r="B16" s="918" t="s">
        <v>1028</v>
      </c>
      <c r="C16" s="121">
        <f ca="1">ROUND(INDIRECT("'数据-取费表'!m"&amp;$G$1)*F16,0)</f>
        <v>0</v>
      </c>
      <c r="D16" s="918" t="s">
        <v>1355</v>
      </c>
      <c r="E16" s="918" t="s">
        <v>1356</v>
      </c>
      <c r="F16" s="926">
        <f ca="1">IF(INDIRECT("'数据-取费表'!c"&amp;$G$1)="住宅",'数据-取费表'!B34,0)</f>
        <v>0</v>
      </c>
      <c r="G16" s="873"/>
      <c r="H16" s="911" t="s">
        <v>1357</v>
      </c>
      <c r="I16" s="912" t="s">
        <v>1358</v>
      </c>
      <c r="J16" s="913">
        <f ca="1">ROUND(J17+J22+J23+J24,0)</f>
        <v>744</v>
      </c>
      <c r="K16" s="944" t="s">
        <v>1359</v>
      </c>
      <c r="L16" s="945"/>
      <c r="M16" s="878"/>
    </row>
    <row r="17" spans="1:33" s="844" customFormat="1" ht="18" customHeight="1">
      <c r="A17" s="1258" t="s">
        <v>1360</v>
      </c>
      <c r="B17" s="918" t="s">
        <v>1361</v>
      </c>
      <c r="C17" s="121">
        <f ca="1">ROUND(F17*(F43+INDIRECT("'数据-取费表'!S"&amp;$G$1))/10000,0)</f>
        <v>221</v>
      </c>
      <c r="D17" s="918" t="s">
        <v>1362</v>
      </c>
      <c r="E17" s="918" t="s">
        <v>1363</v>
      </c>
      <c r="F17" s="928">
        <f>'数据-取费表'!B35</f>
        <v>200</v>
      </c>
      <c r="G17" s="925"/>
      <c r="H17" s="1259" t="s">
        <v>851</v>
      </c>
      <c r="I17" s="918" t="s">
        <v>1364</v>
      </c>
      <c r="J17" s="121">
        <f ca="1">ROUND(IF(项目基本情况!B11="自然人",J5*M17,J18+J19+J20),0)</f>
        <v>631</v>
      </c>
      <c r="K17" s="920" t="s">
        <v>1365</v>
      </c>
      <c r="L17" s="948" t="s">
        <v>1366</v>
      </c>
      <c r="M17" s="949" t="str">
        <f ca="1">IF(项目基本情况!B11="企业","",IF(INDIRECT("'数据-取费表'!c"&amp;$G$1)="住宅",5%,IF(M6*M7*M8/12/(1+'数据-取费表'!C42)&gt;20000,12%,7%)))</f>
        <v/>
      </c>
      <c r="N17" s="1019"/>
      <c r="O17" s="1019"/>
      <c r="P17" s="1019"/>
      <c r="Q17" s="1303"/>
      <c r="R17" s="1019"/>
      <c r="S17" s="1019"/>
      <c r="T17" s="1019"/>
      <c r="U17" s="1019"/>
      <c r="V17" s="1019"/>
      <c r="W17" s="1019"/>
      <c r="X17" s="1019"/>
      <c r="Y17" s="1019"/>
      <c r="Z17" s="1019"/>
      <c r="AA17" s="1019"/>
      <c r="AB17" s="1019"/>
      <c r="AC17" s="1019"/>
      <c r="AD17" s="1019"/>
      <c r="AE17" s="1019"/>
      <c r="AF17" s="1019"/>
      <c r="AG17" s="1019"/>
    </row>
    <row r="18" spans="1:33" s="844" customFormat="1" ht="18" customHeight="1">
      <c r="A18" s="1258" t="s">
        <v>1367</v>
      </c>
      <c r="B18" s="918" t="s">
        <v>1033</v>
      </c>
      <c r="C18" s="121">
        <f ca="1">ROUND(C14*F18,0)</f>
        <v>81</v>
      </c>
      <c r="D18" s="918" t="s">
        <v>1355</v>
      </c>
      <c r="E18" s="918" t="s">
        <v>1356</v>
      </c>
      <c r="F18" s="926">
        <f>'数据-取费表'!B36</f>
        <v>1.4999999999999999E-2</v>
      </c>
      <c r="G18" s="925"/>
      <c r="H18" s="1258" t="s">
        <v>875</v>
      </c>
      <c r="I18" s="918" t="s">
        <v>1368</v>
      </c>
      <c r="J18" s="121">
        <f ca="1">ROUND(J5*M18/1.05,1)</f>
        <v>0</v>
      </c>
      <c r="K18" s="948" t="s">
        <v>1369</v>
      </c>
      <c r="L18" s="918" t="s">
        <v>1356</v>
      </c>
      <c r="M18" s="926">
        <f>'数据-取费表'!B41</f>
        <v>5.6000000000000001E-2</v>
      </c>
      <c r="N18" s="1019"/>
      <c r="O18" s="1019"/>
      <c r="P18" s="1019"/>
      <c r="Q18" s="1303"/>
      <c r="R18" s="1019"/>
      <c r="S18" s="1019"/>
      <c r="T18" s="1019"/>
      <c r="U18" s="1019"/>
      <c r="V18" s="1019"/>
      <c r="W18" s="1019"/>
      <c r="X18" s="1019"/>
      <c r="Y18" s="1019"/>
      <c r="Z18" s="1019"/>
      <c r="AA18" s="1019"/>
      <c r="AB18" s="1019"/>
      <c r="AC18" s="1019"/>
      <c r="AD18" s="1019"/>
      <c r="AE18" s="1019"/>
      <c r="AF18" s="1019"/>
      <c r="AG18" s="1019"/>
    </row>
    <row r="19" spans="1:33" ht="18" customHeight="1">
      <c r="A19" s="1259" t="s">
        <v>851</v>
      </c>
      <c r="B19" s="918" t="s">
        <v>1370</v>
      </c>
      <c r="C19" s="121">
        <f ca="1">SUM(C14:C18)</f>
        <v>5863</v>
      </c>
      <c r="D19" s="929" t="s">
        <v>1371</v>
      </c>
      <c r="E19" s="123"/>
      <c r="F19" s="928"/>
      <c r="G19" s="873"/>
      <c r="H19" s="1258" t="s">
        <v>880</v>
      </c>
      <c r="I19" s="918" t="s">
        <v>1372</v>
      </c>
      <c r="J19" s="121">
        <f ca="1">IF(K19="按租金收入计税",ROUND(J5*M19,1),ROUND(C29*F33*0.7,1))</f>
        <v>630.6</v>
      </c>
      <c r="K19" s="951" t="s">
        <v>1373</v>
      </c>
      <c r="L19" s="918" t="s">
        <v>1356</v>
      </c>
      <c r="M19" s="926">
        <f>IF(K19="按租金收入计税",'数据-取费表'!B51,'数据-取费表'!B50)</f>
        <v>1.2E-2</v>
      </c>
    </row>
    <row r="20" spans="1:33" s="844" customFormat="1" ht="18" customHeight="1">
      <c r="A20" s="1259" t="s">
        <v>853</v>
      </c>
      <c r="B20" s="918" t="s">
        <v>1374</v>
      </c>
      <c r="C20" s="121">
        <f ca="1">ROUND(C19*F20,0)</f>
        <v>88</v>
      </c>
      <c r="D20" s="930" t="s">
        <v>1375</v>
      </c>
      <c r="E20" s="918" t="s">
        <v>1356</v>
      </c>
      <c r="F20" s="926">
        <f>'数据-取费表'!B37</f>
        <v>1.4999999999999999E-2</v>
      </c>
      <c r="G20" s="925"/>
      <c r="H20" s="1260" t="s">
        <v>883</v>
      </c>
      <c r="I20" s="954" t="s">
        <v>1376</v>
      </c>
      <c r="J20" s="955">
        <f ca="1">ROUND(M20*M21/10000,0)</f>
        <v>0</v>
      </c>
      <c r="K20" s="956" t="s">
        <v>1377</v>
      </c>
      <c r="L20" s="918" t="s">
        <v>1378</v>
      </c>
      <c r="M20" s="936">
        <f>'数据-取费表'!B52</f>
        <v>5</v>
      </c>
      <c r="N20" s="1019"/>
      <c r="O20" s="1019"/>
      <c r="P20" s="1019"/>
      <c r="Q20" s="1303"/>
      <c r="R20" s="1019"/>
      <c r="S20" s="1019"/>
      <c r="T20" s="1019"/>
      <c r="U20" s="1019"/>
      <c r="V20" s="1019"/>
      <c r="W20" s="1019"/>
      <c r="X20" s="1019"/>
      <c r="Y20" s="1019"/>
      <c r="Z20" s="1019"/>
      <c r="AA20" s="1019"/>
      <c r="AB20" s="1019"/>
      <c r="AC20" s="1019"/>
      <c r="AD20" s="1019"/>
      <c r="AE20" s="1019"/>
      <c r="AF20" s="1019"/>
      <c r="AG20" s="1019"/>
    </row>
    <row r="21" spans="1:33" s="844" customFormat="1" ht="18" customHeight="1">
      <c r="A21" s="1259" t="s">
        <v>1016</v>
      </c>
      <c r="B21" s="918" t="s">
        <v>1379</v>
      </c>
      <c r="C21" s="121" t="s">
        <v>138</v>
      </c>
      <c r="D21" s="930" t="s">
        <v>1380</v>
      </c>
      <c r="E21" s="918" t="s">
        <v>1381</v>
      </c>
      <c r="F21" s="926">
        <f>'数据-取费表'!B38</f>
        <v>1.4999999999999999E-2</v>
      </c>
      <c r="G21" s="925"/>
      <c r="H21" s="1261"/>
      <c r="I21" s="958"/>
      <c r="J21" s="959"/>
      <c r="K21" s="960"/>
      <c r="L21" s="918" t="s">
        <v>1382</v>
      </c>
      <c r="M21" s="883">
        <f ca="1">INDIRECT("'数据-取费表'!r"&amp;$G$1)</f>
        <v>912.75</v>
      </c>
      <c r="N21" s="1019"/>
      <c r="O21" s="1019"/>
      <c r="P21" s="1019"/>
      <c r="Q21" s="1303"/>
      <c r="R21" s="1019"/>
      <c r="S21" s="1019"/>
      <c r="T21" s="1019"/>
      <c r="U21" s="1019"/>
      <c r="V21" s="1019"/>
      <c r="W21" s="1019"/>
      <c r="X21" s="1019"/>
      <c r="Y21" s="1019"/>
      <c r="Z21" s="1019"/>
      <c r="AA21" s="1019"/>
      <c r="AB21" s="1019"/>
      <c r="AC21" s="1019"/>
      <c r="AD21" s="1019"/>
      <c r="AE21" s="1019"/>
      <c r="AF21" s="1019"/>
      <c r="AG21" s="1019"/>
    </row>
    <row r="22" spans="1:33" ht="18" customHeight="1">
      <c r="A22" s="1259" t="s">
        <v>1383</v>
      </c>
      <c r="B22" s="918" t="s">
        <v>1384</v>
      </c>
      <c r="C22" s="121"/>
      <c r="D22" s="933" t="str">
        <f>IF(F23&lt;=1,"单利计息。","复利计息。")&amp;"建造成本、管理费用、销售费用产生的利息。"</f>
        <v>复利计息。建造成本、管理费用、销售费用产生的利息。</v>
      </c>
      <c r="E22" s="123"/>
      <c r="F22" s="928"/>
      <c r="G22" s="873"/>
      <c r="H22" s="1259" t="s">
        <v>853</v>
      </c>
      <c r="I22" s="918" t="s">
        <v>1385</v>
      </c>
      <c r="J22" s="121">
        <f ca="1">ROUND(J14*M22,0)</f>
        <v>113</v>
      </c>
      <c r="K22" s="948" t="s">
        <v>1386</v>
      </c>
      <c r="L22" s="918" t="s">
        <v>1356</v>
      </c>
      <c r="M22" s="961">
        <f ca="1">INDIRECT("'数据-取费表'!Ak"&amp;$G$1)</f>
        <v>1.4999999999999999E-2</v>
      </c>
    </row>
    <row r="23" spans="1:33" s="844" customFormat="1" ht="18" customHeight="1">
      <c r="A23" s="1258" t="s">
        <v>875</v>
      </c>
      <c r="B23" s="918" t="s">
        <v>1387</v>
      </c>
      <c r="C23" s="121">
        <f ca="1">ROUND(IF('数据-取费表'!B22&lt;=1,(C19+C20)*F24*F23/2,(C19+C20)*(POWER((1+F24),F23/2)-1)),0)</f>
        <v>429</v>
      </c>
      <c r="D23" s="935" t="str">
        <f>IF(F23&lt;=1,"(建造成本+管理费用)×利率×(建设周期÷2)","(建造成本+管理费用)×((1+利率)^(建设周期÷2)-1)")</f>
        <v>(建造成本+管理费用)×((1+利率)^(建设周期÷2)-1)</v>
      </c>
      <c r="E23" s="918" t="s">
        <v>1388</v>
      </c>
      <c r="F23" s="936">
        <f>'数据-取费表'!B20</f>
        <v>3</v>
      </c>
      <c r="G23" s="925"/>
      <c r="H23" s="1259" t="s">
        <v>1016</v>
      </c>
      <c r="I23" s="918" t="s">
        <v>1389</v>
      </c>
      <c r="J23" s="121">
        <f ca="1">ROUND(J13*M23,0)</f>
        <v>0</v>
      </c>
      <c r="K23" s="948" t="s">
        <v>1390</v>
      </c>
      <c r="L23" s="918" t="s">
        <v>1356</v>
      </c>
      <c r="M23" s="962">
        <f ca="1">INDIRECT("'数据-取费表'!Al"&amp;$G$1)</f>
        <v>1.5E-3</v>
      </c>
      <c r="N23" s="1019"/>
      <c r="O23" s="1019"/>
      <c r="P23" s="1019"/>
      <c r="Q23" s="1303"/>
      <c r="R23" s="1019"/>
      <c r="S23" s="1019"/>
      <c r="T23" s="1019"/>
      <c r="U23" s="1019"/>
      <c r="V23" s="1019"/>
      <c r="W23" s="1019"/>
      <c r="X23" s="1019"/>
      <c r="Y23" s="1019"/>
      <c r="Z23" s="1019"/>
      <c r="AA23" s="1019"/>
      <c r="AB23" s="1019"/>
      <c r="AC23" s="1019"/>
      <c r="AD23" s="1019"/>
      <c r="AE23" s="1019"/>
      <c r="AF23" s="1019"/>
      <c r="AG23" s="1019"/>
    </row>
    <row r="24" spans="1:33" s="844" customFormat="1" ht="18" customHeight="1">
      <c r="A24" s="1258" t="s">
        <v>880</v>
      </c>
      <c r="B24" s="918" t="s">
        <v>1391</v>
      </c>
      <c r="C24" s="121">
        <f ca="1">ROUND(IF('数据-取费表'!B22&lt;=1,F21*F24*F23/2,F21*(POWER((1+F24),F23/2)-1)),4)</f>
        <v>1.1000000000000001E-3</v>
      </c>
      <c r="D24" s="935" t="str">
        <f>IF(F23&lt;=1,"销售费用×利率×(建设周期÷2)","销售费用×((1+利率)^(建设周期÷2)-1)")</f>
        <v>销售费用×((1+利率)^(建设周期÷2)-1)</v>
      </c>
      <c r="E24" s="918" t="s">
        <v>1392</v>
      </c>
      <c r="F24" s="937">
        <f ca="1">'数据-取费表'!B40</f>
        <v>4.7500000000000001E-2</v>
      </c>
      <c r="G24" s="925"/>
      <c r="H24" s="910" t="s">
        <v>1383</v>
      </c>
      <c r="I24" s="941" t="s">
        <v>1374</v>
      </c>
      <c r="J24" s="939">
        <f ca="1">ROUND(J5*M24,0)</f>
        <v>0</v>
      </c>
      <c r="K24" s="940" t="s">
        <v>1393</v>
      </c>
      <c r="L24" s="941" t="s">
        <v>1356</v>
      </c>
      <c r="M24" s="909">
        <f ca="1">INDIRECT("'数据-取费表'!Am"&amp;$G$1)</f>
        <v>1.4999999999999999E-2</v>
      </c>
      <c r="N24" s="1019"/>
      <c r="O24" s="1019"/>
      <c r="P24" s="1019"/>
      <c r="Q24" s="1303"/>
      <c r="R24" s="1019"/>
      <c r="S24" s="1019"/>
      <c r="T24" s="1019"/>
      <c r="U24" s="1019"/>
      <c r="V24" s="1019"/>
      <c r="W24" s="1019"/>
      <c r="X24" s="1019"/>
      <c r="Y24" s="1019"/>
      <c r="Z24" s="1019"/>
      <c r="AA24" s="1019"/>
      <c r="AB24" s="1019"/>
      <c r="AC24" s="1019"/>
      <c r="AD24" s="1019"/>
      <c r="AE24" s="1019"/>
      <c r="AF24" s="1019"/>
      <c r="AG24" s="1019"/>
    </row>
    <row r="25" spans="1:33" ht="18" customHeight="1">
      <c r="A25" s="1262" t="s">
        <v>908</v>
      </c>
      <c r="B25" s="918" t="s">
        <v>1394</v>
      </c>
      <c r="C25" s="121"/>
      <c r="D25" s="929" t="s">
        <v>1395</v>
      </c>
      <c r="E25" s="123"/>
      <c r="F25" s="928"/>
      <c r="G25" s="873"/>
      <c r="H25" s="911" t="s">
        <v>1396</v>
      </c>
      <c r="I25" s="1266" t="s">
        <v>1397</v>
      </c>
      <c r="J25" s="913">
        <f ca="1">J5-J16</f>
        <v>-744</v>
      </c>
      <c r="K25" s="1267" t="s">
        <v>1398</v>
      </c>
      <c r="L25" s="1268"/>
      <c r="M25" s="1269"/>
    </row>
    <row r="26" spans="1:33" ht="18" customHeight="1">
      <c r="A26" s="1258" t="s">
        <v>875</v>
      </c>
      <c r="B26" s="918" t="s">
        <v>1399</v>
      </c>
      <c r="C26" s="121">
        <f ca="1">ROUND((C19+C20)*F26,0)</f>
        <v>595</v>
      </c>
      <c r="D26" s="930" t="s">
        <v>1400</v>
      </c>
      <c r="E26" s="915" t="s">
        <v>1401</v>
      </c>
      <c r="F26" s="891">
        <f ca="1">INDIRECT("'数据-取费表'!q"&amp;$G$1)</f>
        <v>0.1</v>
      </c>
      <c r="G26" s="873"/>
      <c r="H26" s="1263" t="s">
        <v>1402</v>
      </c>
      <c r="I26" s="1270" t="s">
        <v>1403</v>
      </c>
      <c r="J26" s="1005">
        <f ca="1">IF(J5&lt;&gt;0,ROUND(J25*(1-((1+M28)/(1+M26))^M27)/(M26-M28),0),0)</f>
        <v>0</v>
      </c>
      <c r="K26" s="956" t="s">
        <v>1404</v>
      </c>
      <c r="L26" s="918" t="s">
        <v>1405</v>
      </c>
      <c r="M26" s="891">
        <f ca="1">INDIRECT("'数据-取费表'!I"&amp;$G$1)</f>
        <v>5.5E-2</v>
      </c>
    </row>
    <row r="27" spans="1:33" ht="18" customHeight="1">
      <c r="A27" s="1258" t="s">
        <v>880</v>
      </c>
      <c r="B27" s="918" t="s">
        <v>1406</v>
      </c>
      <c r="C27" s="121">
        <f ca="1">ROUND(F21*F26,4)</f>
        <v>1.5E-3</v>
      </c>
      <c r="D27" s="930" t="s">
        <v>1407</v>
      </c>
      <c r="E27" s="923"/>
      <c r="F27" s="924"/>
      <c r="G27" s="873"/>
      <c r="H27" s="1264"/>
      <c r="I27" s="1023"/>
      <c r="J27" s="1006"/>
      <c r="K27" s="1024" t="s">
        <v>1408</v>
      </c>
      <c r="L27" s="918" t="s">
        <v>1409</v>
      </c>
      <c r="M27" s="1025">
        <f ca="1">INDIRECT("'数据-取费表'!ag"&amp;$G$1)</f>
        <v>0</v>
      </c>
    </row>
    <row r="28" spans="1:33" s="844" customFormat="1" ht="18" customHeight="1">
      <c r="A28" s="1262" t="s">
        <v>909</v>
      </c>
      <c r="B28" s="918" t="s">
        <v>1410</v>
      </c>
      <c r="C28" s="121">
        <f>ROUND(F28/(1+'数据-取费表'!C42),4)</f>
        <v>5.33E-2</v>
      </c>
      <c r="D28" s="930" t="s">
        <v>1411</v>
      </c>
      <c r="E28" s="918" t="s">
        <v>1356</v>
      </c>
      <c r="F28" s="926">
        <f>'数据-取费表'!B41</f>
        <v>5.6000000000000001E-2</v>
      </c>
      <c r="G28" s="925"/>
      <c r="H28" s="911"/>
      <c r="I28" s="1026"/>
      <c r="J28" s="913"/>
      <c r="K28" s="960"/>
      <c r="L28" s="918" t="s">
        <v>1412</v>
      </c>
      <c r="M28" s="891">
        <f ca="1">INDIRECT("'数据-取费表'!aa"&amp;$G$1)</f>
        <v>0</v>
      </c>
      <c r="N28" s="1019"/>
      <c r="O28" s="1019"/>
      <c r="P28" s="1019"/>
      <c r="Q28" s="1303"/>
      <c r="R28" s="1019"/>
      <c r="S28" s="1019"/>
      <c r="T28" s="1019"/>
      <c r="U28" s="1019"/>
      <c r="V28" s="1019"/>
      <c r="W28" s="1019"/>
      <c r="X28" s="1019"/>
      <c r="Y28" s="1019"/>
      <c r="Z28" s="1019"/>
      <c r="AA28" s="1019"/>
      <c r="AB28" s="1019"/>
      <c r="AC28" s="1019"/>
      <c r="AD28" s="1019"/>
      <c r="AE28" s="1019"/>
      <c r="AF28" s="1019"/>
      <c r="AG28" s="1019"/>
    </row>
    <row r="29" spans="1:33" s="844" customFormat="1" ht="18" customHeight="1">
      <c r="A29" s="1265" t="s">
        <v>1091</v>
      </c>
      <c r="B29" s="908" t="s">
        <v>1413</v>
      </c>
      <c r="C29" s="939">
        <f ca="1">ROUND((C19+C20+C23+C26)/(1-F21-C24-C27-C28),0)</f>
        <v>7507</v>
      </c>
      <c r="D29" s="940"/>
      <c r="E29" s="941"/>
      <c r="F29" s="942"/>
      <c r="G29" s="925"/>
      <c r="H29" s="943" t="s">
        <v>1414</v>
      </c>
      <c r="I29" s="1271" t="s">
        <v>1415</v>
      </c>
      <c r="J29" s="1028">
        <f ca="1">ROUND(J26/(1+F40)^F41,0)</f>
        <v>0</v>
      </c>
      <c r="K29" s="1029" t="s">
        <v>1416</v>
      </c>
      <c r="L29" s="1030"/>
      <c r="M29" s="986">
        <f ca="1">INDIRECT("'数据-取费表'!k"&amp;$G$1)</f>
        <v>10227.120000000001</v>
      </c>
      <c r="N29" s="1019"/>
      <c r="O29" s="1019"/>
      <c r="P29" s="1019"/>
      <c r="Q29" s="1303"/>
      <c r="R29" s="1019"/>
      <c r="S29" s="1019"/>
      <c r="T29" s="1019"/>
      <c r="U29" s="1019"/>
      <c r="V29" s="1019"/>
      <c r="W29" s="1019"/>
      <c r="X29" s="1019"/>
      <c r="Y29" s="1019"/>
      <c r="Z29" s="1019"/>
      <c r="AA29" s="1019"/>
      <c r="AB29" s="1019"/>
      <c r="AC29" s="1019"/>
      <c r="AD29" s="1019"/>
      <c r="AE29" s="1019"/>
      <c r="AF29" s="1019"/>
      <c r="AG29" s="1019"/>
    </row>
    <row r="30" spans="1:33" ht="18" customHeight="1">
      <c r="A30" s="911" t="s">
        <v>1357</v>
      </c>
      <c r="B30" s="912" t="s">
        <v>1358</v>
      </c>
      <c r="C30" s="913">
        <f ca="1">ROUND(C31+C36+C37+C38,0)</f>
        <v>415</v>
      </c>
      <c r="D30" s="944" t="s">
        <v>1359</v>
      </c>
      <c r="E30" s="945"/>
      <c r="F30" s="878"/>
      <c r="G30" s="946"/>
      <c r="H30" s="947"/>
      <c r="I30" s="1031"/>
      <c r="J30" s="1032"/>
      <c r="K30" s="1033"/>
      <c r="L30" s="1034"/>
      <c r="M30" s="1035"/>
    </row>
    <row r="31" spans="1:33" ht="18" customHeight="1">
      <c r="A31" s="1259" t="s">
        <v>851</v>
      </c>
      <c r="B31" s="918" t="s">
        <v>1364</v>
      </c>
      <c r="C31" s="121">
        <f ca="1">ROUND(IF(项目基本情况!B11="自然人",C5*F31,C32+C33+C34),1)</f>
        <v>268.3</v>
      </c>
      <c r="D31" s="920" t="s">
        <v>1365</v>
      </c>
      <c r="E31" s="948" t="s">
        <v>1366</v>
      </c>
      <c r="F31" s="949" t="str">
        <f ca="1">IF(项目基本情况!B11="企业","",IF(INDIRECT("'数据-取费表'!c"&amp;$G$1)="住宅",5%,IF(F6*F7*F8/12/(1+'数据-取费表'!C42)&gt;20000,12%,7%)))</f>
        <v/>
      </c>
      <c r="G31" s="946"/>
      <c r="H31" s="947"/>
      <c r="I31" s="1031"/>
      <c r="J31" s="1032"/>
      <c r="K31" s="1033"/>
      <c r="L31" s="1034"/>
      <c r="M31" s="1035"/>
    </row>
    <row r="32" spans="1:33" ht="18" customHeight="1">
      <c r="A32" s="1258" t="s">
        <v>875</v>
      </c>
      <c r="B32" s="918" t="s">
        <v>1368</v>
      </c>
      <c r="C32" s="121">
        <f ca="1">ROUND(C5*F32/1.05,1)</f>
        <v>82.4</v>
      </c>
      <c r="D32" s="948" t="s">
        <v>1369</v>
      </c>
      <c r="E32" s="918" t="s">
        <v>1356</v>
      </c>
      <c r="F32" s="926">
        <f>'数据-取费表'!B41</f>
        <v>5.6000000000000001E-2</v>
      </c>
      <c r="G32" s="946"/>
      <c r="H32" s="950"/>
      <c r="I32" s="1036"/>
      <c r="J32" s="1037"/>
      <c r="K32" s="1038"/>
      <c r="L32" s="1039"/>
      <c r="M32" s="1040"/>
    </row>
    <row r="33" spans="1:18" ht="18" customHeight="1">
      <c r="A33" s="1258" t="s">
        <v>880</v>
      </c>
      <c r="B33" s="918" t="s">
        <v>1372</v>
      </c>
      <c r="C33" s="121">
        <f ca="1">IF(D33="按租金收入计税",ROUND(C5*F33,1),IF(D33="按房产原值计税",ROUND(C29*F33*0.7,1),INDIRECT("'数据-取费表'!Aj"&amp;$G$1)))</f>
        <v>185.4</v>
      </c>
      <c r="D33" s="951" t="s">
        <v>1417</v>
      </c>
      <c r="E33" s="918" t="s">
        <v>1356</v>
      </c>
      <c r="F33" s="926">
        <f>IF(D33="按租金收入计税",'数据-取费表'!B51,'数据-取费表'!B50)</f>
        <v>0.12</v>
      </c>
      <c r="G33" s="946"/>
      <c r="H33" s="952"/>
      <c r="I33" s="952"/>
      <c r="J33" s="952"/>
      <c r="K33" s="1041"/>
      <c r="L33" s="952"/>
      <c r="M33" s="952"/>
    </row>
    <row r="34" spans="1:18" ht="18" customHeight="1">
      <c r="A34" s="1260" t="s">
        <v>883</v>
      </c>
      <c r="B34" s="954" t="s">
        <v>1376</v>
      </c>
      <c r="C34" s="3175">
        <f ca="1">ROUND(F34*F35/10000,1)</f>
        <v>0.5</v>
      </c>
      <c r="D34" s="956" t="s">
        <v>1377</v>
      </c>
      <c r="E34" s="918" t="s">
        <v>1378</v>
      </c>
      <c r="F34" s="936">
        <f>'数据-取费表'!B52</f>
        <v>5</v>
      </c>
      <c r="G34" s="946"/>
      <c r="H34" s="947"/>
      <c r="I34" s="966" t="s">
        <v>1418</v>
      </c>
      <c r="J34" s="970"/>
      <c r="K34" s="1044"/>
      <c r="L34" s="1043"/>
      <c r="M34" s="1043"/>
    </row>
    <row r="35" spans="1:18" ht="18" customHeight="1">
      <c r="A35" s="957"/>
      <c r="B35" s="958"/>
      <c r="C35" s="959"/>
      <c r="D35" s="960"/>
      <c r="E35" s="918" t="s">
        <v>1382</v>
      </c>
      <c r="F35" s="883">
        <f ca="1">INDIRECT("'数据-取费表'!r"&amp;$G$1)</f>
        <v>912.75</v>
      </c>
      <c r="G35" s="946"/>
      <c r="H35" s="947"/>
      <c r="I35" s="1291" t="s">
        <v>1419</v>
      </c>
      <c r="J35" s="1292">
        <f ca="1">ROUND(C13*J36,0)</f>
        <v>601</v>
      </c>
      <c r="K35" s="1041"/>
      <c r="L35" s="952"/>
      <c r="M35" s="952"/>
    </row>
    <row r="36" spans="1:18" ht="18" customHeight="1">
      <c r="A36" s="1259" t="s">
        <v>853</v>
      </c>
      <c r="B36" s="918" t="s">
        <v>1385</v>
      </c>
      <c r="C36" s="121">
        <f ca="1">ROUND(C29*F36,1)</f>
        <v>112.6</v>
      </c>
      <c r="D36" s="948" t="s">
        <v>1420</v>
      </c>
      <c r="E36" s="918" t="s">
        <v>1356</v>
      </c>
      <c r="F36" s="961">
        <f ca="1">INDIRECT("'数据-取费表'!Ak"&amp;$G$1)</f>
        <v>1.4999999999999999E-2</v>
      </c>
      <c r="G36" s="946"/>
      <c r="H36" s="952"/>
      <c r="I36" s="1293" t="s">
        <v>1421</v>
      </c>
      <c r="J36" s="1294">
        <f ca="1">INDIRECT("'数据-取费表'!j"&amp;$G$1)</f>
        <v>0.08</v>
      </c>
      <c r="K36" s="1046"/>
      <c r="L36" s="952"/>
      <c r="M36" s="952"/>
    </row>
    <row r="37" spans="1:18" ht="18" customHeight="1">
      <c r="A37" s="1259" t="s">
        <v>1016</v>
      </c>
      <c r="B37" s="918" t="s">
        <v>1389</v>
      </c>
      <c r="C37" s="121">
        <f ca="1">ROUND(C13*F37,1)</f>
        <v>11.3</v>
      </c>
      <c r="D37" s="948" t="s">
        <v>1390</v>
      </c>
      <c r="E37" s="918" t="s">
        <v>1356</v>
      </c>
      <c r="F37" s="962">
        <f ca="1">INDIRECT("'数据-取费表'!Al"&amp;$G$1)</f>
        <v>1.5E-3</v>
      </c>
      <c r="G37" s="946"/>
      <c r="H37" s="952"/>
      <c r="I37" s="1295" t="s">
        <v>1422</v>
      </c>
      <c r="J37" s="1296"/>
      <c r="K37" s="1046"/>
      <c r="L37" s="952"/>
      <c r="M37" s="952"/>
    </row>
    <row r="38" spans="1:18" ht="18" customHeight="1">
      <c r="A38" s="910" t="s">
        <v>1383</v>
      </c>
      <c r="B38" s="941" t="s">
        <v>1374</v>
      </c>
      <c r="C38" s="939">
        <f ca="1">ROUND(C5*F38,1)</f>
        <v>23.2</v>
      </c>
      <c r="D38" s="940" t="s">
        <v>1393</v>
      </c>
      <c r="E38" s="941" t="s">
        <v>1356</v>
      </c>
      <c r="F38" s="909">
        <f ca="1">INDIRECT("'数据-取费表'!Am"&amp;$G$1)</f>
        <v>1.4999999999999999E-2</v>
      </c>
      <c r="G38" s="946"/>
      <c r="H38" s="952"/>
      <c r="I38" s="1297" t="s">
        <v>1423</v>
      </c>
      <c r="J38" s="1298"/>
      <c r="K38" s="1047"/>
      <c r="L38" s="952"/>
      <c r="M38" s="952"/>
    </row>
    <row r="39" spans="1:18" ht="24.6" customHeight="1">
      <c r="A39" s="911" t="s">
        <v>1396</v>
      </c>
      <c r="B39" s="1266" t="s">
        <v>1397</v>
      </c>
      <c r="C39" s="913">
        <f ca="1">C5-C30</f>
        <v>1130</v>
      </c>
      <c r="D39" s="1267" t="s">
        <v>1398</v>
      </c>
      <c r="E39" s="1268"/>
      <c r="F39" s="1269"/>
      <c r="G39" s="946"/>
      <c r="H39" s="952"/>
      <c r="I39" s="1291" t="s">
        <v>1424</v>
      </c>
      <c r="J39" s="1299">
        <f ca="1">ROUND(J35/C39,3)</f>
        <v>0.53200000000000003</v>
      </c>
      <c r="K39" s="1047"/>
      <c r="L39" s="952"/>
      <c r="M39" s="952"/>
    </row>
    <row r="40" spans="1:18" ht="18" customHeight="1">
      <c r="A40" s="874" t="s">
        <v>1402</v>
      </c>
      <c r="B40" s="1270" t="s">
        <v>1425</v>
      </c>
      <c r="C40" s="1005">
        <f ca="1">ROUND(C39*(1-((1+F42)/(1+F40))^F41)/(F40-F42),0)</f>
        <v>24082</v>
      </c>
      <c r="D40" s="956" t="s">
        <v>1404</v>
      </c>
      <c r="E40" s="918" t="s">
        <v>1405</v>
      </c>
      <c r="F40" s="891">
        <f ca="1">INDIRECT("'数据-取费表'!I"&amp;$G$1)</f>
        <v>5.5E-2</v>
      </c>
      <c r="G40" s="946"/>
      <c r="H40" s="946"/>
      <c r="I40" s="1291" t="s">
        <v>1426</v>
      </c>
      <c r="J40" s="1299">
        <f ca="1">1-J39</f>
        <v>0.46799999999999997</v>
      </c>
      <c r="K40" s="1047"/>
      <c r="L40" s="946"/>
      <c r="M40" s="946"/>
    </row>
    <row r="41" spans="1:18" ht="18" customHeight="1">
      <c r="A41" s="890"/>
      <c r="B41" s="1023"/>
      <c r="C41" s="1006"/>
      <c r="D41" s="1024" t="s">
        <v>1408</v>
      </c>
      <c r="E41" s="918" t="s">
        <v>1409</v>
      </c>
      <c r="F41" s="1025">
        <f ca="1">IF(INDIRECT("'数据-取费表'!af"&amp;$G$1)=0,INDIRECT("'数据-取费表'!ae"&amp;$G$1),INDIRECT("'数据-取费表'!af"&amp;$G$1))</f>
        <v>31.729999999999997</v>
      </c>
      <c r="G41" s="946"/>
      <c r="H41" s="1045"/>
      <c r="I41" s="1297" t="s">
        <v>1427</v>
      </c>
      <c r="J41" s="1103"/>
      <c r="K41" s="1046"/>
      <c r="L41" s="1045"/>
      <c r="M41" s="1045"/>
    </row>
    <row r="42" spans="1:18" ht="18" customHeight="1">
      <c r="A42" s="898"/>
      <c r="B42" s="1026"/>
      <c r="C42" s="913"/>
      <c r="D42" s="960"/>
      <c r="E42" s="918" t="s">
        <v>1412</v>
      </c>
      <c r="F42" s="891">
        <f ca="1">INDIRECT("'数据-取费表'!v"&amp;$G$1)</f>
        <v>0.03</v>
      </c>
      <c r="G42" s="946"/>
      <c r="H42" s="1045"/>
      <c r="I42" s="1300" t="s">
        <v>1428</v>
      </c>
      <c r="J42" s="1299">
        <f ca="1">ROUND(C13/C40,3)</f>
        <v>0.312</v>
      </c>
      <c r="K42" s="1046"/>
      <c r="L42" s="1045"/>
      <c r="M42" s="1045"/>
    </row>
    <row r="43" spans="1:18" ht="18" customHeight="1">
      <c r="A43" s="943" t="s">
        <v>1414</v>
      </c>
      <c r="B43" s="1271" t="s">
        <v>1429</v>
      </c>
      <c r="C43" s="1028">
        <f ca="1">ROUND(C40*10000/F43,0)</f>
        <v>23547</v>
      </c>
      <c r="D43" s="1029" t="s">
        <v>1430</v>
      </c>
      <c r="E43" s="1030" t="s">
        <v>1431</v>
      </c>
      <c r="F43" s="986">
        <f ca="1">INDIRECT("'数据-取费表'!k"&amp;$G$1)</f>
        <v>10227.120000000001</v>
      </c>
      <c r="G43" s="946"/>
      <c r="H43" s="1045"/>
      <c r="I43" s="1300" t="s">
        <v>1432</v>
      </c>
      <c r="J43" s="1301">
        <f ca="1">1-J42</f>
        <v>0.68799999999999994</v>
      </c>
      <c r="K43" s="1046"/>
      <c r="L43" s="1045"/>
      <c r="M43" s="1045"/>
    </row>
    <row r="44" spans="1:18" s="609" customFormat="1" ht="18" customHeight="1">
      <c r="A44" s="988"/>
      <c r="B44" s="988"/>
      <c r="C44" s="1272"/>
      <c r="D44" s="988"/>
      <c r="E44" s="988"/>
      <c r="F44" s="988"/>
      <c r="K44" s="1093"/>
      <c r="Q44" s="999"/>
    </row>
    <row r="45" spans="1:18" s="609" customFormat="1" ht="18" customHeight="1">
      <c r="A45" s="988"/>
      <c r="B45" s="988"/>
      <c r="C45" s="1272"/>
      <c r="D45" s="988"/>
      <c r="E45" s="988"/>
      <c r="F45" s="988"/>
      <c r="K45" s="1093"/>
      <c r="Q45" s="999"/>
    </row>
    <row r="46" spans="1:18" s="609" customFormat="1" ht="18" customHeight="1">
      <c r="A46" s="1273" t="s">
        <v>1433</v>
      </c>
      <c r="B46" s="988"/>
      <c r="C46" s="1274">
        <f ca="1">C67-C40</f>
        <v>-25924</v>
      </c>
      <c r="D46" s="988"/>
      <c r="E46" s="988"/>
      <c r="F46" s="988"/>
      <c r="I46" s="1048" t="s">
        <v>1434</v>
      </c>
      <c r="J46" s="1049"/>
      <c r="K46" s="1050"/>
      <c r="L46" s="1051">
        <f>IF(OR(M47="住宅",D1="土地（套用方法）"),0,IF(L48&gt;J51,L60,J60))</f>
        <v>0</v>
      </c>
      <c r="O46" s="1052" t="s">
        <v>1435</v>
      </c>
      <c r="P46" s="873"/>
      <c r="Q46" s="1098"/>
      <c r="R46" s="873"/>
    </row>
    <row r="47" spans="1:18" s="609" customFormat="1" ht="18" customHeight="1">
      <c r="A47" s="1275">
        <v>1</v>
      </c>
      <c r="B47" s="1276" t="s">
        <v>1436</v>
      </c>
      <c r="C47" s="1274">
        <f ca="1">C48+C52+C54</f>
        <v>0</v>
      </c>
      <c r="D47" s="988"/>
      <c r="E47" s="988"/>
      <c r="F47" s="988"/>
      <c r="I47" s="1053" t="s">
        <v>1437</v>
      </c>
      <c r="J47" s="1054" t="s">
        <v>1438</v>
      </c>
      <c r="K47" s="1055" t="s">
        <v>1439</v>
      </c>
      <c r="L47" s="1056">
        <f ca="1">INDIRECT("'数据-取费表'!d"&amp;$G$1)</f>
        <v>40</v>
      </c>
      <c r="M47" s="1098" t="str">
        <f>IF(ISNUMBER(FIND("住宅",C1)),"住宅","非住宅")</f>
        <v>非住宅</v>
      </c>
      <c r="O47" s="1058" t="s">
        <v>1440</v>
      </c>
      <c r="P47" s="1059" t="s">
        <v>1441</v>
      </c>
      <c r="Q47" s="1099" t="s">
        <v>1442</v>
      </c>
      <c r="R47" s="1059" t="s">
        <v>1443</v>
      </c>
    </row>
    <row r="48" spans="1:18" s="609" customFormat="1" ht="18" customHeight="1">
      <c r="A48" s="1277" t="s">
        <v>1128</v>
      </c>
      <c r="B48" s="1278" t="s">
        <v>1444</v>
      </c>
      <c r="C48" s="1279">
        <f ca="1">ROUND(F48*F50*F49*(1-F51)/10000,0)</f>
        <v>0</v>
      </c>
      <c r="D48" s="1280" t="s">
        <v>1339</v>
      </c>
      <c r="E48" s="1281" t="s">
        <v>1445</v>
      </c>
      <c r="F48" s="1282"/>
      <c r="G48" s="992"/>
      <c r="I48" s="1060" t="s">
        <v>1446</v>
      </c>
      <c r="J48" s="1061" t="s">
        <v>1447</v>
      </c>
      <c r="K48" s="1062" t="s">
        <v>1448</v>
      </c>
      <c r="L48" s="1063">
        <f ca="1">INDIRECT("'数据-取费表'!f"&amp;$G$1)</f>
        <v>34.729999999999997</v>
      </c>
      <c r="O48" s="1064" t="s">
        <v>1449</v>
      </c>
      <c r="P48" s="1065" t="s">
        <v>1450</v>
      </c>
      <c r="Q48" s="1100">
        <f ca="1">C40+J29</f>
        <v>24082</v>
      </c>
      <c r="R48" s="1065" t="s">
        <v>1451</v>
      </c>
    </row>
    <row r="49" spans="1:18" s="609" customFormat="1" ht="18" customHeight="1">
      <c r="A49" s="890"/>
      <c r="B49" s="1023"/>
      <c r="C49" s="1006"/>
      <c r="D49" s="901"/>
      <c r="E49" s="918" t="s">
        <v>1340</v>
      </c>
      <c r="F49" s="883">
        <f ca="1">F7</f>
        <v>10227.120000000001</v>
      </c>
      <c r="G49" s="992"/>
      <c r="H49" s="995"/>
      <c r="I49" s="1060" t="s">
        <v>1452</v>
      </c>
      <c r="J49" s="1066">
        <v>2021</v>
      </c>
      <c r="K49" s="1067" t="s">
        <v>1453</v>
      </c>
      <c r="L49" s="1068"/>
      <c r="O49" s="1064" t="s">
        <v>1454</v>
      </c>
      <c r="P49" s="1065" t="s">
        <v>1455</v>
      </c>
      <c r="Q49" s="1100">
        <f ca="1">J60</f>
        <v>257</v>
      </c>
      <c r="R49" s="1065" t="s">
        <v>1456</v>
      </c>
    </row>
    <row r="50" spans="1:18" s="609" customFormat="1" ht="18" customHeight="1">
      <c r="A50" s="890"/>
      <c r="B50" s="1023"/>
      <c r="C50" s="1006"/>
      <c r="D50" s="901"/>
      <c r="E50" s="918" t="s">
        <v>1341</v>
      </c>
      <c r="F50" s="883">
        <f ca="1">F8</f>
        <v>365</v>
      </c>
      <c r="G50" s="997"/>
      <c r="H50" s="995"/>
      <c r="I50" s="1060" t="s">
        <v>1457</v>
      </c>
      <c r="J50" s="1069">
        <f>SUMPRODUCT((I63:I65=J47)*(J62:L62=J48)*(J63:L65))</f>
        <v>60</v>
      </c>
      <c r="K50" s="1067" t="s">
        <v>1458</v>
      </c>
      <c r="L50" s="1068"/>
      <c r="O50" s="1070" t="s">
        <v>1459</v>
      </c>
      <c r="P50" s="1065" t="s">
        <v>1460</v>
      </c>
      <c r="Q50" s="1100">
        <f ca="1">C29</f>
        <v>7507</v>
      </c>
      <c r="R50" s="1065" t="s">
        <v>1451</v>
      </c>
    </row>
    <row r="51" spans="1:18" s="609" customFormat="1" ht="18" customHeight="1">
      <c r="A51" s="890"/>
      <c r="B51" s="1023"/>
      <c r="C51" s="1006"/>
      <c r="D51" s="901"/>
      <c r="E51" s="918" t="s">
        <v>1342</v>
      </c>
      <c r="F51" s="1283"/>
      <c r="H51" s="995"/>
      <c r="I51" s="1071" t="s">
        <v>1461</v>
      </c>
      <c r="J51" s="1072">
        <f>IF(J49="",J50,J49+J50-YEAR('数据-取费表'!B2))</f>
        <v>62</v>
      </c>
      <c r="K51" s="1060" t="s">
        <v>1462</v>
      </c>
      <c r="L51" s="1073">
        <f ca="1">ROUND(-PV(INDIRECT("'数据-取费表'!h"&amp;$G$1),L48,(C39-C13*J36),0),0)</f>
        <v>8644</v>
      </c>
      <c r="O51" s="1070" t="s">
        <v>1463</v>
      </c>
      <c r="P51" s="1065" t="s">
        <v>1464</v>
      </c>
      <c r="Q51" s="1101">
        <f ca="1">J58</f>
        <v>0.45500000000000002</v>
      </c>
      <c r="R51" s="1102"/>
    </row>
    <row r="52" spans="1:18" s="609" customFormat="1" ht="18" customHeight="1">
      <c r="A52" s="874" t="s">
        <v>1465</v>
      </c>
      <c r="B52" s="893" t="s">
        <v>1343</v>
      </c>
      <c r="C52" s="120">
        <f ca="1">ROUND(IF(F52="押一",C48/12*F11,IF(F52="押二",C48/12*2*F11,IF(F52="押三",C48/12*3*F11,C53*F11))),0)</f>
        <v>0</v>
      </c>
      <c r="D52" s="894" t="s">
        <v>1344</v>
      </c>
      <c r="E52" s="895" t="s">
        <v>1345</v>
      </c>
      <c r="F52" s="896"/>
      <c r="I52" s="1074" t="s">
        <v>1466</v>
      </c>
      <c r="J52" s="1075">
        <v>8.5000000000000006E-2</v>
      </c>
      <c r="K52" s="1074" t="s">
        <v>1187</v>
      </c>
      <c r="L52" s="1075"/>
      <c r="O52" s="1070" t="s">
        <v>1467</v>
      </c>
      <c r="P52" s="1065" t="s">
        <v>1468</v>
      </c>
      <c r="Q52" s="1101">
        <f>J52</f>
        <v>8.5000000000000006E-2</v>
      </c>
      <c r="R52" s="1102"/>
    </row>
    <row r="53" spans="1:18" s="609" customFormat="1" ht="39.75" customHeight="1">
      <c r="A53" s="890"/>
      <c r="B53" s="899" t="s">
        <v>1347</v>
      </c>
      <c r="C53" s="900"/>
      <c r="D53" s="894"/>
      <c r="E53" s="895"/>
      <c r="F53" s="916"/>
      <c r="I53" s="1076" t="s">
        <v>1469</v>
      </c>
      <c r="J53" s="1077">
        <f ca="1">IF(M47="住宅",IF(D1="——",MAX(J51,L48),MAX(J51,L48-'数据-取费表'!B20)),IF(D1="——",MIN(J51,L48),MIN(J51,L48-'数据-取费表'!B20)))</f>
        <v>31.729999999999997</v>
      </c>
      <c r="K53" s="3424" t="s">
        <v>1470</v>
      </c>
      <c r="L53" s="3425"/>
      <c r="O53" s="1070" t="s">
        <v>1471</v>
      </c>
      <c r="P53" s="1065" t="s">
        <v>1472</v>
      </c>
      <c r="Q53" s="1100">
        <f ca="1">J53</f>
        <v>31.729999999999997</v>
      </c>
      <c r="R53" s="1065" t="s">
        <v>1473</v>
      </c>
    </row>
    <row r="54" spans="1:18" s="609" customFormat="1" ht="18" customHeight="1">
      <c r="A54" s="904" t="s">
        <v>1016</v>
      </c>
      <c r="B54" s="905" t="s">
        <v>1348</v>
      </c>
      <c r="C54" s="906"/>
      <c r="D54" s="894"/>
      <c r="E54" s="895"/>
      <c r="F54" s="91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O54" s="1064" t="s">
        <v>1474</v>
      </c>
      <c r="P54" s="1065" t="s">
        <v>1475</v>
      </c>
      <c r="Q54" s="1100">
        <f ca="1">Q48+Q49</f>
        <v>24339</v>
      </c>
      <c r="R54" s="1102" t="s">
        <v>1476</v>
      </c>
    </row>
    <row r="55" spans="1:18" s="609" customFormat="1" ht="18" customHeight="1">
      <c r="A55" s="927">
        <v>2</v>
      </c>
      <c r="B55" s="1020" t="s">
        <v>1349</v>
      </c>
      <c r="C55" s="120">
        <f ca="1">C13</f>
        <v>7507</v>
      </c>
      <c r="D55" s="915"/>
      <c r="E55" s="915"/>
      <c r="F55" s="916"/>
      <c r="I55" s="1080" t="s">
        <v>1477</v>
      </c>
      <c r="J55" s="1081">
        <f ca="1">ROUND(IF(J47="钢混",J57/J50,1-(1-2%)*(J50-J57)/J50),3)</f>
        <v>0.45500000000000002</v>
      </c>
      <c r="K55" s="1082" t="s">
        <v>1478</v>
      </c>
      <c r="L55" s="1083"/>
      <c r="O55" s="1084" t="s">
        <v>1479</v>
      </c>
      <c r="P55" s="873"/>
      <c r="Q55" s="1098"/>
      <c r="R55" s="873"/>
    </row>
    <row r="56" spans="1:18" s="609" customFormat="1" ht="42.75" customHeight="1">
      <c r="A56" s="1262"/>
      <c r="B56" s="1016" t="s">
        <v>1413</v>
      </c>
      <c r="C56" s="121">
        <f ca="1">C29</f>
        <v>7507</v>
      </c>
      <c r="D56" s="948"/>
      <c r="E56" s="918"/>
      <c r="F56" s="926"/>
      <c r="I56" s="1085" t="s">
        <v>1480</v>
      </c>
      <c r="J56" s="1086" t="s">
        <v>457</v>
      </c>
      <c r="K56" s="1060" t="s">
        <v>1481</v>
      </c>
      <c r="L56" s="1063" t="str">
        <f ca="1">IF(L48&lt;J51,"——",L48-J51)</f>
        <v>——</v>
      </c>
      <c r="O56" s="1058" t="s">
        <v>1440</v>
      </c>
      <c r="P56" s="1059" t="s">
        <v>1441</v>
      </c>
      <c r="Q56" s="1099" t="s">
        <v>1442</v>
      </c>
      <c r="R56" s="1059" t="s">
        <v>1443</v>
      </c>
    </row>
    <row r="57" spans="1:18" s="609" customFormat="1" ht="28.5" customHeight="1">
      <c r="A57" s="927" t="s">
        <v>1357</v>
      </c>
      <c r="B57" s="1020" t="s">
        <v>1358</v>
      </c>
      <c r="C57" s="120">
        <f ca="1">ROUND(C58+C63+C64+C65,0)</f>
        <v>124</v>
      </c>
      <c r="D57" s="1017" t="s">
        <v>1359</v>
      </c>
      <c r="E57" s="123"/>
      <c r="F57" s="928"/>
      <c r="I57" s="1087" t="s">
        <v>1482</v>
      </c>
      <c r="J57" s="1088">
        <f ca="1">IF(OR(M47="住宅",J51&lt;L48,J56="是"),"——",J51-L48)</f>
        <v>27.270000000000003</v>
      </c>
      <c r="K57" s="1060" t="s">
        <v>1483</v>
      </c>
      <c r="L57" s="1063" t="str">
        <f ca="1">IF(L48&lt;J51,"——",IF(L55="比较法",L49,IF(L55="基准地价",L50,L51)))</f>
        <v>——</v>
      </c>
      <c r="O57" s="1064" t="s">
        <v>1449</v>
      </c>
      <c r="P57" s="1065" t="s">
        <v>1450</v>
      </c>
      <c r="Q57" s="1100">
        <f ca="1">C40+J29</f>
        <v>24082</v>
      </c>
      <c r="R57" s="1065" t="s">
        <v>1451</v>
      </c>
    </row>
    <row r="58" spans="1:18" s="609" customFormat="1" ht="28.5" customHeight="1">
      <c r="A58" s="1259" t="s">
        <v>851</v>
      </c>
      <c r="B58" s="918" t="s">
        <v>1364</v>
      </c>
      <c r="C58" s="121">
        <f ca="1">ROUND(IF(项目基本情况!B11="自然人",C47*F58,C59+C60+C61),1)</f>
        <v>0.5</v>
      </c>
      <c r="D58" s="920" t="s">
        <v>1365</v>
      </c>
      <c r="E58" s="948" t="s">
        <v>1366</v>
      </c>
      <c r="F58" s="949" t="str">
        <f ca="1">IF(项目基本情况!B11="企业","",IF(INDIRECT("'数据-取费表'!c"&amp;$G$1)="住宅",5%,IF(F48*F49*F50/12/(1+'数据-取费表'!C42)&gt;20000,12%,7%)))</f>
        <v/>
      </c>
      <c r="I58" s="1087" t="s">
        <v>1484</v>
      </c>
      <c r="J58" s="1089">
        <f ca="1">IF(J55&lt;0.4,0.4,J55)</f>
        <v>0.45500000000000002</v>
      </c>
      <c r="K58" s="1060" t="s">
        <v>1485</v>
      </c>
      <c r="L58" s="1063" t="e">
        <f ca="1">ROUND(POWER(1+L52,L47-L48)*(POWER(1+L52,L48)-1)/(POWER(1+L52,L47)-1),4)</f>
        <v>#DIV/0!</v>
      </c>
      <c r="O58" s="1064" t="s">
        <v>1454</v>
      </c>
      <c r="P58" s="1065" t="s">
        <v>1486</v>
      </c>
      <c r="Q58" s="1100">
        <f ca="1">L60</f>
        <v>0</v>
      </c>
      <c r="R58" s="1102" t="s">
        <v>1487</v>
      </c>
    </row>
    <row r="59" spans="1:18" s="609" customFormat="1" ht="28.5" customHeight="1">
      <c r="A59" s="1258" t="s">
        <v>875</v>
      </c>
      <c r="B59" s="918" t="s">
        <v>1368</v>
      </c>
      <c r="C59" s="121">
        <f ca="1">ROUND(C47*F59/1.05,1)</f>
        <v>0</v>
      </c>
      <c r="D59" s="948" t="s">
        <v>1369</v>
      </c>
      <c r="E59" s="918" t="s">
        <v>1356</v>
      </c>
      <c r="F59" s="926">
        <f t="shared" ref="F59:F65" si="0">F32</f>
        <v>5.6000000000000001E-2</v>
      </c>
      <c r="I59" s="1087" t="s">
        <v>1488</v>
      </c>
      <c r="J59" s="1088">
        <f ca="1">IF(OR(M47="住宅",J51&lt;L48,J56="是"),"——",ROUND(C29*J58,0))</f>
        <v>3416</v>
      </c>
      <c r="K59" s="1060" t="str">
        <f>IF(D1="——","建筑物剩余耐用年限下的土地年期修正系数Kn","建设期及建筑物耐用年限下的土地年期修正系数Kn")</f>
        <v>建设期及建筑物耐用年限下的土地年期修正系数Kn</v>
      </c>
      <c r="L59" s="1063" t="e">
        <f ca="1">ROUND(IF(D1="土地（套用方法）",POWER(1+L52,L47-(J51+'数据-取费表'!B20))*(POWER(1+L52,(J51+'数据-取费表'!B20))-1)/(POWER(1+L52,L47)-1),POWER(1+L52,L47-J51)*(POWER(1+L52,J51)-1)/(POWER(1+L52,L47)-1)),4)</f>
        <v>#DIV/0!</v>
      </c>
      <c r="O59" s="1070" t="s">
        <v>1459</v>
      </c>
      <c r="P59" s="1065" t="s">
        <v>1489</v>
      </c>
      <c r="Q59" s="1100">
        <f>IF(L55="比较法",L49,IF(L55="基准地价",L50,0))</f>
        <v>0</v>
      </c>
      <c r="R59" s="1065" t="s">
        <v>1451</v>
      </c>
    </row>
    <row r="60" spans="1:18" s="609" customFormat="1" ht="18" customHeight="1">
      <c r="A60" s="1258" t="s">
        <v>880</v>
      </c>
      <c r="B60" s="918" t="s">
        <v>1372</v>
      </c>
      <c r="C60" s="121">
        <f ca="1">IF(D60="按租金收入计税",ROUND(C47*F60,1),IF(D60="按房产原值计税",ROUND(C56*F60*0.7,1),INDIRECT("'数据-取费表'!Aj"&amp;$G$1)))</f>
        <v>0</v>
      </c>
      <c r="D60" s="948" t="str">
        <f>D33</f>
        <v>按租金收入计税</v>
      </c>
      <c r="E60" s="918" t="s">
        <v>1356</v>
      </c>
      <c r="F60" s="926">
        <f t="shared" si="0"/>
        <v>0.12</v>
      </c>
      <c r="I60" s="1090" t="s">
        <v>1490</v>
      </c>
      <c r="J60" s="1091">
        <f ca="1">IF(OR(M47="住宅",J51&lt;L48,J56="是"),"0",ROUND(J59/(1+J52)^J53,0))</f>
        <v>257</v>
      </c>
      <c r="K60" s="1092" t="s">
        <v>1491</v>
      </c>
      <c r="L60" s="1091">
        <f ca="1">IF(OR(M47="住宅",L48&lt;J51),0,ROUND(L57*(L58/L59-1),0))</f>
        <v>0</v>
      </c>
      <c r="O60" s="1070" t="s">
        <v>1463</v>
      </c>
      <c r="P60" s="1065" t="s">
        <v>1492</v>
      </c>
      <c r="Q60" s="1101">
        <f>L52</f>
        <v>0</v>
      </c>
      <c r="R60" s="1102"/>
    </row>
    <row r="61" spans="1:18" s="609" customFormat="1" ht="18" customHeight="1">
      <c r="A61" s="1260" t="s">
        <v>883</v>
      </c>
      <c r="B61" s="954" t="s">
        <v>1376</v>
      </c>
      <c r="C61" s="955">
        <f ca="1">ROUND(F61*F62/10000,1)</f>
        <v>0.5</v>
      </c>
      <c r="D61" s="956" t="s">
        <v>1377</v>
      </c>
      <c r="E61" s="918" t="s">
        <v>1378</v>
      </c>
      <c r="F61" s="936">
        <f t="shared" si="0"/>
        <v>5</v>
      </c>
      <c r="K61" s="1093"/>
      <c r="O61" s="1070" t="s">
        <v>1467</v>
      </c>
      <c r="P61" s="1065" t="s">
        <v>1493</v>
      </c>
      <c r="Q61" s="1100" t="e">
        <f ca="1">L58</f>
        <v>#DIV/0!</v>
      </c>
      <c r="R61" s="1102" t="s">
        <v>1494</v>
      </c>
    </row>
    <row r="62" spans="1:18" s="609" customFormat="1" ht="15.6">
      <c r="A62" s="957"/>
      <c r="B62" s="958"/>
      <c r="C62" s="959"/>
      <c r="D62" s="960"/>
      <c r="E62" s="918" t="s">
        <v>1382</v>
      </c>
      <c r="F62" s="883">
        <f t="shared" ca="1" si="0"/>
        <v>912.75</v>
      </c>
      <c r="I62" s="1094" t="s">
        <v>1495</v>
      </c>
      <c r="J62" s="1095" t="s">
        <v>1496</v>
      </c>
      <c r="K62" s="1095" t="s">
        <v>1497</v>
      </c>
      <c r="L62" s="1095" t="s">
        <v>1447</v>
      </c>
      <c r="M62" s="1096" t="s">
        <v>1498</v>
      </c>
      <c r="O62" s="1070" t="s">
        <v>1471</v>
      </c>
      <c r="P62" s="1065" t="str">
        <f>K59</f>
        <v>建设期及建筑物耐用年限下的土地年期修正系数Kn</v>
      </c>
      <c r="Q62" s="1100" t="e">
        <f ca="1">L59</f>
        <v>#DIV/0!</v>
      </c>
      <c r="R62" s="1102" t="s">
        <v>1499</v>
      </c>
    </row>
    <row r="63" spans="1:18" s="609" customFormat="1" ht="15.6">
      <c r="A63" s="1259" t="s">
        <v>853</v>
      </c>
      <c r="B63" s="918" t="s">
        <v>1385</v>
      </c>
      <c r="C63" s="121">
        <f ca="1">ROUND(C56*F63,1)</f>
        <v>112.6</v>
      </c>
      <c r="D63" s="948" t="s">
        <v>1420</v>
      </c>
      <c r="E63" s="918" t="s">
        <v>1356</v>
      </c>
      <c r="F63" s="961">
        <f t="shared" ca="1" si="0"/>
        <v>1.4999999999999999E-2</v>
      </c>
      <c r="I63" s="1094" t="s">
        <v>1500</v>
      </c>
      <c r="J63" s="1095">
        <v>70</v>
      </c>
      <c r="K63" s="1095">
        <v>50</v>
      </c>
      <c r="L63" s="1095">
        <v>80</v>
      </c>
      <c r="M63" s="1097">
        <v>0.02</v>
      </c>
      <c r="O63" s="1064" t="s">
        <v>1474</v>
      </c>
      <c r="P63" s="1065" t="s">
        <v>1475</v>
      </c>
      <c r="Q63" s="1100">
        <f ca="1">Q57+Q58</f>
        <v>24082</v>
      </c>
      <c r="R63" s="1102" t="s">
        <v>1476</v>
      </c>
    </row>
    <row r="64" spans="1:18" s="609" customFormat="1" ht="15.6">
      <c r="A64" s="1259" t="s">
        <v>1016</v>
      </c>
      <c r="B64" s="918" t="s">
        <v>1389</v>
      </c>
      <c r="C64" s="121">
        <f ca="1">ROUND(C55*F64,1)</f>
        <v>11.3</v>
      </c>
      <c r="D64" s="948" t="s">
        <v>1390</v>
      </c>
      <c r="E64" s="918" t="s">
        <v>1356</v>
      </c>
      <c r="F64" s="962">
        <f t="shared" ca="1" si="0"/>
        <v>1.5E-3</v>
      </c>
      <c r="I64" s="1094" t="s">
        <v>1438</v>
      </c>
      <c r="J64" s="1095">
        <v>50</v>
      </c>
      <c r="K64" s="1095">
        <v>35</v>
      </c>
      <c r="L64" s="1095">
        <v>60</v>
      </c>
      <c r="M64" s="1103">
        <v>0</v>
      </c>
      <c r="O64" s="1084" t="s">
        <v>1501</v>
      </c>
      <c r="P64" s="873"/>
      <c r="Q64" s="1098"/>
      <c r="R64" s="873"/>
    </row>
    <row r="65" spans="1:18" s="609" customFormat="1" ht="15.6">
      <c r="A65" s="1259" t="s">
        <v>1383</v>
      </c>
      <c r="B65" s="918" t="s">
        <v>1374</v>
      </c>
      <c r="C65" s="121">
        <f ca="1">ROUND(C47*F65,1)</f>
        <v>0</v>
      </c>
      <c r="D65" s="948" t="s">
        <v>1393</v>
      </c>
      <c r="E65" s="918" t="s">
        <v>1356</v>
      </c>
      <c r="F65" s="891">
        <f t="shared" ca="1" si="0"/>
        <v>1.4999999999999999E-2</v>
      </c>
      <c r="I65" s="1094" t="s">
        <v>1502</v>
      </c>
      <c r="J65" s="1095">
        <v>40</v>
      </c>
      <c r="K65" s="1095">
        <v>30</v>
      </c>
      <c r="L65" s="1095">
        <v>50</v>
      </c>
      <c r="M65" s="1097">
        <v>0.02</v>
      </c>
      <c r="O65" s="1058" t="s">
        <v>1440</v>
      </c>
      <c r="P65" s="1059" t="s">
        <v>1441</v>
      </c>
      <c r="Q65" s="1099" t="s">
        <v>1442</v>
      </c>
      <c r="R65" s="1059" t="s">
        <v>1443</v>
      </c>
    </row>
    <row r="66" spans="1:18" s="609" customFormat="1" ht="24">
      <c r="A66" s="927" t="s">
        <v>1396</v>
      </c>
      <c r="B66" s="1022" t="s">
        <v>1397</v>
      </c>
      <c r="C66" s="120">
        <f ca="1">C47-C57</f>
        <v>-124</v>
      </c>
      <c r="D66" s="920" t="s">
        <v>1398</v>
      </c>
      <c r="E66" s="968"/>
      <c r="F66" s="969"/>
      <c r="K66" s="1093"/>
      <c r="O66" s="1064" t="s">
        <v>1449</v>
      </c>
      <c r="P66" s="1065" t="s">
        <v>1450</v>
      </c>
      <c r="Q66" s="1100">
        <f ca="1">C40+J29</f>
        <v>24082</v>
      </c>
      <c r="R66" s="1065" t="s">
        <v>1451</v>
      </c>
    </row>
    <row r="67" spans="1:18" s="609" customFormat="1" ht="18.600000000000001">
      <c r="A67" s="874" t="s">
        <v>1402</v>
      </c>
      <c r="B67" s="1270" t="s">
        <v>1425</v>
      </c>
      <c r="C67" s="1005">
        <f ca="1">ROUND(C66*(1-((1+F69)/(1+F67))^F68)/(F67-F69),0)</f>
        <v>-1842</v>
      </c>
      <c r="D67" s="956" t="s">
        <v>1404</v>
      </c>
      <c r="E67" s="918" t="s">
        <v>1503</v>
      </c>
      <c r="F67" s="891">
        <f ca="1">F40</f>
        <v>5.5E-2</v>
      </c>
      <c r="K67" s="1093"/>
      <c r="O67" s="1064" t="s">
        <v>1454</v>
      </c>
      <c r="P67" s="1065" t="s">
        <v>1486</v>
      </c>
      <c r="Q67" s="1100">
        <f ca="1">L60</f>
        <v>0</v>
      </c>
      <c r="R67" s="1102" t="s">
        <v>1487</v>
      </c>
    </row>
    <row r="68" spans="1:18" ht="19.8">
      <c r="A68" s="890"/>
      <c r="B68" s="1023"/>
      <c r="C68" s="1006"/>
      <c r="D68" s="1024" t="s">
        <v>1408</v>
      </c>
      <c r="E68" s="918" t="s">
        <v>1409</v>
      </c>
      <c r="F68" s="1025">
        <f ca="1">F41</f>
        <v>31.729999999999997</v>
      </c>
      <c r="O68" s="1070" t="s">
        <v>1459</v>
      </c>
      <c r="P68" s="1065" t="s">
        <v>1489</v>
      </c>
      <c r="Q68" s="1105">
        <f ca="1">L51</f>
        <v>8644</v>
      </c>
      <c r="R68" s="1106" t="s">
        <v>1504</v>
      </c>
    </row>
    <row r="69" spans="1:18" ht="18.600000000000001">
      <c r="A69" s="898"/>
      <c r="B69" s="1026"/>
      <c r="C69" s="913"/>
      <c r="D69" s="960"/>
      <c r="E69" s="918" t="s">
        <v>1412</v>
      </c>
      <c r="F69" s="1283"/>
      <c r="O69" s="1070" t="s">
        <v>1463</v>
      </c>
      <c r="P69" s="1104" t="s">
        <v>1505</v>
      </c>
      <c r="Q69" s="1100">
        <f ca="1">ROUND(Q70-Q71*Q72,0)</f>
        <v>529</v>
      </c>
      <c r="R69" s="1102"/>
    </row>
    <row r="70" spans="1:18" ht="15.6">
      <c r="A70" s="943" t="s">
        <v>1414</v>
      </c>
      <c r="B70" s="1271" t="s">
        <v>1429</v>
      </c>
      <c r="C70" s="1028">
        <f ca="1">ROUND(C67*10000/F70,0)</f>
        <v>-1801</v>
      </c>
      <c r="D70" s="1029" t="s">
        <v>1430</v>
      </c>
      <c r="E70" s="1030" t="s">
        <v>1431</v>
      </c>
      <c r="F70" s="986">
        <f ca="1">F43</f>
        <v>10227.120000000001</v>
      </c>
      <c r="O70" s="1070" t="s">
        <v>1506</v>
      </c>
      <c r="P70" s="1104" t="s">
        <v>1507</v>
      </c>
      <c r="Q70" s="1100">
        <f ca="1">C39</f>
        <v>1130</v>
      </c>
      <c r="R70" s="1065" t="s">
        <v>1451</v>
      </c>
    </row>
    <row r="71" spans="1:18" ht="15.6">
      <c r="O71" s="1070" t="s">
        <v>1508</v>
      </c>
      <c r="P71" s="1104" t="s">
        <v>1509</v>
      </c>
      <c r="Q71" s="1100">
        <f ca="1">C13</f>
        <v>7507</v>
      </c>
      <c r="R71" s="1065" t="s">
        <v>1451</v>
      </c>
    </row>
    <row r="72" spans="1:18" ht="15.6">
      <c r="O72" s="1070" t="s">
        <v>1510</v>
      </c>
      <c r="P72" s="1104" t="s">
        <v>1511</v>
      </c>
      <c r="Q72" s="1101">
        <f ca="1">J36</f>
        <v>0.08</v>
      </c>
      <c r="R72" s="1102"/>
    </row>
    <row r="73" spans="1:18" ht="15.6">
      <c r="O73" s="1070" t="s">
        <v>1467</v>
      </c>
      <c r="P73" s="1065" t="s">
        <v>1492</v>
      </c>
      <c r="Q73" s="1101">
        <f>L52</f>
        <v>0</v>
      </c>
      <c r="R73" s="1102"/>
    </row>
    <row r="74" spans="1:18" ht="18.600000000000001">
      <c r="O74" s="1070" t="s">
        <v>1471</v>
      </c>
      <c r="P74" s="1065" t="s">
        <v>1493</v>
      </c>
      <c r="Q74" s="1100" t="e">
        <f ca="1">L58</f>
        <v>#DIV/0!</v>
      </c>
      <c r="R74" s="1102" t="s">
        <v>1494</v>
      </c>
    </row>
    <row r="75" spans="1:18" ht="15.6">
      <c r="O75" s="1070" t="s">
        <v>1512</v>
      </c>
      <c r="P75" s="1065" t="str">
        <f>K59</f>
        <v>建设期及建筑物耐用年限下的土地年期修正系数Kn</v>
      </c>
      <c r="Q75" s="1100" t="e">
        <f ca="1">L59</f>
        <v>#DIV/0!</v>
      </c>
      <c r="R75" s="1102" t="s">
        <v>1499</v>
      </c>
    </row>
    <row r="76" spans="1:18" ht="15.6">
      <c r="O76" s="1064" t="s">
        <v>1474</v>
      </c>
      <c r="P76" s="1065" t="s">
        <v>1475</v>
      </c>
      <c r="Q76" s="1100">
        <f ca="1">Q66+Q67</f>
        <v>24082</v>
      </c>
      <c r="R76" s="1102" t="s">
        <v>1476</v>
      </c>
    </row>
  </sheetData>
  <sheetProtection password="C66D" sheet="1" objects="1" scenarios="1" formatCells="0" formatColumns="0" formatRows="0"/>
  <mergeCells count="3">
    <mergeCell ref="K53:L53"/>
    <mergeCell ref="B6:B9"/>
    <mergeCell ref="I6:I9"/>
  </mergeCells>
  <phoneticPr fontId="231"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8" sqref="F28"/>
    </sheetView>
  </sheetViews>
  <sheetFormatPr defaultColWidth="9" defaultRowHeight="15"/>
  <cols>
    <col min="1" max="1" width="9" style="847" customWidth="1"/>
    <col min="2" max="2" width="20.6640625" style="846" customWidth="1"/>
    <col min="3" max="3" width="11.88671875" style="846" customWidth="1"/>
    <col min="4" max="4" width="40.44140625" style="847" customWidth="1"/>
    <col min="5" max="5" width="15.77734375" style="847" customWidth="1"/>
    <col min="6" max="6" width="10.6640625" style="847" customWidth="1"/>
    <col min="7" max="7" width="4.88671875" style="847" customWidth="1"/>
    <col min="8" max="8" width="8.44140625" style="847" customWidth="1"/>
    <col min="9" max="9" width="21.21875" style="847" customWidth="1"/>
    <col min="10" max="10" width="12.21875" style="847" customWidth="1"/>
    <col min="11" max="11" width="40.109375" style="848" customWidth="1"/>
    <col min="12" max="12" width="18.33203125" style="847" customWidth="1"/>
    <col min="13" max="13" width="13" style="847" customWidth="1"/>
    <col min="14" max="14" width="9.44140625" style="609" customWidth="1"/>
    <col min="15" max="15" width="5.88671875" style="609" customWidth="1"/>
    <col min="16" max="16" width="27.6640625" style="609" customWidth="1"/>
    <col min="17" max="17" width="13.77734375" style="999" customWidth="1"/>
    <col min="18" max="18" width="23.44140625" style="609" customWidth="1"/>
    <col min="19" max="19" width="1.44140625" style="609" customWidth="1"/>
    <col min="20" max="33" width="9" style="609"/>
    <col min="34" max="16384" width="9" style="847"/>
  </cols>
  <sheetData>
    <row r="1" spans="1:33" s="843" customFormat="1" ht="21.6">
      <c r="A1" s="1249" t="s">
        <v>1326</v>
      </c>
      <c r="B1" s="850"/>
      <c r="C1" s="851" t="s">
        <v>381</v>
      </c>
      <c r="D1" s="1250" t="s">
        <v>1327</v>
      </c>
      <c r="E1" s="853" t="s">
        <v>590</v>
      </c>
      <c r="F1" s="854">
        <f ca="1">J53</f>
        <v>31.729999999999997</v>
      </c>
      <c r="G1" s="855">
        <f>MATCH(C1,'数据-取费表'!A6:A16,0)+5</f>
        <v>8</v>
      </c>
      <c r="H1" s="852"/>
      <c r="I1" s="1000"/>
      <c r="J1" s="1000"/>
      <c r="K1" s="1001"/>
      <c r="L1" s="1000"/>
      <c r="M1" s="1000"/>
      <c r="N1" s="1002"/>
      <c r="O1" s="1002"/>
      <c r="P1" s="1002"/>
      <c r="Q1" s="1302"/>
      <c r="R1" s="1002"/>
      <c r="S1" s="1002"/>
      <c r="T1" s="1002"/>
      <c r="U1" s="1002"/>
      <c r="V1" s="1002"/>
      <c r="W1" s="1002"/>
      <c r="X1" s="1002"/>
      <c r="Y1" s="1002"/>
      <c r="Z1" s="1002"/>
      <c r="AA1" s="1002"/>
      <c r="AB1" s="1002"/>
      <c r="AC1" s="1002"/>
      <c r="AD1" s="1002"/>
      <c r="AE1" s="1002"/>
      <c r="AF1" s="1002"/>
      <c r="AG1" s="1002"/>
    </row>
    <row r="2" spans="1:33" ht="18" customHeight="1">
      <c r="A2" s="205" t="s">
        <v>915</v>
      </c>
      <c r="B2" s="119">
        <f ca="1">C40+J29+L46</f>
        <v>12083</v>
      </c>
      <c r="C2" s="1003"/>
      <c r="D2" s="859"/>
      <c r="E2" s="860"/>
      <c r="F2" s="860"/>
      <c r="G2" s="861"/>
      <c r="H2" s="1003"/>
      <c r="I2" s="1003"/>
      <c r="J2" s="1003"/>
      <c r="K2" s="1004"/>
      <c r="L2" s="1003"/>
      <c r="M2" s="1003"/>
    </row>
    <row r="3" spans="1:33" ht="18" customHeight="1">
      <c r="A3" s="1251" t="s">
        <v>1272</v>
      </c>
      <c r="B3" s="1252">
        <f ca="1">IF(ISERROR(B2*10000/F43),0,ROUND(B2*10000/F43,0))</f>
        <v>11815</v>
      </c>
      <c r="C3" s="1003"/>
      <c r="D3" s="859"/>
      <c r="E3" s="860"/>
      <c r="F3" s="860"/>
      <c r="G3" s="861"/>
      <c r="H3" s="865" t="s">
        <v>1328</v>
      </c>
      <c r="I3" s="862"/>
      <c r="J3" s="862"/>
      <c r="K3" s="1284"/>
      <c r="L3" s="862"/>
      <c r="M3" s="862"/>
    </row>
    <row r="4" spans="1:33" ht="18" customHeight="1">
      <c r="A4" s="1253" t="s">
        <v>1329</v>
      </c>
      <c r="B4" s="1254" t="s">
        <v>1330</v>
      </c>
      <c r="C4" s="1254" t="s">
        <v>1331</v>
      </c>
      <c r="D4" s="1254" t="s">
        <v>1332</v>
      </c>
      <c r="E4" s="871" t="s">
        <v>1333</v>
      </c>
      <c r="F4" s="872"/>
      <c r="G4" s="873"/>
      <c r="H4" s="1253" t="s">
        <v>1329</v>
      </c>
      <c r="I4" s="1254" t="s">
        <v>1330</v>
      </c>
      <c r="J4" s="1254" t="s">
        <v>1331</v>
      </c>
      <c r="K4" s="1254" t="s">
        <v>1332</v>
      </c>
      <c r="L4" s="871" t="s">
        <v>1333</v>
      </c>
      <c r="M4" s="872"/>
    </row>
    <row r="5" spans="1:33" ht="18" customHeight="1">
      <c r="A5" s="874">
        <v>1</v>
      </c>
      <c r="B5" s="875" t="s">
        <v>1334</v>
      </c>
      <c r="C5" s="1255">
        <f ca="1">C6+C10+C12</f>
        <v>840</v>
      </c>
      <c r="D5" s="876" t="s">
        <v>1335</v>
      </c>
      <c r="E5" s="877"/>
      <c r="F5" s="878"/>
      <c r="G5" s="873"/>
      <c r="H5" s="874">
        <v>1</v>
      </c>
      <c r="I5" s="875" t="s">
        <v>1334</v>
      </c>
      <c r="J5" s="1255">
        <f ca="1">J6+J10+J12</f>
        <v>0</v>
      </c>
      <c r="K5" s="876" t="s">
        <v>1335</v>
      </c>
      <c r="L5" s="877"/>
      <c r="M5" s="878"/>
    </row>
    <row r="6" spans="1:33" ht="18" customHeight="1">
      <c r="A6" s="879" t="s">
        <v>851</v>
      </c>
      <c r="B6" s="3426" t="s">
        <v>1336</v>
      </c>
      <c r="C6" s="1005">
        <f ca="1">ROUND(F6*F8*F7*(1-F9)/10000,0)</f>
        <v>840</v>
      </c>
      <c r="D6" s="1256" t="s">
        <v>1337</v>
      </c>
      <c r="E6" s="918" t="s">
        <v>1338</v>
      </c>
      <c r="F6" s="883">
        <f ca="1">INDIRECT("'数据-取费表'!u"&amp;$G$1)</f>
        <v>2.5</v>
      </c>
      <c r="G6" s="873"/>
      <c r="H6" s="884" t="s">
        <v>851</v>
      </c>
      <c r="I6" s="3426" t="s">
        <v>1336</v>
      </c>
      <c r="J6" s="1005">
        <f ca="1">ROUND(M6*M8*M7*(1-M9)/10000,0)</f>
        <v>0</v>
      </c>
      <c r="K6" s="954" t="s">
        <v>1339</v>
      </c>
      <c r="L6" s="918" t="s">
        <v>1338</v>
      </c>
      <c r="M6" s="883">
        <f ca="1">INDIRECT("'数据-取费表'!z"&amp;$G$1)</f>
        <v>0</v>
      </c>
    </row>
    <row r="7" spans="1:33" ht="18" customHeight="1">
      <c r="A7" s="885"/>
      <c r="B7" s="3427"/>
      <c r="C7" s="1006"/>
      <c r="D7" s="901"/>
      <c r="E7" s="918" t="s">
        <v>1340</v>
      </c>
      <c r="F7" s="883">
        <f ca="1">IF(INDIRECT("'数据-取费表'!ah"&amp;$G$1)="",INDIRECT("'数据-取费表'!k"&amp;$G$1),INDIRECT("'数据-取费表'!ah"&amp;$G$1))</f>
        <v>10227.120000000001</v>
      </c>
      <c r="G7" s="873"/>
      <c r="H7" s="888"/>
      <c r="I7" s="3427"/>
      <c r="J7" s="1006"/>
      <c r="K7" s="901"/>
      <c r="L7" s="918" t="s">
        <v>1340</v>
      </c>
      <c r="M7" s="883">
        <f ca="1">F7</f>
        <v>10227.120000000001</v>
      </c>
    </row>
    <row r="8" spans="1:33" ht="18" customHeight="1">
      <c r="A8" s="889"/>
      <c r="B8" s="3428"/>
      <c r="C8" s="1006"/>
      <c r="D8" s="901"/>
      <c r="E8" s="918" t="s">
        <v>1341</v>
      </c>
      <c r="F8" s="883">
        <f ca="1">INDIRECT("'数据-取费表'!ai"&amp;$G$1)</f>
        <v>365</v>
      </c>
      <c r="G8" s="873"/>
      <c r="H8" s="888"/>
      <c r="I8" s="3428"/>
      <c r="J8" s="1006"/>
      <c r="K8" s="901"/>
      <c r="L8" s="918" t="s">
        <v>1341</v>
      </c>
      <c r="M8" s="883">
        <f ca="1">INDIRECT("'数据-取费表'!ai"&amp;$G$1)</f>
        <v>365</v>
      </c>
    </row>
    <row r="9" spans="1:33" ht="18" customHeight="1">
      <c r="A9" s="890"/>
      <c r="B9" s="3429"/>
      <c r="C9" s="1006"/>
      <c r="D9" s="901"/>
      <c r="E9" s="918" t="s">
        <v>1342</v>
      </c>
      <c r="F9" s="891">
        <f ca="1">INDIRECT("'数据-取费表'!w"&amp;$G$1)</f>
        <v>0.1</v>
      </c>
      <c r="G9" s="873"/>
      <c r="H9" s="892"/>
      <c r="I9" s="3428"/>
      <c r="J9" s="1006"/>
      <c r="K9" s="901"/>
      <c r="L9" s="915" t="s">
        <v>1342</v>
      </c>
      <c r="M9" s="902">
        <f ca="1">INDIRECT("'数据-取费表'!ab"&amp;$G$1)</f>
        <v>0</v>
      </c>
    </row>
    <row r="10" spans="1:33" ht="18" customHeight="1">
      <c r="A10" s="879" t="s">
        <v>853</v>
      </c>
      <c r="B10" s="893" t="s">
        <v>1343</v>
      </c>
      <c r="C10" s="120">
        <f ca="1">ROUND(IF(F10="押一",C6/12*F11,IF(F10="押二",C6/12*2*F11,IF(F10="押三",C6/12*3*F11,C11*F11))),0)</f>
        <v>0</v>
      </c>
      <c r="D10" s="894" t="s">
        <v>1344</v>
      </c>
      <c r="E10" s="895" t="s">
        <v>1345</v>
      </c>
      <c r="F10" s="3174" t="s">
        <v>1346</v>
      </c>
      <c r="G10" s="873"/>
      <c r="H10" s="897" t="s">
        <v>853</v>
      </c>
      <c r="I10" s="1007" t="s">
        <v>1343</v>
      </c>
      <c r="J10" s="1005">
        <f ca="1">ROUND(IF(M10="押一",J6/12*M11,IF(M10="押二",J6/12*2*M11,IF(M10="押三",J6/12*3*M11,J11*M11))),0)</f>
        <v>0</v>
      </c>
      <c r="K10" s="894" t="s">
        <v>1344</v>
      </c>
      <c r="L10" s="895" t="s">
        <v>1345</v>
      </c>
      <c r="M10" s="896"/>
    </row>
    <row r="11" spans="1:33" ht="18" customHeight="1">
      <c r="A11" s="898"/>
      <c r="B11" s="899" t="s">
        <v>1347</v>
      </c>
      <c r="C11" s="900"/>
      <c r="D11" s="901"/>
      <c r="E11" s="895" t="s">
        <v>635</v>
      </c>
      <c r="F11" s="902">
        <f ca="1">'数据-取费表'!B39</f>
        <v>1.4999999999999999E-2</v>
      </c>
      <c r="G11" s="873"/>
      <c r="H11" s="903"/>
      <c r="I11" s="899" t="s">
        <v>1347</v>
      </c>
      <c r="J11" s="900"/>
      <c r="K11" s="1008"/>
      <c r="L11" s="895" t="s">
        <v>635</v>
      </c>
      <c r="M11" s="1009">
        <f ca="1">'数据-取费表'!B39</f>
        <v>1.4999999999999999E-2</v>
      </c>
    </row>
    <row r="12" spans="1:33" ht="18" customHeight="1">
      <c r="A12" s="904" t="s">
        <v>1016</v>
      </c>
      <c r="B12" s="905" t="s">
        <v>1348</v>
      </c>
      <c r="C12" s="906"/>
      <c r="D12" s="907"/>
      <c r="E12" s="908"/>
      <c r="F12" s="909"/>
      <c r="G12" s="873"/>
      <c r="H12" s="910" t="s">
        <v>1016</v>
      </c>
      <c r="I12" s="1010" t="s">
        <v>1348</v>
      </c>
      <c r="J12" s="1011"/>
      <c r="K12" s="907"/>
      <c r="L12" s="908"/>
      <c r="M12" s="1012"/>
    </row>
    <row r="13" spans="1:33" ht="18" customHeight="1">
      <c r="A13" s="911">
        <v>2</v>
      </c>
      <c r="B13" s="912" t="s">
        <v>1349</v>
      </c>
      <c r="C13" s="913">
        <f ca="1">ROUND(C29*F13,0)</f>
        <v>7182</v>
      </c>
      <c r="D13" s="914" t="s">
        <v>1350</v>
      </c>
      <c r="E13" s="914" t="s">
        <v>1351</v>
      </c>
      <c r="F13" s="1257">
        <f ca="1">INDIRECT("'数据-取费表'!y"&amp;$G$1)</f>
        <v>1</v>
      </c>
      <c r="G13" s="873"/>
      <c r="H13" s="911">
        <v>2</v>
      </c>
      <c r="I13" s="912" t="s">
        <v>1349</v>
      </c>
      <c r="J13" s="1013">
        <f ca="1">ROUND(J14*J15,0)</f>
        <v>0</v>
      </c>
      <c r="K13" s="944" t="s">
        <v>1352</v>
      </c>
      <c r="L13" s="1285"/>
      <c r="M13" s="1286"/>
    </row>
    <row r="14" spans="1:33" ht="18" customHeight="1">
      <c r="A14" s="1258" t="s">
        <v>875</v>
      </c>
      <c r="B14" s="918" t="s">
        <v>1023</v>
      </c>
      <c r="C14" s="919">
        <f ca="1">INDIRECT("'数据-取费表'!m"&amp;$G$1)+INDIRECT("'数据-取费表'!t"&amp;$G$1)</f>
        <v>5399</v>
      </c>
      <c r="D14" s="920" t="s">
        <v>1353</v>
      </c>
      <c r="E14" s="921"/>
      <c r="F14" s="922"/>
      <c r="G14" s="873"/>
      <c r="H14" s="1259" t="s">
        <v>851</v>
      </c>
      <c r="I14" s="1016" t="s">
        <v>1354</v>
      </c>
      <c r="J14" s="121">
        <f ca="1">C29</f>
        <v>7182</v>
      </c>
      <c r="K14" s="1017"/>
      <c r="L14" s="1014"/>
      <c r="M14" s="1015"/>
    </row>
    <row r="15" spans="1:33" s="844" customFormat="1" ht="18" customHeight="1">
      <c r="A15" s="1258" t="s">
        <v>880</v>
      </c>
      <c r="B15" s="918" t="s">
        <v>1025</v>
      </c>
      <c r="C15" s="121">
        <f ca="1">ROUND(C14*F15,0)</f>
        <v>162</v>
      </c>
      <c r="D15" s="923" t="s">
        <v>1355</v>
      </c>
      <c r="E15" s="923" t="s">
        <v>1356</v>
      </c>
      <c r="F15" s="924">
        <f>'数据-取费表'!B33</f>
        <v>0.03</v>
      </c>
      <c r="G15" s="925"/>
      <c r="H15" s="910" t="s">
        <v>853</v>
      </c>
      <c r="I15" s="941" t="s">
        <v>1351</v>
      </c>
      <c r="J15" s="1287">
        <f ca="1">INDIRECT("'数据-取费表'!ad"&amp;$G$1)</f>
        <v>0</v>
      </c>
      <c r="K15" s="1288"/>
      <c r="L15" s="1289"/>
      <c r="M15" s="1290"/>
      <c r="N15" s="1019"/>
      <c r="O15" s="1019"/>
      <c r="P15" s="1019"/>
      <c r="Q15" s="1303"/>
      <c r="R15" s="1019"/>
      <c r="S15" s="1019"/>
      <c r="T15" s="1019"/>
      <c r="U15" s="1019"/>
      <c r="V15" s="1019"/>
      <c r="W15" s="1019"/>
      <c r="X15" s="1019"/>
      <c r="Y15" s="1019"/>
      <c r="Z15" s="1019"/>
      <c r="AA15" s="1019"/>
      <c r="AB15" s="1019"/>
      <c r="AC15" s="1019"/>
      <c r="AD15" s="1019"/>
      <c r="AE15" s="1019"/>
      <c r="AF15" s="1019"/>
      <c r="AG15" s="1019"/>
    </row>
    <row r="16" spans="1:33" ht="18" customHeight="1">
      <c r="A16" s="1258" t="s">
        <v>883</v>
      </c>
      <c r="B16" s="918" t="s">
        <v>1028</v>
      </c>
      <c r="C16" s="121">
        <f ca="1">ROUND(INDIRECT("'数据-取费表'!m"&amp;$G$1)*F16,0)</f>
        <v>0</v>
      </c>
      <c r="D16" s="918" t="s">
        <v>1355</v>
      </c>
      <c r="E16" s="918" t="s">
        <v>1356</v>
      </c>
      <c r="F16" s="926">
        <f ca="1">IF(INDIRECT("'数据-取费表'!c"&amp;$G$1)="住宅",'数据-取费表'!B34,0)</f>
        <v>0</v>
      </c>
      <c r="G16" s="873"/>
      <c r="H16" s="911" t="s">
        <v>1357</v>
      </c>
      <c r="I16" s="912" t="s">
        <v>1358</v>
      </c>
      <c r="J16" s="913">
        <f ca="1">ROUND(J17+J22+J23+J24,0)</f>
        <v>711</v>
      </c>
      <c r="K16" s="944" t="s">
        <v>1359</v>
      </c>
      <c r="L16" s="945"/>
      <c r="M16" s="878"/>
    </row>
    <row r="17" spans="1:33" s="844" customFormat="1" ht="18" customHeight="1">
      <c r="A17" s="1258" t="s">
        <v>1360</v>
      </c>
      <c r="B17" s="918" t="s">
        <v>1361</v>
      </c>
      <c r="C17" s="121">
        <f ca="1">ROUND(F17*(F43+INDIRECT("'数据-取费表'!S"&amp;$G$1))/10000,0)</f>
        <v>221</v>
      </c>
      <c r="D17" s="918" t="s">
        <v>1362</v>
      </c>
      <c r="E17" s="918" t="s">
        <v>1363</v>
      </c>
      <c r="F17" s="928">
        <f>'数据-取费表'!B35</f>
        <v>200</v>
      </c>
      <c r="G17" s="925"/>
      <c r="H17" s="1259" t="s">
        <v>851</v>
      </c>
      <c r="I17" s="918" t="s">
        <v>1364</v>
      </c>
      <c r="J17" s="121">
        <f ca="1">ROUND(IF(项目基本情况!B11="自然人",J5*M17,J18+J19+J20),0)</f>
        <v>603</v>
      </c>
      <c r="K17" s="920" t="s">
        <v>1365</v>
      </c>
      <c r="L17" s="948" t="s">
        <v>1366</v>
      </c>
      <c r="M17" s="949" t="str">
        <f ca="1">IF(项目基本情况!B11="企业","",IF(INDIRECT("'数据-取费表'!c"&amp;$G$1)="住宅",5%,IF(M6*M7*M8/12/(1+'数据-取费表'!C42)&gt;20000,12%,7%)))</f>
        <v/>
      </c>
      <c r="N17" s="1019"/>
      <c r="O17" s="1019"/>
      <c r="P17" s="1019"/>
      <c r="Q17" s="1303"/>
      <c r="R17" s="1019"/>
      <c r="S17" s="1019"/>
      <c r="T17" s="1019"/>
      <c r="U17" s="1019"/>
      <c r="V17" s="1019"/>
      <c r="W17" s="1019"/>
      <c r="X17" s="1019"/>
      <c r="Y17" s="1019"/>
      <c r="Z17" s="1019"/>
      <c r="AA17" s="1019"/>
      <c r="AB17" s="1019"/>
      <c r="AC17" s="1019"/>
      <c r="AD17" s="1019"/>
      <c r="AE17" s="1019"/>
      <c r="AF17" s="1019"/>
      <c r="AG17" s="1019"/>
    </row>
    <row r="18" spans="1:33" s="844" customFormat="1" ht="18" customHeight="1">
      <c r="A18" s="1258" t="s">
        <v>1367</v>
      </c>
      <c r="B18" s="918" t="s">
        <v>1033</v>
      </c>
      <c r="C18" s="121">
        <f ca="1">ROUND(C14*F18,0)</f>
        <v>81</v>
      </c>
      <c r="D18" s="918" t="s">
        <v>1355</v>
      </c>
      <c r="E18" s="918" t="s">
        <v>1356</v>
      </c>
      <c r="F18" s="926">
        <f>'数据-取费表'!B36</f>
        <v>1.4999999999999999E-2</v>
      </c>
      <c r="G18" s="925"/>
      <c r="H18" s="1258" t="s">
        <v>875</v>
      </c>
      <c r="I18" s="918" t="s">
        <v>1368</v>
      </c>
      <c r="J18" s="121">
        <f ca="1">ROUND(J5*M18/1.05,1)</f>
        <v>0</v>
      </c>
      <c r="K18" s="948" t="s">
        <v>1369</v>
      </c>
      <c r="L18" s="918" t="s">
        <v>1356</v>
      </c>
      <c r="M18" s="926">
        <f>'数据-取费表'!B41</f>
        <v>5.6000000000000001E-2</v>
      </c>
      <c r="N18" s="1019"/>
      <c r="O18" s="1019"/>
      <c r="P18" s="1019"/>
      <c r="Q18" s="1303"/>
      <c r="R18" s="1019"/>
      <c r="S18" s="1019"/>
      <c r="T18" s="1019"/>
      <c r="U18" s="1019"/>
      <c r="V18" s="1019"/>
      <c r="W18" s="1019"/>
      <c r="X18" s="1019"/>
      <c r="Y18" s="1019"/>
      <c r="Z18" s="1019"/>
      <c r="AA18" s="1019"/>
      <c r="AB18" s="1019"/>
      <c r="AC18" s="1019"/>
      <c r="AD18" s="1019"/>
      <c r="AE18" s="1019"/>
      <c r="AF18" s="1019"/>
      <c r="AG18" s="1019"/>
    </row>
    <row r="19" spans="1:33" ht="18" customHeight="1">
      <c r="A19" s="1259" t="s">
        <v>851</v>
      </c>
      <c r="B19" s="918" t="s">
        <v>1370</v>
      </c>
      <c r="C19" s="121">
        <f ca="1">SUM(C14:C18)</f>
        <v>5863</v>
      </c>
      <c r="D19" s="929" t="s">
        <v>1371</v>
      </c>
      <c r="E19" s="123"/>
      <c r="F19" s="928"/>
      <c r="G19" s="873"/>
      <c r="H19" s="1258" t="s">
        <v>880</v>
      </c>
      <c r="I19" s="918" t="s">
        <v>1372</v>
      </c>
      <c r="J19" s="121">
        <f ca="1">IF(K19="按租金收入计税",ROUND(J5*M19,1),ROUND(C29*F33*0.7,1))</f>
        <v>603.29999999999995</v>
      </c>
      <c r="K19" s="951" t="s">
        <v>1373</v>
      </c>
      <c r="L19" s="918" t="s">
        <v>1356</v>
      </c>
      <c r="M19" s="926">
        <f>IF(K19="按租金收入计税",'数据-取费表'!B51,'数据-取费表'!B50)</f>
        <v>1.2E-2</v>
      </c>
    </row>
    <row r="20" spans="1:33" s="844" customFormat="1" ht="18" customHeight="1">
      <c r="A20" s="1259" t="s">
        <v>853</v>
      </c>
      <c r="B20" s="918" t="s">
        <v>1374</v>
      </c>
      <c r="C20" s="121">
        <f ca="1">ROUND(C19*F20,0)</f>
        <v>88</v>
      </c>
      <c r="D20" s="930" t="s">
        <v>1375</v>
      </c>
      <c r="E20" s="918" t="s">
        <v>1356</v>
      </c>
      <c r="F20" s="926">
        <f>'数据-取费表'!B37</f>
        <v>1.4999999999999999E-2</v>
      </c>
      <c r="G20" s="925"/>
      <c r="H20" s="1260" t="s">
        <v>883</v>
      </c>
      <c r="I20" s="954" t="s">
        <v>1376</v>
      </c>
      <c r="J20" s="955">
        <f ca="1">ROUND(M20*M21/10000,0)</f>
        <v>0</v>
      </c>
      <c r="K20" s="956" t="s">
        <v>1377</v>
      </c>
      <c r="L20" s="918" t="s">
        <v>1378</v>
      </c>
      <c r="M20" s="936">
        <f>'数据-取费表'!B52</f>
        <v>5</v>
      </c>
      <c r="N20" s="1019"/>
      <c r="O20" s="1019"/>
      <c r="P20" s="1019"/>
      <c r="Q20" s="1303"/>
      <c r="R20" s="1019"/>
      <c r="S20" s="1019"/>
      <c r="T20" s="1019"/>
      <c r="U20" s="1019"/>
      <c r="V20" s="1019"/>
      <c r="W20" s="1019"/>
      <c r="X20" s="1019"/>
      <c r="Y20" s="1019"/>
      <c r="Z20" s="1019"/>
      <c r="AA20" s="1019"/>
      <c r="AB20" s="1019"/>
      <c r="AC20" s="1019"/>
      <c r="AD20" s="1019"/>
      <c r="AE20" s="1019"/>
      <c r="AF20" s="1019"/>
      <c r="AG20" s="1019"/>
    </row>
    <row r="21" spans="1:33" s="844" customFormat="1" ht="18" customHeight="1">
      <c r="A21" s="1259" t="s">
        <v>1016</v>
      </c>
      <c r="B21" s="918" t="s">
        <v>1379</v>
      </c>
      <c r="C21" s="121" t="s">
        <v>138</v>
      </c>
      <c r="D21" s="930" t="s">
        <v>1380</v>
      </c>
      <c r="E21" s="918" t="s">
        <v>1381</v>
      </c>
      <c r="F21" s="926">
        <f>'数据-取费表'!B38</f>
        <v>1.4999999999999999E-2</v>
      </c>
      <c r="G21" s="925"/>
      <c r="H21" s="1261"/>
      <c r="I21" s="958"/>
      <c r="J21" s="959"/>
      <c r="K21" s="960"/>
      <c r="L21" s="918" t="s">
        <v>1382</v>
      </c>
      <c r="M21" s="883">
        <f ca="1">INDIRECT("'数据-取费表'!r"&amp;$G$1)</f>
        <v>912.75</v>
      </c>
      <c r="N21" s="1019"/>
      <c r="O21" s="1019"/>
      <c r="P21" s="1019"/>
      <c r="Q21" s="1303"/>
      <c r="R21" s="1019"/>
      <c r="S21" s="1019"/>
      <c r="T21" s="1019"/>
      <c r="U21" s="1019"/>
      <c r="V21" s="1019"/>
      <c r="W21" s="1019"/>
      <c r="X21" s="1019"/>
      <c r="Y21" s="1019"/>
      <c r="Z21" s="1019"/>
      <c r="AA21" s="1019"/>
      <c r="AB21" s="1019"/>
      <c r="AC21" s="1019"/>
      <c r="AD21" s="1019"/>
      <c r="AE21" s="1019"/>
      <c r="AF21" s="1019"/>
      <c r="AG21" s="1019"/>
    </row>
    <row r="22" spans="1:33" ht="18" customHeight="1">
      <c r="A22" s="1259" t="s">
        <v>1383</v>
      </c>
      <c r="B22" s="918" t="s">
        <v>1384</v>
      </c>
      <c r="C22" s="121"/>
      <c r="D22" s="933" t="str">
        <f>IF(F23&lt;=1,"单利计息。","复利计息。")&amp;"建造成本、管理费用、销售费用产生的利息。"</f>
        <v>复利计息。建造成本、管理费用、销售费用产生的利息。</v>
      </c>
      <c r="E22" s="123"/>
      <c r="F22" s="928"/>
      <c r="G22" s="873"/>
      <c r="H22" s="1259" t="s">
        <v>853</v>
      </c>
      <c r="I22" s="918" t="s">
        <v>1385</v>
      </c>
      <c r="J22" s="121">
        <f ca="1">ROUND(J14*M22,0)</f>
        <v>108</v>
      </c>
      <c r="K22" s="948" t="s">
        <v>1386</v>
      </c>
      <c r="L22" s="918" t="s">
        <v>1356</v>
      </c>
      <c r="M22" s="961">
        <f ca="1">INDIRECT("'数据-取费表'!Ak"&amp;$G$1)</f>
        <v>1.4999999999999999E-2</v>
      </c>
    </row>
    <row r="23" spans="1:33" s="844" customFormat="1" ht="18" customHeight="1">
      <c r="A23" s="1258" t="s">
        <v>875</v>
      </c>
      <c r="B23" s="918" t="s">
        <v>1387</v>
      </c>
      <c r="C23" s="121">
        <f ca="1">ROUND(IF('数据-取费表'!B22&lt;=1,(C19+C20)*F24*F23/2,(C19+C20)*(POWER((1+F24),F23/2)-1)),0)</f>
        <v>429</v>
      </c>
      <c r="D23" s="935" t="str">
        <f>IF(F23&lt;=1,"(建造成本+管理费用)×利率×(建设周期÷2)","(建造成本+管理费用)×((1+利率)^(建设周期÷2)-1)")</f>
        <v>(建造成本+管理费用)×((1+利率)^(建设周期÷2)-1)</v>
      </c>
      <c r="E23" s="918" t="s">
        <v>1388</v>
      </c>
      <c r="F23" s="936">
        <f>'数据-取费表'!B20</f>
        <v>3</v>
      </c>
      <c r="G23" s="925"/>
      <c r="H23" s="1259" t="s">
        <v>1016</v>
      </c>
      <c r="I23" s="918" t="s">
        <v>1389</v>
      </c>
      <c r="J23" s="121">
        <f ca="1">ROUND(J13*M23,0)</f>
        <v>0</v>
      </c>
      <c r="K23" s="948" t="s">
        <v>1390</v>
      </c>
      <c r="L23" s="918" t="s">
        <v>1356</v>
      </c>
      <c r="M23" s="962">
        <f ca="1">INDIRECT("'数据-取费表'!Al"&amp;$G$1)</f>
        <v>1.5E-3</v>
      </c>
      <c r="N23" s="1019"/>
      <c r="O23" s="1019"/>
      <c r="P23" s="1019"/>
      <c r="Q23" s="1303"/>
      <c r="R23" s="1019"/>
      <c r="S23" s="1019"/>
      <c r="T23" s="1019"/>
      <c r="U23" s="1019"/>
      <c r="V23" s="1019"/>
      <c r="W23" s="1019"/>
      <c r="X23" s="1019"/>
      <c r="Y23" s="1019"/>
      <c r="Z23" s="1019"/>
      <c r="AA23" s="1019"/>
      <c r="AB23" s="1019"/>
      <c r="AC23" s="1019"/>
      <c r="AD23" s="1019"/>
      <c r="AE23" s="1019"/>
      <c r="AF23" s="1019"/>
      <c r="AG23" s="1019"/>
    </row>
    <row r="24" spans="1:33" s="844" customFormat="1" ht="18" customHeight="1">
      <c r="A24" s="1258" t="s">
        <v>880</v>
      </c>
      <c r="B24" s="918" t="s">
        <v>1391</v>
      </c>
      <c r="C24" s="121">
        <f ca="1">ROUND(IF('数据-取费表'!B22&lt;=1,F21*F24*F23/2,F21*(POWER((1+F24),F23/2)-1)),4)</f>
        <v>1.1000000000000001E-3</v>
      </c>
      <c r="D24" s="935" t="str">
        <f>IF(F23&lt;=1,"销售费用×利率×(建设周期÷2)","销售费用×((1+利率)^(建设周期÷2)-1)")</f>
        <v>销售费用×((1+利率)^(建设周期÷2)-1)</v>
      </c>
      <c r="E24" s="918" t="s">
        <v>1392</v>
      </c>
      <c r="F24" s="937">
        <f ca="1">'数据-取费表'!B40</f>
        <v>4.7500000000000001E-2</v>
      </c>
      <c r="G24" s="925"/>
      <c r="H24" s="910" t="s">
        <v>1383</v>
      </c>
      <c r="I24" s="941" t="s">
        <v>1374</v>
      </c>
      <c r="J24" s="939">
        <f ca="1">ROUND(J5*M24,0)</f>
        <v>0</v>
      </c>
      <c r="K24" s="940" t="s">
        <v>1393</v>
      </c>
      <c r="L24" s="941" t="s">
        <v>1356</v>
      </c>
      <c r="M24" s="909">
        <f ca="1">INDIRECT("'数据-取费表'!Am"&amp;$G$1)</f>
        <v>0.01</v>
      </c>
      <c r="N24" s="1019"/>
      <c r="O24" s="1019"/>
      <c r="P24" s="1019"/>
      <c r="Q24" s="1303"/>
      <c r="R24" s="1019"/>
      <c r="S24" s="1019"/>
      <c r="T24" s="1019"/>
      <c r="U24" s="1019"/>
      <c r="V24" s="1019"/>
      <c r="W24" s="1019"/>
      <c r="X24" s="1019"/>
      <c r="Y24" s="1019"/>
      <c r="Z24" s="1019"/>
      <c r="AA24" s="1019"/>
      <c r="AB24" s="1019"/>
      <c r="AC24" s="1019"/>
      <c r="AD24" s="1019"/>
      <c r="AE24" s="1019"/>
      <c r="AF24" s="1019"/>
      <c r="AG24" s="1019"/>
    </row>
    <row r="25" spans="1:33" ht="18" customHeight="1">
      <c r="A25" s="1262" t="s">
        <v>908</v>
      </c>
      <c r="B25" s="918" t="s">
        <v>1394</v>
      </c>
      <c r="C25" s="121"/>
      <c r="D25" s="929" t="s">
        <v>1395</v>
      </c>
      <c r="E25" s="123"/>
      <c r="F25" s="928"/>
      <c r="G25" s="873"/>
      <c r="H25" s="911" t="s">
        <v>1396</v>
      </c>
      <c r="I25" s="1266" t="s">
        <v>1397</v>
      </c>
      <c r="J25" s="913">
        <f ca="1">J5-J16</f>
        <v>-711</v>
      </c>
      <c r="K25" s="1267" t="s">
        <v>1398</v>
      </c>
      <c r="L25" s="1268"/>
      <c r="M25" s="1269"/>
    </row>
    <row r="26" spans="1:33" ht="18" customHeight="1">
      <c r="A26" s="1258" t="s">
        <v>875</v>
      </c>
      <c r="B26" s="918" t="s">
        <v>1399</v>
      </c>
      <c r="C26" s="121">
        <f ca="1">ROUND((C19+C20)*F26,0)</f>
        <v>298</v>
      </c>
      <c r="D26" s="930" t="s">
        <v>1400</v>
      </c>
      <c r="E26" s="915" t="s">
        <v>1401</v>
      </c>
      <c r="F26" s="891">
        <f ca="1">INDIRECT("'数据-取费表'!q"&amp;$G$1)</f>
        <v>0.05</v>
      </c>
      <c r="G26" s="873"/>
      <c r="H26" s="1263" t="s">
        <v>1402</v>
      </c>
      <c r="I26" s="1270" t="s">
        <v>1403</v>
      </c>
      <c r="J26" s="1005">
        <f ca="1">IF(J5&lt;&gt;0,ROUND(J25*(1-((1+M28)/(1+M26))^M27)/(M26-M28),0),0)</f>
        <v>0</v>
      </c>
      <c r="K26" s="956" t="s">
        <v>1404</v>
      </c>
      <c r="L26" s="918" t="s">
        <v>1405</v>
      </c>
      <c r="M26" s="891">
        <f ca="1">INDIRECT("'数据-取费表'!I"&amp;$G$1)</f>
        <v>5.5E-2</v>
      </c>
    </row>
    <row r="27" spans="1:33" ht="18" customHeight="1">
      <c r="A27" s="1258" t="s">
        <v>880</v>
      </c>
      <c r="B27" s="918" t="s">
        <v>1406</v>
      </c>
      <c r="C27" s="121">
        <f ca="1">ROUND(F21*F26,4)</f>
        <v>8.0000000000000004E-4</v>
      </c>
      <c r="D27" s="930" t="s">
        <v>1407</v>
      </c>
      <c r="E27" s="923"/>
      <c r="F27" s="924"/>
      <c r="G27" s="873"/>
      <c r="H27" s="1264"/>
      <c r="I27" s="1023"/>
      <c r="J27" s="1006"/>
      <c r="K27" s="1024" t="s">
        <v>1408</v>
      </c>
      <c r="L27" s="918" t="s">
        <v>1409</v>
      </c>
      <c r="M27" s="1025">
        <f ca="1">INDIRECT("'数据-取费表'!ag"&amp;$G$1)</f>
        <v>0</v>
      </c>
    </row>
    <row r="28" spans="1:33" s="844" customFormat="1" ht="18" customHeight="1">
      <c r="A28" s="1262" t="s">
        <v>909</v>
      </c>
      <c r="B28" s="918" t="s">
        <v>1410</v>
      </c>
      <c r="C28" s="121">
        <f>ROUND(F28/(1+'数据-取费表'!C42),4)</f>
        <v>5.33E-2</v>
      </c>
      <c r="D28" s="930" t="s">
        <v>1411</v>
      </c>
      <c r="E28" s="918" t="s">
        <v>1356</v>
      </c>
      <c r="F28" s="926">
        <f>'数据-取费表'!B41</f>
        <v>5.6000000000000001E-2</v>
      </c>
      <c r="G28" s="925"/>
      <c r="H28" s="911"/>
      <c r="I28" s="1026"/>
      <c r="J28" s="913"/>
      <c r="K28" s="960"/>
      <c r="L28" s="918" t="s">
        <v>1412</v>
      </c>
      <c r="M28" s="891">
        <f ca="1">INDIRECT("'数据-取费表'!aa"&amp;$G$1)</f>
        <v>0</v>
      </c>
      <c r="N28" s="1019"/>
      <c r="O28" s="1019"/>
      <c r="P28" s="1019"/>
      <c r="Q28" s="1303"/>
      <c r="R28" s="1019"/>
      <c r="S28" s="1019"/>
      <c r="T28" s="1019"/>
      <c r="U28" s="1019"/>
      <c r="V28" s="1019"/>
      <c r="W28" s="1019"/>
      <c r="X28" s="1019"/>
      <c r="Y28" s="1019"/>
      <c r="Z28" s="1019"/>
      <c r="AA28" s="1019"/>
      <c r="AB28" s="1019"/>
      <c r="AC28" s="1019"/>
      <c r="AD28" s="1019"/>
      <c r="AE28" s="1019"/>
      <c r="AF28" s="1019"/>
      <c r="AG28" s="1019"/>
    </row>
    <row r="29" spans="1:33" s="844" customFormat="1" ht="18" customHeight="1">
      <c r="A29" s="1265" t="s">
        <v>1091</v>
      </c>
      <c r="B29" s="908" t="s">
        <v>1413</v>
      </c>
      <c r="C29" s="939">
        <f ca="1">ROUND((C19+C20+C23+C26)/(1-F21-C24-C27-C28),0)</f>
        <v>7182</v>
      </c>
      <c r="D29" s="940"/>
      <c r="E29" s="941"/>
      <c r="F29" s="942"/>
      <c r="G29" s="925"/>
      <c r="H29" s="943" t="s">
        <v>1414</v>
      </c>
      <c r="I29" s="1271" t="s">
        <v>1415</v>
      </c>
      <c r="J29" s="1028">
        <f ca="1">ROUND(J26/(1+F40)^F41,0)</f>
        <v>0</v>
      </c>
      <c r="K29" s="1029" t="s">
        <v>1416</v>
      </c>
      <c r="L29" s="1030"/>
      <c r="M29" s="986">
        <f ca="1">INDIRECT("'数据-取费表'!k"&amp;$G$1)</f>
        <v>10227.120000000001</v>
      </c>
      <c r="N29" s="1019"/>
      <c r="O29" s="1019"/>
      <c r="P29" s="1019"/>
      <c r="Q29" s="1303"/>
      <c r="R29" s="1019"/>
      <c r="S29" s="1019"/>
      <c r="T29" s="1019"/>
      <c r="U29" s="1019"/>
      <c r="V29" s="1019"/>
      <c r="W29" s="1019"/>
      <c r="X29" s="1019"/>
      <c r="Y29" s="1019"/>
      <c r="Z29" s="1019"/>
      <c r="AA29" s="1019"/>
      <c r="AB29" s="1019"/>
      <c r="AC29" s="1019"/>
      <c r="AD29" s="1019"/>
      <c r="AE29" s="1019"/>
      <c r="AF29" s="1019"/>
      <c r="AG29" s="1019"/>
    </row>
    <row r="30" spans="1:33" ht="18" customHeight="1">
      <c r="A30" s="911" t="s">
        <v>1357</v>
      </c>
      <c r="B30" s="912" t="s">
        <v>1358</v>
      </c>
      <c r="C30" s="913">
        <f ca="1">ROUND(C31+C36+C37+C38,0)</f>
        <v>273</v>
      </c>
      <c r="D30" s="944" t="s">
        <v>1359</v>
      </c>
      <c r="E30" s="945"/>
      <c r="F30" s="878"/>
      <c r="G30" s="946"/>
      <c r="H30" s="947"/>
      <c r="I30" s="1031"/>
      <c r="J30" s="1032"/>
      <c r="K30" s="1033"/>
      <c r="L30" s="1034"/>
      <c r="M30" s="1035"/>
    </row>
    <row r="31" spans="1:33" ht="18" customHeight="1">
      <c r="A31" s="1259" t="s">
        <v>851</v>
      </c>
      <c r="B31" s="918" t="s">
        <v>1364</v>
      </c>
      <c r="C31" s="121">
        <f ca="1">ROUND(IF(项目基本情况!B11="自然人",C5*F31,C32+C33+C34),1)</f>
        <v>146.1</v>
      </c>
      <c r="D31" s="920" t="s">
        <v>1365</v>
      </c>
      <c r="E31" s="948" t="s">
        <v>1366</v>
      </c>
      <c r="F31" s="949" t="str">
        <f ca="1">IF(项目基本情况!B11="企业","",IF(INDIRECT("'数据-取费表'!c"&amp;$G$1)="住宅",5%,IF(F6*F7*F8/12/(1+'数据-取费表'!C42)&gt;20000,12%,7%)))</f>
        <v/>
      </c>
      <c r="G31" s="946"/>
      <c r="H31" s="947"/>
      <c r="I31" s="1031"/>
      <c r="J31" s="1032"/>
      <c r="K31" s="1033"/>
      <c r="L31" s="1034"/>
      <c r="M31" s="1035"/>
    </row>
    <row r="32" spans="1:33" ht="18" customHeight="1">
      <c r="A32" s="1258" t="s">
        <v>875</v>
      </c>
      <c r="B32" s="918" t="s">
        <v>1368</v>
      </c>
      <c r="C32" s="121">
        <f ca="1">ROUND(C5*F32/1.05,1)</f>
        <v>44.8</v>
      </c>
      <c r="D32" s="948" t="s">
        <v>1369</v>
      </c>
      <c r="E32" s="918" t="s">
        <v>1356</v>
      </c>
      <c r="F32" s="926">
        <f>'数据-取费表'!B41</f>
        <v>5.6000000000000001E-2</v>
      </c>
      <c r="G32" s="946"/>
      <c r="H32" s="950"/>
      <c r="I32" s="1036"/>
      <c r="J32" s="1037"/>
      <c r="K32" s="1038"/>
      <c r="L32" s="1039"/>
      <c r="M32" s="1040"/>
    </row>
    <row r="33" spans="1:18" ht="18" customHeight="1">
      <c r="A33" s="1258" t="s">
        <v>880</v>
      </c>
      <c r="B33" s="918" t="s">
        <v>1372</v>
      </c>
      <c r="C33" s="121">
        <f ca="1">IF(D33="按租金收入计税",ROUND(C5*F33,1),IF(D33="按房产原值计税",ROUND(C29*F33*0.7,1),INDIRECT("'数据-取费表'!Aj"&amp;$G$1)))</f>
        <v>100.8</v>
      </c>
      <c r="D33" s="951" t="s">
        <v>1417</v>
      </c>
      <c r="E33" s="918" t="s">
        <v>1356</v>
      </c>
      <c r="F33" s="926">
        <f>IF(D33="按租金收入计税",'数据-取费表'!B51,'数据-取费表'!B50)</f>
        <v>0.12</v>
      </c>
      <c r="G33" s="946"/>
      <c r="H33" s="952"/>
      <c r="I33" s="952"/>
      <c r="J33" s="952"/>
      <c r="K33" s="1041"/>
      <c r="L33" s="952"/>
      <c r="M33" s="952"/>
    </row>
    <row r="34" spans="1:18" ht="18" customHeight="1">
      <c r="A34" s="1260" t="s">
        <v>883</v>
      </c>
      <c r="B34" s="954" t="s">
        <v>1376</v>
      </c>
      <c r="C34" s="955">
        <f ca="1">ROUND(F34*F35/10000,1)</f>
        <v>0.5</v>
      </c>
      <c r="D34" s="956" t="s">
        <v>1377</v>
      </c>
      <c r="E34" s="918" t="s">
        <v>1378</v>
      </c>
      <c r="F34" s="936">
        <f>'数据-取费表'!B52</f>
        <v>5</v>
      </c>
      <c r="G34" s="946"/>
      <c r="H34" s="947"/>
      <c r="I34" s="966" t="s">
        <v>1418</v>
      </c>
      <c r="J34" s="970"/>
      <c r="K34" s="1044"/>
      <c r="L34" s="1043"/>
      <c r="M34" s="1043"/>
    </row>
    <row r="35" spans="1:18" ht="18" customHeight="1">
      <c r="A35" s="957"/>
      <c r="B35" s="958"/>
      <c r="C35" s="959"/>
      <c r="D35" s="960"/>
      <c r="E35" s="918" t="s">
        <v>1382</v>
      </c>
      <c r="F35" s="883">
        <f ca="1">INDIRECT("'数据-取费表'!r"&amp;$G$1)</f>
        <v>912.75</v>
      </c>
      <c r="G35" s="946"/>
      <c r="H35" s="947"/>
      <c r="I35" s="1291" t="s">
        <v>1419</v>
      </c>
      <c r="J35" s="1292">
        <f ca="1">ROUND(C13*J36,0)</f>
        <v>575</v>
      </c>
      <c r="K35" s="1041"/>
      <c r="L35" s="952"/>
      <c r="M35" s="952"/>
    </row>
    <row r="36" spans="1:18" ht="18" customHeight="1">
      <c r="A36" s="1259" t="s">
        <v>853</v>
      </c>
      <c r="B36" s="918" t="s">
        <v>1385</v>
      </c>
      <c r="C36" s="121">
        <f ca="1">ROUND(C29*F36,1)</f>
        <v>107.7</v>
      </c>
      <c r="D36" s="948" t="s">
        <v>1420</v>
      </c>
      <c r="E36" s="918" t="s">
        <v>1356</v>
      </c>
      <c r="F36" s="961">
        <f ca="1">INDIRECT("'数据-取费表'!Ak"&amp;$G$1)</f>
        <v>1.4999999999999999E-2</v>
      </c>
      <c r="G36" s="946"/>
      <c r="H36" s="952"/>
      <c r="I36" s="1293" t="s">
        <v>1421</v>
      </c>
      <c r="J36" s="1294">
        <f ca="1">INDIRECT("'数据-取费表'!j"&amp;$G$1)</f>
        <v>0.08</v>
      </c>
      <c r="K36" s="1046"/>
      <c r="L36" s="952"/>
      <c r="M36" s="952"/>
    </row>
    <row r="37" spans="1:18" ht="18" customHeight="1">
      <c r="A37" s="1259" t="s">
        <v>1016</v>
      </c>
      <c r="B37" s="918" t="s">
        <v>1389</v>
      </c>
      <c r="C37" s="121">
        <f ca="1">ROUND(C13*F37,1)</f>
        <v>10.8</v>
      </c>
      <c r="D37" s="948" t="s">
        <v>1390</v>
      </c>
      <c r="E37" s="918" t="s">
        <v>1356</v>
      </c>
      <c r="F37" s="962">
        <f ca="1">INDIRECT("'数据-取费表'!Al"&amp;$G$1)</f>
        <v>1.5E-3</v>
      </c>
      <c r="G37" s="946"/>
      <c r="H37" s="952"/>
      <c r="I37" s="1295" t="s">
        <v>1422</v>
      </c>
      <c r="J37" s="1296"/>
      <c r="K37" s="1046"/>
      <c r="L37" s="952"/>
      <c r="M37" s="952"/>
    </row>
    <row r="38" spans="1:18" ht="18" customHeight="1">
      <c r="A38" s="910" t="s">
        <v>1383</v>
      </c>
      <c r="B38" s="941" t="s">
        <v>1374</v>
      </c>
      <c r="C38" s="939">
        <f ca="1">ROUND(C5*F38,1)</f>
        <v>8.4</v>
      </c>
      <c r="D38" s="940" t="s">
        <v>1393</v>
      </c>
      <c r="E38" s="941" t="s">
        <v>1356</v>
      </c>
      <c r="F38" s="909">
        <f ca="1">INDIRECT("'数据-取费表'!Am"&amp;$G$1)</f>
        <v>0.01</v>
      </c>
      <c r="G38" s="946"/>
      <c r="H38" s="952"/>
      <c r="I38" s="1297" t="s">
        <v>1423</v>
      </c>
      <c r="J38" s="1298"/>
      <c r="K38" s="1047"/>
      <c r="L38" s="952"/>
      <c r="M38" s="952"/>
    </row>
    <row r="39" spans="1:18" ht="24.6" customHeight="1">
      <c r="A39" s="911" t="s">
        <v>1396</v>
      </c>
      <c r="B39" s="1266" t="s">
        <v>1397</v>
      </c>
      <c r="C39" s="913">
        <f ca="1">C5-C30</f>
        <v>567</v>
      </c>
      <c r="D39" s="1267" t="s">
        <v>1398</v>
      </c>
      <c r="E39" s="1268"/>
      <c r="F39" s="1269"/>
      <c r="G39" s="946"/>
      <c r="H39" s="952"/>
      <c r="I39" s="1291" t="s">
        <v>1424</v>
      </c>
      <c r="J39" s="1299">
        <f ca="1">ROUND(J35/C39,3)</f>
        <v>1.014</v>
      </c>
      <c r="K39" s="1047"/>
      <c r="L39" s="952"/>
      <c r="M39" s="952"/>
    </row>
    <row r="40" spans="1:18" ht="18" customHeight="1">
      <c r="A40" s="874" t="s">
        <v>1402</v>
      </c>
      <c r="B40" s="1270" t="s">
        <v>1425</v>
      </c>
      <c r="C40" s="1005">
        <f ca="1">ROUND(C39*(1-((1+F42)/(1+F40))^F41)/(F40-F42),0)</f>
        <v>12083</v>
      </c>
      <c r="D40" s="956" t="s">
        <v>1404</v>
      </c>
      <c r="E40" s="918" t="s">
        <v>1405</v>
      </c>
      <c r="F40" s="891">
        <f ca="1">INDIRECT("'数据-取费表'!I"&amp;$G$1)</f>
        <v>5.5E-2</v>
      </c>
      <c r="G40" s="946"/>
      <c r="H40" s="946"/>
      <c r="I40" s="1291" t="s">
        <v>1426</v>
      </c>
      <c r="J40" s="1299">
        <f ca="1">1-J39</f>
        <v>-1.4000000000000012E-2</v>
      </c>
      <c r="K40" s="1047"/>
      <c r="L40" s="946"/>
      <c r="M40" s="946"/>
    </row>
    <row r="41" spans="1:18" ht="18" customHeight="1">
      <c r="A41" s="890"/>
      <c r="B41" s="1023"/>
      <c r="C41" s="1006"/>
      <c r="D41" s="1024" t="s">
        <v>1408</v>
      </c>
      <c r="E41" s="918" t="s">
        <v>1409</v>
      </c>
      <c r="F41" s="1025">
        <f ca="1">IF(INDIRECT("'数据-取费表'!af"&amp;$G$1)=0,INDIRECT("'数据-取费表'!ae"&amp;$G$1),INDIRECT("'数据-取费表'!af"&amp;$G$1))</f>
        <v>31.729999999999997</v>
      </c>
      <c r="G41" s="946"/>
      <c r="H41" s="1045"/>
      <c r="I41" s="1297" t="s">
        <v>1427</v>
      </c>
      <c r="J41" s="1103"/>
      <c r="K41" s="1046"/>
      <c r="L41" s="1045"/>
      <c r="M41" s="1045"/>
    </row>
    <row r="42" spans="1:18" ht="18" customHeight="1">
      <c r="A42" s="898"/>
      <c r="B42" s="1026"/>
      <c r="C42" s="913"/>
      <c r="D42" s="960"/>
      <c r="E42" s="918" t="s">
        <v>1412</v>
      </c>
      <c r="F42" s="891">
        <f ca="1">INDIRECT("'数据-取费表'!v"&amp;$G$1)</f>
        <v>0.03</v>
      </c>
      <c r="G42" s="946"/>
      <c r="H42" s="1045"/>
      <c r="I42" s="1300" t="s">
        <v>1428</v>
      </c>
      <c r="J42" s="1299">
        <f ca="1">ROUND(C13/C40,3)</f>
        <v>0.59399999999999997</v>
      </c>
      <c r="K42" s="1046"/>
      <c r="L42" s="1045"/>
      <c r="M42" s="1045"/>
    </row>
    <row r="43" spans="1:18" ht="18" customHeight="1">
      <c r="A43" s="943" t="s">
        <v>1414</v>
      </c>
      <c r="B43" s="1271" t="s">
        <v>1429</v>
      </c>
      <c r="C43" s="1028">
        <f ca="1">ROUND(C40*10000/F43,0)</f>
        <v>11815</v>
      </c>
      <c r="D43" s="1029" t="s">
        <v>1430</v>
      </c>
      <c r="E43" s="1030" t="s">
        <v>1431</v>
      </c>
      <c r="F43" s="986">
        <f ca="1">INDIRECT("'数据-取费表'!k"&amp;$G$1)</f>
        <v>10227.120000000001</v>
      </c>
      <c r="G43" s="946"/>
      <c r="H43" s="1045"/>
      <c r="I43" s="1300" t="s">
        <v>1432</v>
      </c>
      <c r="J43" s="1301">
        <f ca="1">1-J42</f>
        <v>0.40600000000000003</v>
      </c>
      <c r="K43" s="1046"/>
      <c r="L43" s="1045"/>
      <c r="M43" s="1045"/>
    </row>
    <row r="44" spans="1:18" s="609" customFormat="1" ht="18" customHeight="1">
      <c r="A44" s="988"/>
      <c r="B44" s="988"/>
      <c r="C44" s="1272"/>
      <c r="D44" s="988"/>
      <c r="E44" s="988"/>
      <c r="F44" s="988"/>
      <c r="K44" s="1093"/>
      <c r="Q44" s="999"/>
    </row>
    <row r="45" spans="1:18" s="609" customFormat="1" ht="18" customHeight="1">
      <c r="A45" s="988"/>
      <c r="B45" s="988"/>
      <c r="C45" s="1272"/>
      <c r="D45" s="988"/>
      <c r="E45" s="988"/>
      <c r="F45" s="988"/>
      <c r="K45" s="1093"/>
      <c r="Q45" s="999"/>
    </row>
    <row r="46" spans="1:18" s="609" customFormat="1" ht="18" customHeight="1">
      <c r="A46" s="1273" t="s">
        <v>1433</v>
      </c>
      <c r="B46" s="988"/>
      <c r="C46" s="1274">
        <f ca="1">C67-C40</f>
        <v>-13851</v>
      </c>
      <c r="D46" s="988"/>
      <c r="E46" s="988"/>
      <c r="F46" s="988"/>
      <c r="I46" s="1048" t="s">
        <v>1434</v>
      </c>
      <c r="J46" s="1049"/>
      <c r="K46" s="1050"/>
      <c r="L46" s="1051">
        <f>IF(OR(M47="住宅",D1="土地（套用方法）"),0,IF(L48&gt;J51,L60,J60))</f>
        <v>0</v>
      </c>
      <c r="O46" s="1052" t="s">
        <v>1435</v>
      </c>
      <c r="P46" s="873"/>
      <c r="Q46" s="1098"/>
      <c r="R46" s="873"/>
    </row>
    <row r="47" spans="1:18" s="609" customFormat="1" ht="18" customHeight="1">
      <c r="A47" s="1275">
        <v>1</v>
      </c>
      <c r="B47" s="1276" t="s">
        <v>1436</v>
      </c>
      <c r="C47" s="1274">
        <f ca="1">C48+C52+C54</f>
        <v>0</v>
      </c>
      <c r="D47" s="988"/>
      <c r="E47" s="988"/>
      <c r="F47" s="988"/>
      <c r="I47" s="1053" t="s">
        <v>1437</v>
      </c>
      <c r="J47" s="1054" t="s">
        <v>1438</v>
      </c>
      <c r="K47" s="1055" t="s">
        <v>1439</v>
      </c>
      <c r="L47" s="1056">
        <f ca="1">INDIRECT("'数据-取费表'!d"&amp;$G$1)</f>
        <v>40</v>
      </c>
      <c r="M47" s="1098" t="str">
        <f>IF(ISNUMBER(FIND("住宅",C1)),"住宅","非住宅")</f>
        <v>非住宅</v>
      </c>
      <c r="O47" s="1058" t="s">
        <v>1440</v>
      </c>
      <c r="P47" s="1059" t="s">
        <v>1441</v>
      </c>
      <c r="Q47" s="1099" t="s">
        <v>1442</v>
      </c>
      <c r="R47" s="1059" t="s">
        <v>1443</v>
      </c>
    </row>
    <row r="48" spans="1:18" s="609" customFormat="1" ht="18" customHeight="1">
      <c r="A48" s="1277" t="s">
        <v>1128</v>
      </c>
      <c r="B48" s="1278" t="s">
        <v>1444</v>
      </c>
      <c r="C48" s="1279">
        <f ca="1">ROUND(F48*F50*F49*(1-F51)/10000,0)</f>
        <v>0</v>
      </c>
      <c r="D48" s="1280" t="s">
        <v>1339</v>
      </c>
      <c r="E48" s="1281" t="s">
        <v>1445</v>
      </c>
      <c r="F48" s="1282"/>
      <c r="G48" s="992"/>
      <c r="I48" s="1060" t="s">
        <v>1446</v>
      </c>
      <c r="J48" s="1061" t="s">
        <v>1447</v>
      </c>
      <c r="K48" s="1062" t="s">
        <v>1448</v>
      </c>
      <c r="L48" s="1063">
        <f ca="1">INDIRECT("'数据-取费表'!f"&amp;$G$1)</f>
        <v>34.729999999999997</v>
      </c>
      <c r="O48" s="1064" t="s">
        <v>1449</v>
      </c>
      <c r="P48" s="1065" t="s">
        <v>1450</v>
      </c>
      <c r="Q48" s="1100">
        <f ca="1">C40+J29</f>
        <v>12083</v>
      </c>
      <c r="R48" s="1065" t="s">
        <v>1451</v>
      </c>
    </row>
    <row r="49" spans="1:18" s="609" customFormat="1" ht="18" customHeight="1">
      <c r="A49" s="890"/>
      <c r="B49" s="1023"/>
      <c r="C49" s="1006"/>
      <c r="D49" s="901"/>
      <c r="E49" s="918" t="s">
        <v>1340</v>
      </c>
      <c r="F49" s="883">
        <f ca="1">F7</f>
        <v>10227.120000000001</v>
      </c>
      <c r="G49" s="992"/>
      <c r="H49" s="995"/>
      <c r="I49" s="1060" t="s">
        <v>1452</v>
      </c>
      <c r="J49" s="1066">
        <v>2021</v>
      </c>
      <c r="K49" s="1067" t="s">
        <v>1453</v>
      </c>
      <c r="L49" s="1068"/>
      <c r="O49" s="1064" t="s">
        <v>1454</v>
      </c>
      <c r="P49" s="1065" t="s">
        <v>1455</v>
      </c>
      <c r="Q49" s="1100">
        <f ca="1">J60</f>
        <v>246</v>
      </c>
      <c r="R49" s="1065" t="s">
        <v>1456</v>
      </c>
    </row>
    <row r="50" spans="1:18" s="609" customFormat="1" ht="18" customHeight="1">
      <c r="A50" s="890"/>
      <c r="B50" s="1023"/>
      <c r="C50" s="1006"/>
      <c r="D50" s="901"/>
      <c r="E50" s="918" t="s">
        <v>1341</v>
      </c>
      <c r="F50" s="883">
        <f ca="1">F8</f>
        <v>365</v>
      </c>
      <c r="G50" s="997"/>
      <c r="H50" s="995"/>
      <c r="I50" s="1060" t="s">
        <v>1457</v>
      </c>
      <c r="J50" s="1069">
        <f>SUMPRODUCT((I63:I65=J47)*(J62:L62=J48)*(J63:L65))</f>
        <v>60</v>
      </c>
      <c r="K50" s="1067" t="s">
        <v>1458</v>
      </c>
      <c r="L50" s="1068"/>
      <c r="O50" s="1070" t="s">
        <v>1459</v>
      </c>
      <c r="P50" s="1065" t="s">
        <v>1460</v>
      </c>
      <c r="Q50" s="1100">
        <f ca="1">C29</f>
        <v>7182</v>
      </c>
      <c r="R50" s="1065" t="s">
        <v>1451</v>
      </c>
    </row>
    <row r="51" spans="1:18" s="609" customFormat="1" ht="18" customHeight="1">
      <c r="A51" s="890"/>
      <c r="B51" s="1023"/>
      <c r="C51" s="1006"/>
      <c r="D51" s="901"/>
      <c r="E51" s="918" t="s">
        <v>1342</v>
      </c>
      <c r="F51" s="1283"/>
      <c r="H51" s="995"/>
      <c r="I51" s="1071" t="s">
        <v>1461</v>
      </c>
      <c r="J51" s="1072">
        <f>IF(J49="",J50,J49+J50-YEAR('数据-取费表'!B2))</f>
        <v>62</v>
      </c>
      <c r="K51" s="1060" t="s">
        <v>1462</v>
      </c>
      <c r="L51" s="1073">
        <f ca="1">ROUND(-PV(INDIRECT("'数据-取费表'!h"&amp;$G$1),L48,(C39-C13*J36),0),0)</f>
        <v>-123</v>
      </c>
      <c r="O51" s="1070" t="s">
        <v>1463</v>
      </c>
      <c r="P51" s="1065" t="s">
        <v>1464</v>
      </c>
      <c r="Q51" s="1101">
        <f ca="1">J58</f>
        <v>0.45500000000000002</v>
      </c>
      <c r="R51" s="1102"/>
    </row>
    <row r="52" spans="1:18" s="609" customFormat="1" ht="18" customHeight="1">
      <c r="A52" s="874" t="s">
        <v>1465</v>
      </c>
      <c r="B52" s="893" t="s">
        <v>1343</v>
      </c>
      <c r="C52" s="120">
        <f ca="1">ROUND(IF(F52="押一",C48/12*F11,IF(F52="押二",C48/12*2*F11,IF(F52="押三",C48/12*3*F11,C53*F11))),0)</f>
        <v>0</v>
      </c>
      <c r="D52" s="894" t="s">
        <v>1344</v>
      </c>
      <c r="E52" s="895" t="s">
        <v>1345</v>
      </c>
      <c r="F52" s="896"/>
      <c r="I52" s="1074" t="s">
        <v>1466</v>
      </c>
      <c r="J52" s="1075">
        <v>8.5000000000000006E-2</v>
      </c>
      <c r="K52" s="1074" t="s">
        <v>1187</v>
      </c>
      <c r="L52" s="1075"/>
      <c r="O52" s="1070" t="s">
        <v>1467</v>
      </c>
      <c r="P52" s="1065" t="s">
        <v>1468</v>
      </c>
      <c r="Q52" s="1101">
        <f>J52</f>
        <v>8.5000000000000006E-2</v>
      </c>
      <c r="R52" s="1102"/>
    </row>
    <row r="53" spans="1:18" s="609" customFormat="1" ht="39.75" customHeight="1">
      <c r="A53" s="890"/>
      <c r="B53" s="899" t="s">
        <v>1347</v>
      </c>
      <c r="C53" s="900"/>
      <c r="D53" s="894"/>
      <c r="E53" s="895"/>
      <c r="F53" s="916"/>
      <c r="I53" s="1076" t="s">
        <v>1469</v>
      </c>
      <c r="J53" s="1077">
        <f ca="1">IF(M47="住宅",IF(D1="——",MAX(J51,L48),MAX(J51,L48-'数据-取费表'!B20)),IF(D1="——",MIN(J51,L48),MIN(J51,L48-'数据-取费表'!B20)))</f>
        <v>31.729999999999997</v>
      </c>
      <c r="K53" s="3424" t="s">
        <v>1470</v>
      </c>
      <c r="L53" s="3425"/>
      <c r="O53" s="1070" t="s">
        <v>1471</v>
      </c>
      <c r="P53" s="1065" t="s">
        <v>1472</v>
      </c>
      <c r="Q53" s="1100">
        <f ca="1">J53</f>
        <v>31.729999999999997</v>
      </c>
      <c r="R53" s="1065" t="s">
        <v>1473</v>
      </c>
    </row>
    <row r="54" spans="1:18" s="609" customFormat="1" ht="18" customHeight="1">
      <c r="A54" s="904" t="s">
        <v>1016</v>
      </c>
      <c r="B54" s="905" t="s">
        <v>1348</v>
      </c>
      <c r="C54" s="906"/>
      <c r="D54" s="894"/>
      <c r="E54" s="895"/>
      <c r="F54" s="91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O54" s="1064" t="s">
        <v>1474</v>
      </c>
      <c r="P54" s="1065" t="s">
        <v>1475</v>
      </c>
      <c r="Q54" s="1100">
        <f ca="1">Q48+Q49</f>
        <v>12329</v>
      </c>
      <c r="R54" s="1102" t="s">
        <v>1476</v>
      </c>
    </row>
    <row r="55" spans="1:18" s="609" customFormat="1" ht="18" customHeight="1">
      <c r="A55" s="927">
        <v>2</v>
      </c>
      <c r="B55" s="1020" t="s">
        <v>1349</v>
      </c>
      <c r="C55" s="120">
        <f ca="1">C13</f>
        <v>7182</v>
      </c>
      <c r="D55" s="915"/>
      <c r="E55" s="915"/>
      <c r="F55" s="916"/>
      <c r="I55" s="1080" t="s">
        <v>1477</v>
      </c>
      <c r="J55" s="1081">
        <f ca="1">ROUND(IF(J47="钢混",J57/J50,1-(1-2%)*(J50-J57)/J50),3)</f>
        <v>0.45500000000000002</v>
      </c>
      <c r="K55" s="1082" t="s">
        <v>1478</v>
      </c>
      <c r="L55" s="1083"/>
      <c r="O55" s="1084" t="s">
        <v>1479</v>
      </c>
      <c r="P55" s="873"/>
      <c r="Q55" s="1098"/>
      <c r="R55" s="873"/>
    </row>
    <row r="56" spans="1:18" s="609" customFormat="1" ht="42.75" customHeight="1">
      <c r="A56" s="1262"/>
      <c r="B56" s="1016" t="s">
        <v>1413</v>
      </c>
      <c r="C56" s="121">
        <f ca="1">C29</f>
        <v>7182</v>
      </c>
      <c r="D56" s="948"/>
      <c r="E56" s="918"/>
      <c r="F56" s="926"/>
      <c r="I56" s="1085" t="s">
        <v>1480</v>
      </c>
      <c r="J56" s="1086" t="s">
        <v>457</v>
      </c>
      <c r="K56" s="1060" t="s">
        <v>1481</v>
      </c>
      <c r="L56" s="1063" t="str">
        <f ca="1">IF(L48&lt;J51,"——",L48-J51)</f>
        <v>——</v>
      </c>
      <c r="O56" s="1058" t="s">
        <v>1440</v>
      </c>
      <c r="P56" s="1059" t="s">
        <v>1441</v>
      </c>
      <c r="Q56" s="1099" t="s">
        <v>1442</v>
      </c>
      <c r="R56" s="1059" t="s">
        <v>1443</v>
      </c>
    </row>
    <row r="57" spans="1:18" s="609" customFormat="1" ht="28.5" customHeight="1">
      <c r="A57" s="927" t="s">
        <v>1357</v>
      </c>
      <c r="B57" s="1020" t="s">
        <v>1358</v>
      </c>
      <c r="C57" s="120">
        <f ca="1">ROUND(C58+C63+C64+C65,0)</f>
        <v>119</v>
      </c>
      <c r="D57" s="1017" t="s">
        <v>1359</v>
      </c>
      <c r="E57" s="123"/>
      <c r="F57" s="928"/>
      <c r="I57" s="1087" t="s">
        <v>1482</v>
      </c>
      <c r="J57" s="1088">
        <f ca="1">IF(OR(M47="住宅",J51&lt;L48,J56="是"),"——",J51-L48)</f>
        <v>27.270000000000003</v>
      </c>
      <c r="K57" s="1060" t="s">
        <v>1483</v>
      </c>
      <c r="L57" s="1063" t="str">
        <f ca="1">IF(L48&lt;J51,"——",IF(L55="比较法",L49,IF(L55="基准地价",L50,L51)))</f>
        <v>——</v>
      </c>
      <c r="O57" s="1064" t="s">
        <v>1449</v>
      </c>
      <c r="P57" s="1065" t="s">
        <v>1450</v>
      </c>
      <c r="Q57" s="1100">
        <f ca="1">C40+J29</f>
        <v>12083</v>
      </c>
      <c r="R57" s="1065" t="s">
        <v>1451</v>
      </c>
    </row>
    <row r="58" spans="1:18" s="609" customFormat="1" ht="28.5" customHeight="1">
      <c r="A58" s="1259" t="s">
        <v>851</v>
      </c>
      <c r="B58" s="918" t="s">
        <v>1364</v>
      </c>
      <c r="C58" s="121">
        <f ca="1">ROUND(IF(项目基本情况!B11="自然人",C47*F58,C59+C60+C61),1)</f>
        <v>0.5</v>
      </c>
      <c r="D58" s="920" t="s">
        <v>1365</v>
      </c>
      <c r="E58" s="948" t="s">
        <v>1366</v>
      </c>
      <c r="F58" s="949" t="str">
        <f ca="1">IF(项目基本情况!B11="企业","",IF(INDIRECT("'数据-取费表'!c"&amp;$G$1)="住宅",5%,IF(F48*F49*F50/12/(1+'数据-取费表'!C42)&gt;20000,12%,7%)))</f>
        <v/>
      </c>
      <c r="I58" s="1087" t="s">
        <v>1484</v>
      </c>
      <c r="J58" s="1089">
        <f ca="1">IF(J55&lt;0.4,0.4,J55)</f>
        <v>0.45500000000000002</v>
      </c>
      <c r="K58" s="1060" t="s">
        <v>1485</v>
      </c>
      <c r="L58" s="1063" t="e">
        <f ca="1">ROUND(POWER(1+L52,L47-L48)*(POWER(1+L52,L48)-1)/(POWER(1+L52,L47)-1),4)</f>
        <v>#DIV/0!</v>
      </c>
      <c r="O58" s="1064" t="s">
        <v>1454</v>
      </c>
      <c r="P58" s="1065" t="s">
        <v>1486</v>
      </c>
      <c r="Q58" s="1100">
        <f ca="1">L60</f>
        <v>0</v>
      </c>
      <c r="R58" s="1102" t="s">
        <v>1487</v>
      </c>
    </row>
    <row r="59" spans="1:18" s="609" customFormat="1" ht="28.5" customHeight="1">
      <c r="A59" s="1258" t="s">
        <v>875</v>
      </c>
      <c r="B59" s="918" t="s">
        <v>1368</v>
      </c>
      <c r="C59" s="121">
        <f ca="1">ROUND(C47*F59/1.05,1)</f>
        <v>0</v>
      </c>
      <c r="D59" s="948" t="s">
        <v>1369</v>
      </c>
      <c r="E59" s="918" t="s">
        <v>1356</v>
      </c>
      <c r="F59" s="926">
        <f t="shared" ref="F59:F65" si="0">F32</f>
        <v>5.6000000000000001E-2</v>
      </c>
      <c r="I59" s="1087" t="s">
        <v>1488</v>
      </c>
      <c r="J59" s="1088">
        <f ca="1">IF(OR(M47="住宅",J51&lt;L48,J56="是"),"——",ROUND(C29*J58,0))</f>
        <v>3268</v>
      </c>
      <c r="K59" s="1060" t="str">
        <f>IF(D1="——","建筑物剩余耐用年限下的土地年期修正系数Kn","建设期及建筑物耐用年限下的土地年期修正系数Kn")</f>
        <v>建设期及建筑物耐用年限下的土地年期修正系数Kn</v>
      </c>
      <c r="L59" s="1063" t="e">
        <f ca="1">ROUND(IF(D1="土地（套用方法）",POWER(1+L52,L47-(J51+'数据-取费表'!B20))*(POWER(1+L52,(J51+'数据-取费表'!B20))-1)/(POWER(1+L52,L47)-1),POWER(1+L52,L47-J51)*(POWER(1+L52,J51)-1)/(POWER(1+L52,L47)-1)),4)</f>
        <v>#DIV/0!</v>
      </c>
      <c r="O59" s="1070" t="s">
        <v>1459</v>
      </c>
      <c r="P59" s="1065" t="s">
        <v>1489</v>
      </c>
      <c r="Q59" s="1100">
        <f>IF(L55="比较法",L49,IF(L55="基准地价",L50,0))</f>
        <v>0</v>
      </c>
      <c r="R59" s="1065" t="s">
        <v>1451</v>
      </c>
    </row>
    <row r="60" spans="1:18" s="609" customFormat="1" ht="18" customHeight="1">
      <c r="A60" s="1258" t="s">
        <v>880</v>
      </c>
      <c r="B60" s="918" t="s">
        <v>1372</v>
      </c>
      <c r="C60" s="121">
        <f ca="1">IF(D60="按租金收入计税",ROUND(C47*F60,1),IF(D60="按房产原值计税",ROUND(C56*F60*0.7,1),INDIRECT("'数据-取费表'!Aj"&amp;$G$1)))</f>
        <v>0</v>
      </c>
      <c r="D60" s="948" t="str">
        <f>D33</f>
        <v>按租金收入计税</v>
      </c>
      <c r="E60" s="918" t="s">
        <v>1356</v>
      </c>
      <c r="F60" s="926">
        <f t="shared" si="0"/>
        <v>0.12</v>
      </c>
      <c r="I60" s="1090" t="s">
        <v>1490</v>
      </c>
      <c r="J60" s="1091">
        <f ca="1">IF(OR(M47="住宅",J51&lt;L48,J56="是"),"0",ROUND(J59/(1+J52)^J53,0))</f>
        <v>246</v>
      </c>
      <c r="K60" s="1092" t="s">
        <v>1491</v>
      </c>
      <c r="L60" s="1091">
        <f ca="1">IF(OR(M47="住宅",L48&lt;J51),0,ROUND(L57*(L58/L59-1),0))</f>
        <v>0</v>
      </c>
      <c r="O60" s="1070" t="s">
        <v>1463</v>
      </c>
      <c r="P60" s="1065" t="s">
        <v>1492</v>
      </c>
      <c r="Q60" s="1101">
        <f>L52</f>
        <v>0</v>
      </c>
      <c r="R60" s="1102"/>
    </row>
    <row r="61" spans="1:18" s="609" customFormat="1" ht="18" customHeight="1">
      <c r="A61" s="1260" t="s">
        <v>883</v>
      </c>
      <c r="B61" s="954" t="s">
        <v>1376</v>
      </c>
      <c r="C61" s="955">
        <f ca="1">ROUND(F61*F62/10000,1)</f>
        <v>0.5</v>
      </c>
      <c r="D61" s="956" t="s">
        <v>1377</v>
      </c>
      <c r="E61" s="918" t="s">
        <v>1378</v>
      </c>
      <c r="F61" s="936">
        <f t="shared" si="0"/>
        <v>5</v>
      </c>
      <c r="K61" s="1093"/>
      <c r="O61" s="1070" t="s">
        <v>1467</v>
      </c>
      <c r="P61" s="1065" t="s">
        <v>1493</v>
      </c>
      <c r="Q61" s="1100" t="e">
        <f ca="1">L58</f>
        <v>#DIV/0!</v>
      </c>
      <c r="R61" s="1102" t="s">
        <v>1494</v>
      </c>
    </row>
    <row r="62" spans="1:18" s="609" customFormat="1" ht="15.6">
      <c r="A62" s="957"/>
      <c r="B62" s="958"/>
      <c r="C62" s="959"/>
      <c r="D62" s="960"/>
      <c r="E62" s="918" t="s">
        <v>1382</v>
      </c>
      <c r="F62" s="883">
        <f t="shared" ca="1" si="0"/>
        <v>912.75</v>
      </c>
      <c r="I62" s="1094" t="s">
        <v>1495</v>
      </c>
      <c r="J62" s="1095" t="s">
        <v>1496</v>
      </c>
      <c r="K62" s="1095" t="s">
        <v>1497</v>
      </c>
      <c r="L62" s="1095" t="s">
        <v>1447</v>
      </c>
      <c r="M62" s="1096" t="s">
        <v>1498</v>
      </c>
      <c r="O62" s="1070" t="s">
        <v>1471</v>
      </c>
      <c r="P62" s="1065" t="str">
        <f>K59</f>
        <v>建设期及建筑物耐用年限下的土地年期修正系数Kn</v>
      </c>
      <c r="Q62" s="1100" t="e">
        <f ca="1">L59</f>
        <v>#DIV/0!</v>
      </c>
      <c r="R62" s="1102" t="s">
        <v>1499</v>
      </c>
    </row>
    <row r="63" spans="1:18" s="609" customFormat="1" ht="15.6">
      <c r="A63" s="1259" t="s">
        <v>853</v>
      </c>
      <c r="B63" s="918" t="s">
        <v>1385</v>
      </c>
      <c r="C63" s="121">
        <f ca="1">ROUND(C56*F63,1)</f>
        <v>107.7</v>
      </c>
      <c r="D63" s="948" t="s">
        <v>1420</v>
      </c>
      <c r="E63" s="918" t="s">
        <v>1356</v>
      </c>
      <c r="F63" s="961">
        <f t="shared" ca="1" si="0"/>
        <v>1.4999999999999999E-2</v>
      </c>
      <c r="I63" s="1094" t="s">
        <v>1500</v>
      </c>
      <c r="J63" s="1095">
        <v>70</v>
      </c>
      <c r="K63" s="1095">
        <v>50</v>
      </c>
      <c r="L63" s="1095">
        <v>80</v>
      </c>
      <c r="M63" s="1097">
        <v>0.02</v>
      </c>
      <c r="O63" s="1064" t="s">
        <v>1474</v>
      </c>
      <c r="P63" s="1065" t="s">
        <v>1475</v>
      </c>
      <c r="Q63" s="1100">
        <f ca="1">Q57+Q58</f>
        <v>12083</v>
      </c>
      <c r="R63" s="1102" t="s">
        <v>1476</v>
      </c>
    </row>
    <row r="64" spans="1:18" s="609" customFormat="1" ht="15.6">
      <c r="A64" s="1259" t="s">
        <v>1016</v>
      </c>
      <c r="B64" s="918" t="s">
        <v>1389</v>
      </c>
      <c r="C64" s="121">
        <f ca="1">ROUND(C55*F64,1)</f>
        <v>10.8</v>
      </c>
      <c r="D64" s="948" t="s">
        <v>1390</v>
      </c>
      <c r="E64" s="918" t="s">
        <v>1356</v>
      </c>
      <c r="F64" s="962">
        <f t="shared" ca="1" si="0"/>
        <v>1.5E-3</v>
      </c>
      <c r="I64" s="1094" t="s">
        <v>1438</v>
      </c>
      <c r="J64" s="1095">
        <v>50</v>
      </c>
      <c r="K64" s="1095">
        <v>35</v>
      </c>
      <c r="L64" s="1095">
        <v>60</v>
      </c>
      <c r="M64" s="1103">
        <v>0</v>
      </c>
      <c r="O64" s="1084" t="s">
        <v>1501</v>
      </c>
      <c r="P64" s="873"/>
      <c r="Q64" s="1098"/>
      <c r="R64" s="873"/>
    </row>
    <row r="65" spans="1:18" s="609" customFormat="1" ht="15.6">
      <c r="A65" s="1259" t="s">
        <v>1383</v>
      </c>
      <c r="B65" s="918" t="s">
        <v>1374</v>
      </c>
      <c r="C65" s="121">
        <f ca="1">ROUND(C47*F65,1)</f>
        <v>0</v>
      </c>
      <c r="D65" s="948" t="s">
        <v>1393</v>
      </c>
      <c r="E65" s="918" t="s">
        <v>1356</v>
      </c>
      <c r="F65" s="891">
        <f t="shared" ca="1" si="0"/>
        <v>0.01</v>
      </c>
      <c r="I65" s="1094" t="s">
        <v>1502</v>
      </c>
      <c r="J65" s="1095">
        <v>40</v>
      </c>
      <c r="K65" s="1095">
        <v>30</v>
      </c>
      <c r="L65" s="1095">
        <v>50</v>
      </c>
      <c r="M65" s="1097">
        <v>0.02</v>
      </c>
      <c r="O65" s="1058" t="s">
        <v>1440</v>
      </c>
      <c r="P65" s="1059" t="s">
        <v>1441</v>
      </c>
      <c r="Q65" s="1099" t="s">
        <v>1442</v>
      </c>
      <c r="R65" s="1059" t="s">
        <v>1443</v>
      </c>
    </row>
    <row r="66" spans="1:18" s="609" customFormat="1" ht="24">
      <c r="A66" s="927" t="s">
        <v>1396</v>
      </c>
      <c r="B66" s="1022" t="s">
        <v>1397</v>
      </c>
      <c r="C66" s="120">
        <f ca="1">C47-C57</f>
        <v>-119</v>
      </c>
      <c r="D66" s="920" t="s">
        <v>1398</v>
      </c>
      <c r="E66" s="968"/>
      <c r="F66" s="969"/>
      <c r="K66" s="1093"/>
      <c r="O66" s="1064" t="s">
        <v>1449</v>
      </c>
      <c r="P66" s="1065" t="s">
        <v>1450</v>
      </c>
      <c r="Q66" s="1100">
        <f ca="1">C40+J29</f>
        <v>12083</v>
      </c>
      <c r="R66" s="1065" t="s">
        <v>1451</v>
      </c>
    </row>
    <row r="67" spans="1:18" s="609" customFormat="1" ht="18.600000000000001">
      <c r="A67" s="874" t="s">
        <v>1402</v>
      </c>
      <c r="B67" s="1270" t="s">
        <v>1425</v>
      </c>
      <c r="C67" s="1005">
        <f ca="1">ROUND(C66*(1-((1+F69)/(1+F67))^F68)/(F67-F69),0)</f>
        <v>-1768</v>
      </c>
      <c r="D67" s="956" t="s">
        <v>1404</v>
      </c>
      <c r="E67" s="918" t="s">
        <v>1503</v>
      </c>
      <c r="F67" s="891">
        <f t="shared" ref="F67:F70" ca="1" si="1">F40</f>
        <v>5.5E-2</v>
      </c>
      <c r="K67" s="1093"/>
      <c r="O67" s="1064" t="s">
        <v>1454</v>
      </c>
      <c r="P67" s="1065" t="s">
        <v>1486</v>
      </c>
      <c r="Q67" s="1100">
        <f ca="1">L60</f>
        <v>0</v>
      </c>
      <c r="R67" s="1102" t="s">
        <v>1487</v>
      </c>
    </row>
    <row r="68" spans="1:18" ht="19.8">
      <c r="A68" s="890"/>
      <c r="B68" s="1023"/>
      <c r="C68" s="1006"/>
      <c r="D68" s="1024" t="s">
        <v>1408</v>
      </c>
      <c r="E68" s="918" t="s">
        <v>1409</v>
      </c>
      <c r="F68" s="1025">
        <f t="shared" ca="1" si="1"/>
        <v>31.729999999999997</v>
      </c>
      <c r="O68" s="1070" t="s">
        <v>1459</v>
      </c>
      <c r="P68" s="1065" t="s">
        <v>1489</v>
      </c>
      <c r="Q68" s="1105">
        <f ca="1">L51</f>
        <v>-123</v>
      </c>
      <c r="R68" s="1106" t="s">
        <v>1504</v>
      </c>
    </row>
    <row r="69" spans="1:18" ht="18.600000000000001">
      <c r="A69" s="898"/>
      <c r="B69" s="1026"/>
      <c r="C69" s="913"/>
      <c r="D69" s="960"/>
      <c r="E69" s="918" t="s">
        <v>1412</v>
      </c>
      <c r="F69" s="1283"/>
      <c r="O69" s="1070" t="s">
        <v>1463</v>
      </c>
      <c r="P69" s="1104" t="s">
        <v>1505</v>
      </c>
      <c r="Q69" s="1100">
        <f ca="1">ROUND(Q70-Q71*Q72,0)</f>
        <v>-8</v>
      </c>
      <c r="R69" s="1102"/>
    </row>
    <row r="70" spans="1:18" ht="15.6">
      <c r="A70" s="943" t="s">
        <v>1414</v>
      </c>
      <c r="B70" s="1271" t="s">
        <v>1429</v>
      </c>
      <c r="C70" s="1028">
        <f ca="1">ROUND(C67*10000/F70,0)</f>
        <v>-1729</v>
      </c>
      <c r="D70" s="1029" t="s">
        <v>1430</v>
      </c>
      <c r="E70" s="1030" t="s">
        <v>1431</v>
      </c>
      <c r="F70" s="986">
        <f t="shared" ca="1" si="1"/>
        <v>10227.120000000001</v>
      </c>
      <c r="O70" s="1070" t="s">
        <v>1506</v>
      </c>
      <c r="P70" s="1104" t="s">
        <v>1507</v>
      </c>
      <c r="Q70" s="1100">
        <f ca="1">C39</f>
        <v>567</v>
      </c>
      <c r="R70" s="1065" t="s">
        <v>1451</v>
      </c>
    </row>
    <row r="71" spans="1:18" ht="15.6">
      <c r="O71" s="1070" t="s">
        <v>1508</v>
      </c>
      <c r="P71" s="1104" t="s">
        <v>1509</v>
      </c>
      <c r="Q71" s="1100">
        <f ca="1">C13</f>
        <v>7182</v>
      </c>
      <c r="R71" s="1065" t="s">
        <v>1451</v>
      </c>
    </row>
    <row r="72" spans="1:18" ht="15.6">
      <c r="O72" s="1070" t="s">
        <v>1510</v>
      </c>
      <c r="P72" s="1104" t="s">
        <v>1511</v>
      </c>
      <c r="Q72" s="1101">
        <f ca="1">J36</f>
        <v>0.08</v>
      </c>
      <c r="R72" s="1102"/>
    </row>
    <row r="73" spans="1:18" ht="15.6">
      <c r="O73" s="1070" t="s">
        <v>1467</v>
      </c>
      <c r="P73" s="1065" t="s">
        <v>1492</v>
      </c>
      <c r="Q73" s="1101">
        <f>L52</f>
        <v>0</v>
      </c>
      <c r="R73" s="1102"/>
    </row>
    <row r="74" spans="1:18" ht="18.600000000000001">
      <c r="O74" s="1070" t="s">
        <v>1471</v>
      </c>
      <c r="P74" s="1065" t="s">
        <v>1493</v>
      </c>
      <c r="Q74" s="1100" t="e">
        <f ca="1">L58</f>
        <v>#DIV/0!</v>
      </c>
      <c r="R74" s="1102" t="s">
        <v>1494</v>
      </c>
    </row>
    <row r="75" spans="1:18" ht="15.6">
      <c r="O75" s="1070" t="s">
        <v>1512</v>
      </c>
      <c r="P75" s="1065" t="str">
        <f>K59</f>
        <v>建设期及建筑物耐用年限下的土地年期修正系数Kn</v>
      </c>
      <c r="Q75" s="1100" t="e">
        <f ca="1">L59</f>
        <v>#DIV/0!</v>
      </c>
      <c r="R75" s="1102" t="s">
        <v>1499</v>
      </c>
    </row>
    <row r="76" spans="1:18" ht="15.6">
      <c r="O76" s="1064" t="s">
        <v>1474</v>
      </c>
      <c r="P76" s="1065" t="s">
        <v>1475</v>
      </c>
      <c r="Q76" s="1100">
        <f ca="1">Q66+Q67</f>
        <v>12083</v>
      </c>
      <c r="R76" s="1102" t="s">
        <v>1476</v>
      </c>
    </row>
  </sheetData>
  <sheetProtection password="C66D" sheet="1" objects="1" scenarios="1" formatCells="0" formatColumns="0" formatRows="0"/>
  <mergeCells count="3">
    <mergeCell ref="K53:L53"/>
    <mergeCell ref="B6:B9"/>
    <mergeCell ref="I6:I9"/>
  </mergeCells>
  <phoneticPr fontId="231" type="noConversion"/>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K55">
    <cfRule type="expression" dxfId="91" priority="6">
      <formula>$L$48&gt;$J$51</formula>
    </cfRule>
  </conditionalFormatting>
  <conditionalFormatting sqref="I60">
    <cfRule type="expression" dxfId="90" priority="5">
      <formula>$J$51&gt;$L$48</formula>
    </cfRule>
  </conditionalFormatting>
  <conditionalFormatting sqref="K60">
    <cfRule type="expression" dxfId="8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48" sqref="H48"/>
    </sheetView>
  </sheetViews>
  <sheetFormatPr defaultColWidth="9" defaultRowHeight="15"/>
  <cols>
    <col min="1" max="1" width="9" style="847" customWidth="1"/>
    <col min="2" max="2" width="20.6640625" style="846" customWidth="1"/>
    <col min="3" max="3" width="11.88671875" style="846" customWidth="1"/>
    <col min="4" max="4" width="40.44140625" style="847" customWidth="1"/>
    <col min="5" max="5" width="15.77734375" style="847" customWidth="1"/>
    <col min="6" max="6" width="10.6640625" style="847" customWidth="1"/>
    <col min="7" max="7" width="4.88671875" style="847" customWidth="1"/>
    <col min="8" max="8" width="8.44140625" style="847" customWidth="1"/>
    <col min="9" max="9" width="21.21875" style="847" customWidth="1"/>
    <col min="10" max="10" width="12.21875" style="847" customWidth="1"/>
    <col min="11" max="11" width="40.109375" style="848" customWidth="1"/>
    <col min="12" max="12" width="18.33203125" style="847" customWidth="1"/>
    <col min="13" max="13" width="13" style="847" customWidth="1"/>
    <col min="14" max="14" width="9.44140625" style="609" customWidth="1"/>
    <col min="15" max="15" width="5.88671875" style="609" customWidth="1"/>
    <col min="16" max="16" width="27.6640625" style="609" customWidth="1"/>
    <col min="17" max="17" width="13.77734375" style="999" customWidth="1"/>
    <col min="18" max="18" width="23.44140625" style="609" customWidth="1"/>
    <col min="19" max="19" width="1.44140625" style="609" customWidth="1"/>
    <col min="20" max="33" width="9" style="609"/>
    <col min="34" max="16384" width="9" style="847"/>
  </cols>
  <sheetData>
    <row r="1" spans="1:33" s="843" customFormat="1" ht="21.6">
      <c r="A1" s="1249" t="s">
        <v>1326</v>
      </c>
      <c r="B1" s="850"/>
      <c r="C1" s="851" t="s">
        <v>382</v>
      </c>
      <c r="D1" s="1250" t="s">
        <v>1327</v>
      </c>
      <c r="E1" s="853" t="s">
        <v>590</v>
      </c>
      <c r="F1" s="854">
        <f ca="1">J53</f>
        <v>31.729999999999997</v>
      </c>
      <c r="G1" s="855">
        <f>MATCH(C1,'数据-取费表'!A6:A16,0)+5</f>
        <v>9</v>
      </c>
      <c r="H1" s="852"/>
      <c r="I1" s="1000"/>
      <c r="J1" s="1000"/>
      <c r="K1" s="1001"/>
      <c r="L1" s="1000"/>
      <c r="M1" s="1000"/>
      <c r="N1" s="1002"/>
      <c r="O1" s="1002"/>
      <c r="P1" s="1002"/>
      <c r="Q1" s="1302"/>
      <c r="R1" s="1002"/>
      <c r="S1" s="1002"/>
      <c r="T1" s="1002"/>
      <c r="U1" s="1002"/>
      <c r="V1" s="1002"/>
      <c r="W1" s="1002"/>
      <c r="X1" s="1002"/>
      <c r="Y1" s="1002"/>
      <c r="Z1" s="1002"/>
      <c r="AA1" s="1002"/>
      <c r="AB1" s="1002"/>
      <c r="AC1" s="1002"/>
      <c r="AD1" s="1002"/>
      <c r="AE1" s="1002"/>
      <c r="AF1" s="1002"/>
      <c r="AG1" s="1002"/>
    </row>
    <row r="2" spans="1:33" ht="18" customHeight="1">
      <c r="A2" s="205" t="s">
        <v>915</v>
      </c>
      <c r="B2" s="119">
        <f ca="1">C40+J29+L46</f>
        <v>5040</v>
      </c>
      <c r="C2" s="1003"/>
      <c r="D2" s="859"/>
      <c r="E2" s="860"/>
      <c r="F2" s="860"/>
      <c r="G2" s="861"/>
      <c r="H2" s="1003"/>
      <c r="I2" s="1003"/>
      <c r="J2" s="1003"/>
      <c r="K2" s="1004"/>
      <c r="L2" s="1003"/>
      <c r="M2" s="1003"/>
    </row>
    <row r="3" spans="1:33" ht="18" customHeight="1">
      <c r="A3" s="1251" t="s">
        <v>1272</v>
      </c>
      <c r="B3" s="1252">
        <f ca="1">IF(ISERROR(B2*10000/F43),0,ROUND(B2*10000/F43,0))</f>
        <v>2245</v>
      </c>
      <c r="C3" s="1003"/>
      <c r="D3" s="859"/>
      <c r="E3" s="860"/>
      <c r="F3" s="860"/>
      <c r="G3" s="861"/>
      <c r="H3" s="865" t="s">
        <v>1328</v>
      </c>
      <c r="I3" s="862"/>
      <c r="J3" s="862"/>
      <c r="K3" s="1284"/>
      <c r="L3" s="862"/>
      <c r="M3" s="862"/>
    </row>
    <row r="4" spans="1:33" ht="18" customHeight="1">
      <c r="A4" s="1253" t="s">
        <v>1329</v>
      </c>
      <c r="B4" s="1254" t="s">
        <v>1330</v>
      </c>
      <c r="C4" s="1254" t="s">
        <v>1331</v>
      </c>
      <c r="D4" s="1254" t="s">
        <v>1332</v>
      </c>
      <c r="E4" s="871" t="s">
        <v>1333</v>
      </c>
      <c r="F4" s="872"/>
      <c r="G4" s="873"/>
      <c r="H4" s="1253" t="s">
        <v>1329</v>
      </c>
      <c r="I4" s="1254" t="s">
        <v>1330</v>
      </c>
      <c r="J4" s="1254" t="s">
        <v>1331</v>
      </c>
      <c r="K4" s="1254" t="s">
        <v>1332</v>
      </c>
      <c r="L4" s="871" t="s">
        <v>1333</v>
      </c>
      <c r="M4" s="872"/>
    </row>
    <row r="5" spans="1:33" ht="18" customHeight="1">
      <c r="A5" s="874">
        <v>1</v>
      </c>
      <c r="B5" s="875" t="s">
        <v>1334</v>
      </c>
      <c r="C5" s="1255">
        <f ca="1">C6+C10+C12</f>
        <v>516</v>
      </c>
      <c r="D5" s="876" t="s">
        <v>1335</v>
      </c>
      <c r="E5" s="877"/>
      <c r="F5" s="878"/>
      <c r="G5" s="873"/>
      <c r="H5" s="874">
        <v>1</v>
      </c>
      <c r="I5" s="875" t="s">
        <v>1334</v>
      </c>
      <c r="J5" s="1255">
        <f ca="1">J6+J10+J12</f>
        <v>0</v>
      </c>
      <c r="K5" s="876" t="s">
        <v>1335</v>
      </c>
      <c r="L5" s="877"/>
      <c r="M5" s="878"/>
    </row>
    <row r="6" spans="1:33" ht="18" customHeight="1">
      <c r="A6" s="879" t="s">
        <v>851</v>
      </c>
      <c r="B6" s="3426" t="s">
        <v>1336</v>
      </c>
      <c r="C6" s="1005">
        <f ca="1">ROUND(F6*F8*F7*(1-F9)/10000,0)</f>
        <v>516</v>
      </c>
      <c r="D6" s="1256" t="s">
        <v>1337</v>
      </c>
      <c r="E6" s="918" t="s">
        <v>1338</v>
      </c>
      <c r="F6" s="883">
        <f ca="1">INDIRECT("'数据-取费表'!u"&amp;$G$1)</f>
        <v>0.7</v>
      </c>
      <c r="G6" s="873"/>
      <c r="H6" s="884" t="s">
        <v>851</v>
      </c>
      <c r="I6" s="3426" t="s">
        <v>1336</v>
      </c>
      <c r="J6" s="1005">
        <f ca="1">ROUND(M6*M8*M7*(1-M9)/10000,0)</f>
        <v>0</v>
      </c>
      <c r="K6" s="954" t="s">
        <v>1339</v>
      </c>
      <c r="L6" s="918" t="s">
        <v>1338</v>
      </c>
      <c r="M6" s="883">
        <f ca="1">INDIRECT("'数据-取费表'!z"&amp;$G$1)</f>
        <v>0</v>
      </c>
    </row>
    <row r="7" spans="1:33" ht="18" customHeight="1">
      <c r="A7" s="885"/>
      <c r="B7" s="3427"/>
      <c r="C7" s="1006"/>
      <c r="D7" s="901"/>
      <c r="E7" s="918" t="s">
        <v>1340</v>
      </c>
      <c r="F7" s="883">
        <f ca="1">IF(INDIRECT("'数据-取费表'!ah"&amp;$G$1)="",INDIRECT("'数据-取费表'!k"&amp;$G$1),INDIRECT("'数据-取费表'!ah"&amp;$G$1))</f>
        <v>22449.78</v>
      </c>
      <c r="G7" s="873"/>
      <c r="H7" s="888"/>
      <c r="I7" s="3427"/>
      <c r="J7" s="1006"/>
      <c r="K7" s="901"/>
      <c r="L7" s="918" t="s">
        <v>1340</v>
      </c>
      <c r="M7" s="883">
        <f ca="1">F7</f>
        <v>22449.78</v>
      </c>
    </row>
    <row r="8" spans="1:33" ht="18" customHeight="1">
      <c r="A8" s="889"/>
      <c r="B8" s="3428"/>
      <c r="C8" s="1006"/>
      <c r="D8" s="901"/>
      <c r="E8" s="918" t="s">
        <v>1341</v>
      </c>
      <c r="F8" s="883">
        <f ca="1">INDIRECT("'数据-取费表'!ai"&amp;$G$1)</f>
        <v>365</v>
      </c>
      <c r="G8" s="873"/>
      <c r="H8" s="888"/>
      <c r="I8" s="3428"/>
      <c r="J8" s="1006"/>
      <c r="K8" s="901"/>
      <c r="L8" s="918" t="s">
        <v>1341</v>
      </c>
      <c r="M8" s="883">
        <f ca="1">INDIRECT("'数据-取费表'!ai"&amp;$G$1)</f>
        <v>365</v>
      </c>
    </row>
    <row r="9" spans="1:33" ht="18" customHeight="1">
      <c r="A9" s="890"/>
      <c r="B9" s="3429"/>
      <c r="C9" s="1006"/>
      <c r="D9" s="901"/>
      <c r="E9" s="918" t="s">
        <v>1342</v>
      </c>
      <c r="F9" s="891">
        <f ca="1">INDIRECT("'数据-取费表'!w"&amp;$G$1)</f>
        <v>0.1</v>
      </c>
      <c r="G9" s="873"/>
      <c r="H9" s="892"/>
      <c r="I9" s="3428"/>
      <c r="J9" s="1006"/>
      <c r="K9" s="901"/>
      <c r="L9" s="915" t="s">
        <v>1342</v>
      </c>
      <c r="M9" s="902">
        <f ca="1">INDIRECT("'数据-取费表'!ab"&amp;$G$1)</f>
        <v>0</v>
      </c>
    </row>
    <row r="10" spans="1:33" ht="18" customHeight="1">
      <c r="A10" s="879" t="s">
        <v>853</v>
      </c>
      <c r="B10" s="893" t="s">
        <v>1343</v>
      </c>
      <c r="C10" s="120">
        <f ca="1">ROUND(IF(F10="押一",C6/12*F11,IF(F10="押二",C6/12*2*F11,IF(F10="押三",C6/12*3*F11,C11*F11))),0)</f>
        <v>0</v>
      </c>
      <c r="D10" s="894" t="s">
        <v>1344</v>
      </c>
      <c r="E10" s="895" t="s">
        <v>1345</v>
      </c>
      <c r="F10" s="896" t="s">
        <v>1346</v>
      </c>
      <c r="G10" s="873"/>
      <c r="H10" s="897" t="s">
        <v>853</v>
      </c>
      <c r="I10" s="1007" t="s">
        <v>1343</v>
      </c>
      <c r="J10" s="1005">
        <f ca="1">ROUND(IF(M10="押一",J6/12*M11,IF(M10="押二",J6/12*2*M11,IF(M10="押三",J6/12*3*M11,J11*M11))),0)</f>
        <v>0</v>
      </c>
      <c r="K10" s="894" t="s">
        <v>1344</v>
      </c>
      <c r="L10" s="895" t="s">
        <v>1345</v>
      </c>
      <c r="M10" s="896"/>
    </row>
    <row r="11" spans="1:33" ht="18" customHeight="1">
      <c r="A11" s="898"/>
      <c r="B11" s="899" t="s">
        <v>1347</v>
      </c>
      <c r="C11" s="900"/>
      <c r="D11" s="901"/>
      <c r="E11" s="895" t="s">
        <v>635</v>
      </c>
      <c r="F11" s="902">
        <f ca="1">'数据-取费表'!B39</f>
        <v>1.4999999999999999E-2</v>
      </c>
      <c r="G11" s="873"/>
      <c r="H11" s="903"/>
      <c r="I11" s="899" t="s">
        <v>1347</v>
      </c>
      <c r="J11" s="900"/>
      <c r="K11" s="1008"/>
      <c r="L11" s="895" t="s">
        <v>635</v>
      </c>
      <c r="M11" s="1009">
        <f ca="1">'数据-取费表'!B39</f>
        <v>1.4999999999999999E-2</v>
      </c>
    </row>
    <row r="12" spans="1:33" ht="18" customHeight="1">
      <c r="A12" s="904" t="s">
        <v>1016</v>
      </c>
      <c r="B12" s="905" t="s">
        <v>1348</v>
      </c>
      <c r="C12" s="906"/>
      <c r="D12" s="907"/>
      <c r="E12" s="908"/>
      <c r="F12" s="909"/>
      <c r="G12" s="873"/>
      <c r="H12" s="910" t="s">
        <v>1016</v>
      </c>
      <c r="I12" s="1010" t="s">
        <v>1348</v>
      </c>
      <c r="J12" s="1011"/>
      <c r="K12" s="907"/>
      <c r="L12" s="908"/>
      <c r="M12" s="1012"/>
    </row>
    <row r="13" spans="1:33" ht="18" customHeight="1">
      <c r="A13" s="911">
        <v>2</v>
      </c>
      <c r="B13" s="912" t="s">
        <v>1349</v>
      </c>
      <c r="C13" s="913">
        <f ca="1">ROUND(C29*F13,0)</f>
        <v>11244</v>
      </c>
      <c r="D13" s="914" t="s">
        <v>1350</v>
      </c>
      <c r="E13" s="914" t="s">
        <v>1351</v>
      </c>
      <c r="F13" s="1257">
        <f ca="1">INDIRECT("'数据-取费表'!y"&amp;$G$1)</f>
        <v>1</v>
      </c>
      <c r="G13" s="873"/>
      <c r="H13" s="911">
        <v>2</v>
      </c>
      <c r="I13" s="912" t="s">
        <v>1349</v>
      </c>
      <c r="J13" s="1013">
        <f ca="1">ROUND(J14*J15,0)</f>
        <v>0</v>
      </c>
      <c r="K13" s="944" t="s">
        <v>1352</v>
      </c>
      <c r="L13" s="1285"/>
      <c r="M13" s="1286"/>
    </row>
    <row r="14" spans="1:33" ht="18" customHeight="1">
      <c r="A14" s="1258" t="s">
        <v>875</v>
      </c>
      <c r="B14" s="918" t="s">
        <v>1023</v>
      </c>
      <c r="C14" s="919">
        <f ca="1">INDIRECT("'数据-取费表'!m"&amp;$G$1)+INDIRECT("'数据-取费表'!t"&amp;$G$1)</f>
        <v>8483</v>
      </c>
      <c r="D14" s="920" t="s">
        <v>1353</v>
      </c>
      <c r="E14" s="921"/>
      <c r="F14" s="922"/>
      <c r="G14" s="873"/>
      <c r="H14" s="1259" t="s">
        <v>851</v>
      </c>
      <c r="I14" s="1016" t="s">
        <v>1354</v>
      </c>
      <c r="J14" s="121">
        <f ca="1">C29</f>
        <v>11244</v>
      </c>
      <c r="K14" s="1017"/>
      <c r="L14" s="1014"/>
      <c r="M14" s="1015"/>
    </row>
    <row r="15" spans="1:33" s="844" customFormat="1" ht="18" customHeight="1">
      <c r="A15" s="1258" t="s">
        <v>880</v>
      </c>
      <c r="B15" s="918" t="s">
        <v>1025</v>
      </c>
      <c r="C15" s="121">
        <f ca="1">ROUND(C14*F15,0)</f>
        <v>254</v>
      </c>
      <c r="D15" s="923" t="s">
        <v>1355</v>
      </c>
      <c r="E15" s="923" t="s">
        <v>1356</v>
      </c>
      <c r="F15" s="924">
        <f>'数据-取费表'!B33</f>
        <v>0.03</v>
      </c>
      <c r="G15" s="925"/>
      <c r="H15" s="910" t="s">
        <v>853</v>
      </c>
      <c r="I15" s="941" t="s">
        <v>1351</v>
      </c>
      <c r="J15" s="1287">
        <f ca="1">INDIRECT("'数据-取费表'!ad"&amp;$G$1)</f>
        <v>0</v>
      </c>
      <c r="K15" s="1288"/>
      <c r="L15" s="1289"/>
      <c r="M15" s="1290"/>
      <c r="N15" s="1019"/>
      <c r="O15" s="1019"/>
      <c r="P15" s="1019"/>
      <c r="Q15" s="1303"/>
      <c r="R15" s="1019"/>
      <c r="S15" s="1019"/>
      <c r="T15" s="1019"/>
      <c r="U15" s="1019"/>
      <c r="V15" s="1019"/>
      <c r="W15" s="1019"/>
      <c r="X15" s="1019"/>
      <c r="Y15" s="1019"/>
      <c r="Z15" s="1019"/>
      <c r="AA15" s="1019"/>
      <c r="AB15" s="1019"/>
      <c r="AC15" s="1019"/>
      <c r="AD15" s="1019"/>
      <c r="AE15" s="1019"/>
      <c r="AF15" s="1019"/>
      <c r="AG15" s="1019"/>
    </row>
    <row r="16" spans="1:33" ht="18" customHeight="1">
      <c r="A16" s="1258" t="s">
        <v>883</v>
      </c>
      <c r="B16" s="918" t="s">
        <v>1028</v>
      </c>
      <c r="C16" s="121">
        <f ca="1">ROUND(INDIRECT("'数据-取费表'!m"&amp;$G$1)*F16,0)</f>
        <v>0</v>
      </c>
      <c r="D16" s="918" t="s">
        <v>1355</v>
      </c>
      <c r="E16" s="918" t="s">
        <v>1356</v>
      </c>
      <c r="F16" s="926">
        <f ca="1">IF(INDIRECT("'数据-取费表'!c"&amp;$G$1)="住宅",'数据-取费表'!B34,0)</f>
        <v>0</v>
      </c>
      <c r="G16" s="873"/>
      <c r="H16" s="911" t="s">
        <v>1357</v>
      </c>
      <c r="I16" s="912" t="s">
        <v>1358</v>
      </c>
      <c r="J16" s="913">
        <f ca="1">ROUND(J17+J22+J23+J24,0)</f>
        <v>1115</v>
      </c>
      <c r="K16" s="944" t="s">
        <v>1359</v>
      </c>
      <c r="L16" s="945"/>
      <c r="M16" s="878"/>
    </row>
    <row r="17" spans="1:33" s="844" customFormat="1" ht="18" customHeight="1">
      <c r="A17" s="1258" t="s">
        <v>1360</v>
      </c>
      <c r="B17" s="918" t="s">
        <v>1361</v>
      </c>
      <c r="C17" s="121">
        <f ca="1">ROUND(F17*(F43+INDIRECT("'数据-取费表'!S"&amp;$G$1))/10000,0)</f>
        <v>485</v>
      </c>
      <c r="D17" s="918" t="s">
        <v>1362</v>
      </c>
      <c r="E17" s="918" t="s">
        <v>1363</v>
      </c>
      <c r="F17" s="928">
        <f>'数据-取费表'!B35</f>
        <v>200</v>
      </c>
      <c r="G17" s="925"/>
      <c r="H17" s="1259" t="s">
        <v>851</v>
      </c>
      <c r="I17" s="918" t="s">
        <v>1364</v>
      </c>
      <c r="J17" s="121">
        <f ca="1">ROUND(IF(项目基本情况!B11="自然人",J5*M17,J18+J19+J20),0)</f>
        <v>946</v>
      </c>
      <c r="K17" s="920" t="s">
        <v>1365</v>
      </c>
      <c r="L17" s="948" t="s">
        <v>1366</v>
      </c>
      <c r="M17" s="949" t="str">
        <f ca="1">IF(项目基本情况!B11="企业","",IF(INDIRECT("'数据-取费表'!c"&amp;$G$1)="住宅",5%,IF(M6*M7*M8/12/(1+'数据-取费表'!C42)&gt;20000,12%,7%)))</f>
        <v/>
      </c>
      <c r="N17" s="1019"/>
      <c r="O17" s="1019"/>
      <c r="P17" s="1019"/>
      <c r="Q17" s="1303"/>
      <c r="R17" s="1019"/>
      <c r="S17" s="1019"/>
      <c r="T17" s="1019"/>
      <c r="U17" s="1019"/>
      <c r="V17" s="1019"/>
      <c r="W17" s="1019"/>
      <c r="X17" s="1019"/>
      <c r="Y17" s="1019"/>
      <c r="Z17" s="1019"/>
      <c r="AA17" s="1019"/>
      <c r="AB17" s="1019"/>
      <c r="AC17" s="1019"/>
      <c r="AD17" s="1019"/>
      <c r="AE17" s="1019"/>
      <c r="AF17" s="1019"/>
      <c r="AG17" s="1019"/>
    </row>
    <row r="18" spans="1:33" s="844" customFormat="1" ht="18" customHeight="1">
      <c r="A18" s="1258" t="s">
        <v>1367</v>
      </c>
      <c r="B18" s="918" t="s">
        <v>1033</v>
      </c>
      <c r="C18" s="121">
        <f ca="1">ROUND(C14*F18,0)</f>
        <v>127</v>
      </c>
      <c r="D18" s="918" t="s">
        <v>1355</v>
      </c>
      <c r="E18" s="918" t="s">
        <v>1356</v>
      </c>
      <c r="F18" s="926">
        <f>'数据-取费表'!B36</f>
        <v>1.4999999999999999E-2</v>
      </c>
      <c r="G18" s="925"/>
      <c r="H18" s="1258" t="s">
        <v>875</v>
      </c>
      <c r="I18" s="918" t="s">
        <v>1368</v>
      </c>
      <c r="J18" s="121">
        <f ca="1">ROUND(J5*M18/1.05,1)</f>
        <v>0</v>
      </c>
      <c r="K18" s="948" t="s">
        <v>1369</v>
      </c>
      <c r="L18" s="918" t="s">
        <v>1356</v>
      </c>
      <c r="M18" s="926">
        <f>'数据-取费表'!B41</f>
        <v>5.6000000000000001E-2</v>
      </c>
      <c r="N18" s="1019"/>
      <c r="O18" s="1019"/>
      <c r="P18" s="1019"/>
      <c r="Q18" s="1303"/>
      <c r="R18" s="1019"/>
      <c r="S18" s="1019"/>
      <c r="T18" s="1019"/>
      <c r="U18" s="1019"/>
      <c r="V18" s="1019"/>
      <c r="W18" s="1019"/>
      <c r="X18" s="1019"/>
      <c r="Y18" s="1019"/>
      <c r="Z18" s="1019"/>
      <c r="AA18" s="1019"/>
      <c r="AB18" s="1019"/>
      <c r="AC18" s="1019"/>
      <c r="AD18" s="1019"/>
      <c r="AE18" s="1019"/>
      <c r="AF18" s="1019"/>
      <c r="AG18" s="1019"/>
    </row>
    <row r="19" spans="1:33" ht="18" customHeight="1">
      <c r="A19" s="1259" t="s">
        <v>851</v>
      </c>
      <c r="B19" s="918" t="s">
        <v>1370</v>
      </c>
      <c r="C19" s="121">
        <f ca="1">SUM(C14:C18)</f>
        <v>9349</v>
      </c>
      <c r="D19" s="929" t="s">
        <v>1371</v>
      </c>
      <c r="E19" s="123"/>
      <c r="F19" s="928"/>
      <c r="G19" s="873"/>
      <c r="H19" s="1258" t="s">
        <v>880</v>
      </c>
      <c r="I19" s="918" t="s">
        <v>1372</v>
      </c>
      <c r="J19" s="121">
        <f ca="1">IF(K19="按租金收入计税",ROUND(J5*M19,1),ROUND(C29*F33*0.7,1))</f>
        <v>944.5</v>
      </c>
      <c r="K19" s="951" t="s">
        <v>1373</v>
      </c>
      <c r="L19" s="918" t="s">
        <v>1356</v>
      </c>
      <c r="M19" s="926">
        <f>IF(K19="按租金收入计税",'数据-取费表'!B51,'数据-取费表'!B50)</f>
        <v>1.2E-2</v>
      </c>
    </row>
    <row r="20" spans="1:33" s="844" customFormat="1" ht="18" customHeight="1">
      <c r="A20" s="1259" t="s">
        <v>853</v>
      </c>
      <c r="B20" s="918" t="s">
        <v>1374</v>
      </c>
      <c r="C20" s="121">
        <f ca="1">ROUND(C19*F20,0)</f>
        <v>140</v>
      </c>
      <c r="D20" s="930" t="s">
        <v>1375</v>
      </c>
      <c r="E20" s="918" t="s">
        <v>1356</v>
      </c>
      <c r="F20" s="926">
        <f>'数据-取费表'!B37</f>
        <v>1.4999999999999999E-2</v>
      </c>
      <c r="G20" s="925"/>
      <c r="H20" s="1260" t="s">
        <v>883</v>
      </c>
      <c r="I20" s="954" t="s">
        <v>1376</v>
      </c>
      <c r="J20" s="955">
        <f ca="1">ROUND(M20*M21/10000,0)</f>
        <v>1</v>
      </c>
      <c r="K20" s="956" t="s">
        <v>1377</v>
      </c>
      <c r="L20" s="918" t="s">
        <v>1378</v>
      </c>
      <c r="M20" s="936">
        <f>'数据-取费表'!B52</f>
        <v>5</v>
      </c>
      <c r="N20" s="1019"/>
      <c r="O20" s="1019"/>
      <c r="P20" s="1019"/>
      <c r="Q20" s="1303"/>
      <c r="R20" s="1019"/>
      <c r="S20" s="1019"/>
      <c r="T20" s="1019"/>
      <c r="U20" s="1019"/>
      <c r="V20" s="1019"/>
      <c r="W20" s="1019"/>
      <c r="X20" s="1019"/>
      <c r="Y20" s="1019"/>
      <c r="Z20" s="1019"/>
      <c r="AA20" s="1019"/>
      <c r="AB20" s="1019"/>
      <c r="AC20" s="1019"/>
      <c r="AD20" s="1019"/>
      <c r="AE20" s="1019"/>
      <c r="AF20" s="1019"/>
      <c r="AG20" s="1019"/>
    </row>
    <row r="21" spans="1:33" s="844" customFormat="1" ht="18" customHeight="1">
      <c r="A21" s="1259" t="s">
        <v>1016</v>
      </c>
      <c r="B21" s="918" t="s">
        <v>1379</v>
      </c>
      <c r="C21" s="121" t="s">
        <v>138</v>
      </c>
      <c r="D21" s="930" t="s">
        <v>1380</v>
      </c>
      <c r="E21" s="918" t="s">
        <v>1381</v>
      </c>
      <c r="F21" s="926">
        <f>'数据-取费表'!B38</f>
        <v>1.4999999999999999E-2</v>
      </c>
      <c r="G21" s="925"/>
      <c r="H21" s="1261"/>
      <c r="I21" s="958"/>
      <c r="J21" s="959"/>
      <c r="K21" s="960"/>
      <c r="L21" s="918" t="s">
        <v>1382</v>
      </c>
      <c r="M21" s="883">
        <f ca="1">INDIRECT("'数据-取费表'!r"&amp;$G$1)</f>
        <v>2003.6</v>
      </c>
      <c r="N21" s="1019"/>
      <c r="O21" s="1019"/>
      <c r="P21" s="1019"/>
      <c r="Q21" s="1303"/>
      <c r="R21" s="1019"/>
      <c r="S21" s="1019"/>
      <c r="T21" s="1019"/>
      <c r="U21" s="1019"/>
      <c r="V21" s="1019"/>
      <c r="W21" s="1019"/>
      <c r="X21" s="1019"/>
      <c r="Y21" s="1019"/>
      <c r="Z21" s="1019"/>
      <c r="AA21" s="1019"/>
      <c r="AB21" s="1019"/>
      <c r="AC21" s="1019"/>
      <c r="AD21" s="1019"/>
      <c r="AE21" s="1019"/>
      <c r="AF21" s="1019"/>
      <c r="AG21" s="1019"/>
    </row>
    <row r="22" spans="1:33" ht="18" customHeight="1">
      <c r="A22" s="1259" t="s">
        <v>1383</v>
      </c>
      <c r="B22" s="918" t="s">
        <v>1384</v>
      </c>
      <c r="C22" s="121"/>
      <c r="D22" s="933" t="str">
        <f>IF(F23&lt;=1,"单利计息。","复利计息。")&amp;"建造成本、管理费用、销售费用产生的利息。"</f>
        <v>复利计息。建造成本、管理费用、销售费用产生的利息。</v>
      </c>
      <c r="E22" s="123"/>
      <c r="F22" s="928"/>
      <c r="G22" s="873"/>
      <c r="H22" s="1259" t="s">
        <v>853</v>
      </c>
      <c r="I22" s="918" t="s">
        <v>1385</v>
      </c>
      <c r="J22" s="121">
        <f ca="1">ROUND(J14*M22,0)</f>
        <v>169</v>
      </c>
      <c r="K22" s="948" t="s">
        <v>1386</v>
      </c>
      <c r="L22" s="918" t="s">
        <v>1356</v>
      </c>
      <c r="M22" s="961">
        <f ca="1">INDIRECT("'数据-取费表'!Ak"&amp;$G$1)</f>
        <v>1.4999999999999999E-2</v>
      </c>
    </row>
    <row r="23" spans="1:33" s="844" customFormat="1" ht="18" customHeight="1">
      <c r="A23" s="1258" t="s">
        <v>875</v>
      </c>
      <c r="B23" s="918" t="s">
        <v>1387</v>
      </c>
      <c r="C23" s="121">
        <f ca="1">ROUND(IF('数据-取费表'!B22&lt;=1,(C19+C20)*F24*F23/2,(C19+C20)*(POWER((1+F24),F23/2)-1)),0)</f>
        <v>684</v>
      </c>
      <c r="D23" s="935" t="str">
        <f>IF(F23&lt;=1,"(建造成本+管理费用)×利率×(建设周期÷2)","(建造成本+管理费用)×((1+利率)^(建设周期÷2)-1)")</f>
        <v>(建造成本+管理费用)×((1+利率)^(建设周期÷2)-1)</v>
      </c>
      <c r="E23" s="918" t="s">
        <v>1388</v>
      </c>
      <c r="F23" s="936">
        <f>'数据-取费表'!B20</f>
        <v>3</v>
      </c>
      <c r="G23" s="925"/>
      <c r="H23" s="1259" t="s">
        <v>1016</v>
      </c>
      <c r="I23" s="918" t="s">
        <v>1389</v>
      </c>
      <c r="J23" s="121">
        <f ca="1">ROUND(J13*M23,0)</f>
        <v>0</v>
      </c>
      <c r="K23" s="948" t="s">
        <v>1390</v>
      </c>
      <c r="L23" s="918" t="s">
        <v>1356</v>
      </c>
      <c r="M23" s="962">
        <f ca="1">INDIRECT("'数据-取费表'!Al"&amp;$G$1)</f>
        <v>1.5E-3</v>
      </c>
      <c r="N23" s="1019"/>
      <c r="O23" s="1019"/>
      <c r="P23" s="1019"/>
      <c r="Q23" s="1303"/>
      <c r="R23" s="1019"/>
      <c r="S23" s="1019"/>
      <c r="T23" s="1019"/>
      <c r="U23" s="1019"/>
      <c r="V23" s="1019"/>
      <c r="W23" s="1019"/>
      <c r="X23" s="1019"/>
      <c r="Y23" s="1019"/>
      <c r="Z23" s="1019"/>
      <c r="AA23" s="1019"/>
      <c r="AB23" s="1019"/>
      <c r="AC23" s="1019"/>
      <c r="AD23" s="1019"/>
      <c r="AE23" s="1019"/>
      <c r="AF23" s="1019"/>
      <c r="AG23" s="1019"/>
    </row>
    <row r="24" spans="1:33" s="844" customFormat="1" ht="18" customHeight="1">
      <c r="A24" s="1258" t="s">
        <v>880</v>
      </c>
      <c r="B24" s="918" t="s">
        <v>1391</v>
      </c>
      <c r="C24" s="121">
        <f ca="1">ROUND(IF('数据-取费表'!B22&lt;=1,F21*F24*F23/2,F21*(POWER((1+F24),F23/2)-1)),4)</f>
        <v>1.1000000000000001E-3</v>
      </c>
      <c r="D24" s="935" t="str">
        <f>IF(F23&lt;=1,"销售费用×利率×(建设周期÷2)","销售费用×((1+利率)^(建设周期÷2)-1)")</f>
        <v>销售费用×((1+利率)^(建设周期÷2)-1)</v>
      </c>
      <c r="E24" s="918" t="s">
        <v>1392</v>
      </c>
      <c r="F24" s="937">
        <f ca="1">'数据-取费表'!B40</f>
        <v>4.7500000000000001E-2</v>
      </c>
      <c r="G24" s="925"/>
      <c r="H24" s="910" t="s">
        <v>1383</v>
      </c>
      <c r="I24" s="941" t="s">
        <v>1374</v>
      </c>
      <c r="J24" s="939">
        <f ca="1">ROUND(J5*M24,0)</f>
        <v>0</v>
      </c>
      <c r="K24" s="940" t="s">
        <v>1393</v>
      </c>
      <c r="L24" s="941" t="s">
        <v>1356</v>
      </c>
      <c r="M24" s="909">
        <f ca="1">INDIRECT("'数据-取费表'!Am"&amp;$G$1)</f>
        <v>0.01</v>
      </c>
      <c r="N24" s="1019"/>
      <c r="O24" s="1019"/>
      <c r="P24" s="1019"/>
      <c r="Q24" s="1303"/>
      <c r="R24" s="1019"/>
      <c r="S24" s="1019"/>
      <c r="T24" s="1019"/>
      <c r="U24" s="1019"/>
      <c r="V24" s="1019"/>
      <c r="W24" s="1019"/>
      <c r="X24" s="1019"/>
      <c r="Y24" s="1019"/>
      <c r="Z24" s="1019"/>
      <c r="AA24" s="1019"/>
      <c r="AB24" s="1019"/>
      <c r="AC24" s="1019"/>
      <c r="AD24" s="1019"/>
      <c r="AE24" s="1019"/>
      <c r="AF24" s="1019"/>
      <c r="AG24" s="1019"/>
    </row>
    <row r="25" spans="1:33" ht="18" customHeight="1">
      <c r="A25" s="1262" t="s">
        <v>908</v>
      </c>
      <c r="B25" s="918" t="s">
        <v>1394</v>
      </c>
      <c r="C25" s="121"/>
      <c r="D25" s="929" t="s">
        <v>1395</v>
      </c>
      <c r="E25" s="123"/>
      <c r="F25" s="928"/>
      <c r="G25" s="873"/>
      <c r="H25" s="911" t="s">
        <v>1396</v>
      </c>
      <c r="I25" s="1266" t="s">
        <v>1397</v>
      </c>
      <c r="J25" s="913">
        <f ca="1">J5-J16</f>
        <v>-1115</v>
      </c>
      <c r="K25" s="1267" t="s">
        <v>1398</v>
      </c>
      <c r="L25" s="1268"/>
      <c r="M25" s="1269"/>
    </row>
    <row r="26" spans="1:33" ht="18" customHeight="1">
      <c r="A26" s="1258" t="s">
        <v>875</v>
      </c>
      <c r="B26" s="918" t="s">
        <v>1399</v>
      </c>
      <c r="C26" s="121">
        <f ca="1">ROUND((C19+C20)*F26,0)</f>
        <v>285</v>
      </c>
      <c r="D26" s="930" t="s">
        <v>1400</v>
      </c>
      <c r="E26" s="915" t="s">
        <v>1401</v>
      </c>
      <c r="F26" s="891">
        <f ca="1">INDIRECT("'数据-取费表'!q"&amp;$G$1)</f>
        <v>0.03</v>
      </c>
      <c r="G26" s="873"/>
      <c r="H26" s="1263" t="s">
        <v>1402</v>
      </c>
      <c r="I26" s="1270" t="s">
        <v>1403</v>
      </c>
      <c r="J26" s="1005">
        <f ca="1">IF(J5&lt;&gt;0,ROUND(J25*(1-((1+M28)/(1+M26))^M27)/(M26-M28),0),0)</f>
        <v>0</v>
      </c>
      <c r="K26" s="956" t="s">
        <v>1404</v>
      </c>
      <c r="L26" s="918" t="s">
        <v>1405</v>
      </c>
      <c r="M26" s="891">
        <f ca="1">INDIRECT("'数据-取费表'!I"&amp;$G$1)</f>
        <v>4.4999999999999998E-2</v>
      </c>
    </row>
    <row r="27" spans="1:33" ht="18" customHeight="1">
      <c r="A27" s="1258" t="s">
        <v>880</v>
      </c>
      <c r="B27" s="918" t="s">
        <v>1406</v>
      </c>
      <c r="C27" s="121">
        <f ca="1">ROUND(F21*F26,4)</f>
        <v>5.0000000000000001E-4</v>
      </c>
      <c r="D27" s="930" t="s">
        <v>1407</v>
      </c>
      <c r="E27" s="923"/>
      <c r="F27" s="924"/>
      <c r="G27" s="873"/>
      <c r="H27" s="1264"/>
      <c r="I27" s="1023"/>
      <c r="J27" s="1006"/>
      <c r="K27" s="1024" t="s">
        <v>1408</v>
      </c>
      <c r="L27" s="918" t="s">
        <v>1409</v>
      </c>
      <c r="M27" s="1025">
        <f ca="1">INDIRECT("'数据-取费表'!ag"&amp;$G$1)</f>
        <v>0</v>
      </c>
    </row>
    <row r="28" spans="1:33" s="844" customFormat="1" ht="18" customHeight="1">
      <c r="A28" s="1262" t="s">
        <v>909</v>
      </c>
      <c r="B28" s="918" t="s">
        <v>1410</v>
      </c>
      <c r="C28" s="121">
        <f>ROUND(F28/(1+'数据-取费表'!C42),4)</f>
        <v>5.33E-2</v>
      </c>
      <c r="D28" s="930" t="s">
        <v>1411</v>
      </c>
      <c r="E28" s="918" t="s">
        <v>1356</v>
      </c>
      <c r="F28" s="926">
        <f>'数据-取费表'!B41</f>
        <v>5.6000000000000001E-2</v>
      </c>
      <c r="G28" s="925"/>
      <c r="H28" s="911"/>
      <c r="I28" s="1026"/>
      <c r="J28" s="913"/>
      <c r="K28" s="960"/>
      <c r="L28" s="918" t="s">
        <v>1412</v>
      </c>
      <c r="M28" s="891">
        <f ca="1">INDIRECT("'数据-取费表'!aa"&amp;$G$1)</f>
        <v>0</v>
      </c>
      <c r="N28" s="1019"/>
      <c r="O28" s="1019"/>
      <c r="P28" s="1019"/>
      <c r="Q28" s="1303"/>
      <c r="R28" s="1019"/>
      <c r="S28" s="1019"/>
      <c r="T28" s="1019"/>
      <c r="U28" s="1019"/>
      <c r="V28" s="1019"/>
      <c r="W28" s="1019"/>
      <c r="X28" s="1019"/>
      <c r="Y28" s="1019"/>
      <c r="Z28" s="1019"/>
      <c r="AA28" s="1019"/>
      <c r="AB28" s="1019"/>
      <c r="AC28" s="1019"/>
      <c r="AD28" s="1019"/>
      <c r="AE28" s="1019"/>
      <c r="AF28" s="1019"/>
      <c r="AG28" s="1019"/>
    </row>
    <row r="29" spans="1:33" s="844" customFormat="1" ht="18" customHeight="1">
      <c r="A29" s="1265" t="s">
        <v>1091</v>
      </c>
      <c r="B29" s="908" t="s">
        <v>1413</v>
      </c>
      <c r="C29" s="939">
        <f ca="1">ROUND((C19+C20+C23+C26)/(1-F21-C24-C27-C28),0)</f>
        <v>11244</v>
      </c>
      <c r="D29" s="940"/>
      <c r="E29" s="941"/>
      <c r="F29" s="942"/>
      <c r="G29" s="925"/>
      <c r="H29" s="943" t="s">
        <v>1414</v>
      </c>
      <c r="I29" s="1271" t="s">
        <v>1415</v>
      </c>
      <c r="J29" s="1028">
        <f ca="1">ROUND(J26/(1+F40)^F41,0)</f>
        <v>0</v>
      </c>
      <c r="K29" s="1029" t="s">
        <v>1416</v>
      </c>
      <c r="L29" s="1030"/>
      <c r="M29" s="986">
        <f ca="1">INDIRECT("'数据-取费表'!k"&amp;$G$1)</f>
        <v>22449.78</v>
      </c>
      <c r="N29" s="1019"/>
      <c r="O29" s="1019"/>
      <c r="P29" s="1019"/>
      <c r="Q29" s="1303"/>
      <c r="R29" s="1019"/>
      <c r="S29" s="1019"/>
      <c r="T29" s="1019"/>
      <c r="U29" s="1019"/>
      <c r="V29" s="1019"/>
      <c r="W29" s="1019"/>
      <c r="X29" s="1019"/>
      <c r="Y29" s="1019"/>
      <c r="Z29" s="1019"/>
      <c r="AA29" s="1019"/>
      <c r="AB29" s="1019"/>
      <c r="AC29" s="1019"/>
      <c r="AD29" s="1019"/>
      <c r="AE29" s="1019"/>
      <c r="AF29" s="1019"/>
      <c r="AG29" s="1019"/>
    </row>
    <row r="30" spans="1:33" ht="18" customHeight="1">
      <c r="A30" s="911" t="s">
        <v>1357</v>
      </c>
      <c r="B30" s="912" t="s">
        <v>1358</v>
      </c>
      <c r="C30" s="913">
        <f ca="1">ROUND(C31+C36+C37+C38,0)</f>
        <v>281</v>
      </c>
      <c r="D30" s="944" t="s">
        <v>1359</v>
      </c>
      <c r="E30" s="945"/>
      <c r="F30" s="878"/>
      <c r="G30" s="946"/>
      <c r="H30" s="947"/>
      <c r="I30" s="1031"/>
      <c r="J30" s="1032"/>
      <c r="K30" s="1033"/>
      <c r="L30" s="1034"/>
      <c r="M30" s="1035"/>
    </row>
    <row r="31" spans="1:33" ht="18" customHeight="1">
      <c r="A31" s="1259" t="s">
        <v>851</v>
      </c>
      <c r="B31" s="918" t="s">
        <v>1364</v>
      </c>
      <c r="C31" s="121">
        <f ca="1">ROUND(IF(项目基本情况!B11="自然人",C5*F31,C32+C33+C34),1)</f>
        <v>90.4</v>
      </c>
      <c r="D31" s="920" t="s">
        <v>1365</v>
      </c>
      <c r="E31" s="948" t="s">
        <v>1366</v>
      </c>
      <c r="F31" s="949" t="str">
        <f ca="1">IF(项目基本情况!B11="企业","",IF(INDIRECT("'数据-取费表'!c"&amp;$G$1)="住宅",5%,IF(F6*F7*F8/12/(1+'数据-取费表'!C42)&gt;20000,12%,7%)))</f>
        <v/>
      </c>
      <c r="G31" s="946"/>
      <c r="H31" s="947"/>
      <c r="I31" s="1031"/>
      <c r="J31" s="1032"/>
      <c r="K31" s="1033"/>
      <c r="L31" s="1034"/>
      <c r="M31" s="1035"/>
    </row>
    <row r="32" spans="1:33" ht="18" customHeight="1">
      <c r="A32" s="1258" t="s">
        <v>875</v>
      </c>
      <c r="B32" s="918" t="s">
        <v>1368</v>
      </c>
      <c r="C32" s="121">
        <f ca="1">ROUND(C5*F32/1.05,1)</f>
        <v>27.5</v>
      </c>
      <c r="D32" s="948" t="s">
        <v>1369</v>
      </c>
      <c r="E32" s="918" t="s">
        <v>1356</v>
      </c>
      <c r="F32" s="926">
        <f>'数据-取费表'!B41</f>
        <v>5.6000000000000001E-2</v>
      </c>
      <c r="G32" s="946"/>
      <c r="H32" s="950"/>
      <c r="I32" s="1036"/>
      <c r="J32" s="1037"/>
      <c r="K32" s="1038"/>
      <c r="L32" s="1039"/>
      <c r="M32" s="1040"/>
    </row>
    <row r="33" spans="1:18" ht="18" customHeight="1">
      <c r="A33" s="1258" t="s">
        <v>880</v>
      </c>
      <c r="B33" s="918" t="s">
        <v>1372</v>
      </c>
      <c r="C33" s="121">
        <f ca="1">IF(D33="按租金收入计税",ROUND(C5*F33,1),IF(D33="按房产原值计税",ROUND(C29*F33*0.7,1),INDIRECT("'数据-取费表'!Aj"&amp;$G$1)))</f>
        <v>61.9</v>
      </c>
      <c r="D33" s="951" t="s">
        <v>1417</v>
      </c>
      <c r="E33" s="918" t="s">
        <v>1356</v>
      </c>
      <c r="F33" s="926">
        <f>IF(D33="按租金收入计税",'数据-取费表'!B51,'数据-取费表'!B50)</f>
        <v>0.12</v>
      </c>
      <c r="G33" s="946"/>
      <c r="H33" s="952"/>
      <c r="I33" s="952"/>
      <c r="J33" s="952"/>
      <c r="K33" s="1041"/>
      <c r="L33" s="952"/>
      <c r="M33" s="952"/>
    </row>
    <row r="34" spans="1:18" ht="18" customHeight="1">
      <c r="A34" s="1260" t="s">
        <v>883</v>
      </c>
      <c r="B34" s="954" t="s">
        <v>1376</v>
      </c>
      <c r="C34" s="955">
        <f ca="1">ROUND(F34*F35/10000,1)</f>
        <v>1</v>
      </c>
      <c r="D34" s="956" t="s">
        <v>1377</v>
      </c>
      <c r="E34" s="918" t="s">
        <v>1378</v>
      </c>
      <c r="F34" s="936">
        <f>'数据-取费表'!B52</f>
        <v>5</v>
      </c>
      <c r="G34" s="946"/>
      <c r="H34" s="947"/>
      <c r="I34" s="966" t="s">
        <v>1418</v>
      </c>
      <c r="J34" s="970"/>
      <c r="K34" s="1044"/>
      <c r="L34" s="1043"/>
      <c r="M34" s="1043"/>
    </row>
    <row r="35" spans="1:18" ht="18" customHeight="1">
      <c r="A35" s="957"/>
      <c r="B35" s="958"/>
      <c r="C35" s="959"/>
      <c r="D35" s="960"/>
      <c r="E35" s="918" t="s">
        <v>1382</v>
      </c>
      <c r="F35" s="883">
        <f ca="1">INDIRECT("'数据-取费表'!r"&amp;$G$1)</f>
        <v>2003.6</v>
      </c>
      <c r="G35" s="946"/>
      <c r="H35" s="947"/>
      <c r="I35" s="1291" t="s">
        <v>1419</v>
      </c>
      <c r="J35" s="1292">
        <f ca="1">ROUND(C13*J36,0)</f>
        <v>900</v>
      </c>
      <c r="K35" s="1041"/>
      <c r="L35" s="952"/>
      <c r="M35" s="952"/>
    </row>
    <row r="36" spans="1:18" ht="18" customHeight="1">
      <c r="A36" s="1259" t="s">
        <v>853</v>
      </c>
      <c r="B36" s="918" t="s">
        <v>1385</v>
      </c>
      <c r="C36" s="121">
        <f ca="1">ROUND(C29*F36,1)</f>
        <v>168.7</v>
      </c>
      <c r="D36" s="948" t="s">
        <v>1420</v>
      </c>
      <c r="E36" s="918" t="s">
        <v>1356</v>
      </c>
      <c r="F36" s="961">
        <f ca="1">INDIRECT("'数据-取费表'!Ak"&amp;$G$1)</f>
        <v>1.4999999999999999E-2</v>
      </c>
      <c r="G36" s="946"/>
      <c r="H36" s="952"/>
      <c r="I36" s="1293" t="s">
        <v>1421</v>
      </c>
      <c r="J36" s="1294">
        <f ca="1">INDIRECT("'数据-取费表'!j"&amp;$G$1)</f>
        <v>0.08</v>
      </c>
      <c r="K36" s="1046"/>
      <c r="L36" s="952"/>
      <c r="M36" s="952"/>
    </row>
    <row r="37" spans="1:18" ht="18" customHeight="1">
      <c r="A37" s="1259" t="s">
        <v>1016</v>
      </c>
      <c r="B37" s="918" t="s">
        <v>1389</v>
      </c>
      <c r="C37" s="121">
        <f ca="1">ROUND(C13*F37,1)</f>
        <v>16.899999999999999</v>
      </c>
      <c r="D37" s="948" t="s">
        <v>1390</v>
      </c>
      <c r="E37" s="918" t="s">
        <v>1356</v>
      </c>
      <c r="F37" s="962">
        <f ca="1">INDIRECT("'数据-取费表'!Al"&amp;$G$1)</f>
        <v>1.5E-3</v>
      </c>
      <c r="G37" s="946"/>
      <c r="H37" s="952"/>
      <c r="I37" s="1295" t="s">
        <v>1422</v>
      </c>
      <c r="J37" s="1296"/>
      <c r="K37" s="1046"/>
      <c r="L37" s="952"/>
      <c r="M37" s="952"/>
    </row>
    <row r="38" spans="1:18" ht="18" customHeight="1">
      <c r="A38" s="910" t="s">
        <v>1383</v>
      </c>
      <c r="B38" s="941" t="s">
        <v>1374</v>
      </c>
      <c r="C38" s="939">
        <f ca="1">ROUND(C5*F38,1)</f>
        <v>5.2</v>
      </c>
      <c r="D38" s="940" t="s">
        <v>1393</v>
      </c>
      <c r="E38" s="941" t="s">
        <v>1356</v>
      </c>
      <c r="F38" s="909">
        <f ca="1">INDIRECT("'数据-取费表'!Am"&amp;$G$1)</f>
        <v>0.01</v>
      </c>
      <c r="G38" s="946"/>
      <c r="H38" s="952"/>
      <c r="I38" s="1297" t="s">
        <v>1423</v>
      </c>
      <c r="J38" s="1298"/>
      <c r="K38" s="1047"/>
      <c r="L38" s="952"/>
      <c r="M38" s="952"/>
    </row>
    <row r="39" spans="1:18" ht="24.6" customHeight="1">
      <c r="A39" s="911" t="s">
        <v>1396</v>
      </c>
      <c r="B39" s="1266" t="s">
        <v>1397</v>
      </c>
      <c r="C39" s="913">
        <f ca="1">C5-C30</f>
        <v>235</v>
      </c>
      <c r="D39" s="1267" t="s">
        <v>1398</v>
      </c>
      <c r="E39" s="1268"/>
      <c r="F39" s="1269"/>
      <c r="G39" s="946"/>
      <c r="H39" s="952"/>
      <c r="I39" s="1291" t="s">
        <v>1424</v>
      </c>
      <c r="J39" s="1299">
        <f ca="1">ROUND(J35/C39,3)</f>
        <v>3.83</v>
      </c>
      <c r="K39" s="1047"/>
      <c r="L39" s="952"/>
      <c r="M39" s="952"/>
    </row>
    <row r="40" spans="1:18" ht="18" customHeight="1">
      <c r="A40" s="874" t="s">
        <v>1402</v>
      </c>
      <c r="B40" s="1270" t="s">
        <v>1425</v>
      </c>
      <c r="C40" s="1005">
        <f ca="1">ROUND(C39*(1-((1+F42)/(1+F40))^F41)/(F40-F42),0)</f>
        <v>5040</v>
      </c>
      <c r="D40" s="956" t="s">
        <v>1404</v>
      </c>
      <c r="E40" s="918" t="s">
        <v>1405</v>
      </c>
      <c r="F40" s="891">
        <f ca="1">INDIRECT("'数据-取费表'!I"&amp;$G$1)</f>
        <v>4.4999999999999998E-2</v>
      </c>
      <c r="G40" s="946"/>
      <c r="H40" s="946"/>
      <c r="I40" s="1291" t="s">
        <v>1426</v>
      </c>
      <c r="J40" s="1299">
        <f ca="1">1-J39</f>
        <v>-2.83</v>
      </c>
      <c r="K40" s="1047"/>
      <c r="L40" s="946"/>
      <c r="M40" s="946"/>
    </row>
    <row r="41" spans="1:18" ht="18" customHeight="1">
      <c r="A41" s="890"/>
      <c r="B41" s="1023"/>
      <c r="C41" s="1006"/>
      <c r="D41" s="1024" t="s">
        <v>1408</v>
      </c>
      <c r="E41" s="918" t="s">
        <v>1409</v>
      </c>
      <c r="F41" s="1025">
        <f ca="1">IF(INDIRECT("'数据-取费表'!af"&amp;$G$1)=0,INDIRECT("'数据-取费表'!ae"&amp;$G$1),INDIRECT("'数据-取费表'!af"&amp;$G$1))</f>
        <v>31.729999999999997</v>
      </c>
      <c r="G41" s="946"/>
      <c r="H41" s="1045"/>
      <c r="I41" s="1297" t="s">
        <v>1427</v>
      </c>
      <c r="J41" s="1103"/>
      <c r="K41" s="1046"/>
      <c r="L41" s="1045"/>
      <c r="M41" s="1045"/>
    </row>
    <row r="42" spans="1:18" ht="18" customHeight="1">
      <c r="A42" s="898"/>
      <c r="B42" s="1026"/>
      <c r="C42" s="913"/>
      <c r="D42" s="960"/>
      <c r="E42" s="918" t="s">
        <v>1412</v>
      </c>
      <c r="F42" s="891">
        <f ca="1">INDIRECT("'数据-取费表'!v"&amp;$G$1)</f>
        <v>0.02</v>
      </c>
      <c r="G42" s="946"/>
      <c r="H42" s="1045"/>
      <c r="I42" s="1300" t="s">
        <v>1428</v>
      </c>
      <c r="J42" s="1299">
        <f ca="1">ROUND(C13/C40,3)</f>
        <v>2.2309999999999999</v>
      </c>
      <c r="K42" s="1046"/>
      <c r="L42" s="1045"/>
      <c r="M42" s="1045"/>
    </row>
    <row r="43" spans="1:18" ht="18" customHeight="1">
      <c r="A43" s="943" t="s">
        <v>1414</v>
      </c>
      <c r="B43" s="1271" t="s">
        <v>1429</v>
      </c>
      <c r="C43" s="1028">
        <f ca="1">ROUND(C40*10000/F43,0)</f>
        <v>2245</v>
      </c>
      <c r="D43" s="1029" t="s">
        <v>1430</v>
      </c>
      <c r="E43" s="1030" t="s">
        <v>1431</v>
      </c>
      <c r="F43" s="986">
        <f ca="1">INDIRECT("'数据-取费表'!k"&amp;$G$1)</f>
        <v>22449.78</v>
      </c>
      <c r="G43" s="946"/>
      <c r="H43" s="1045"/>
      <c r="I43" s="1300" t="s">
        <v>1432</v>
      </c>
      <c r="J43" s="1301">
        <f ca="1">1-J42</f>
        <v>-1.2309999999999999</v>
      </c>
      <c r="K43" s="1046"/>
      <c r="L43" s="1045"/>
      <c r="M43" s="1045"/>
    </row>
    <row r="44" spans="1:18" s="609" customFormat="1" ht="18" customHeight="1">
      <c r="A44" s="988"/>
      <c r="B44" s="988"/>
      <c r="C44" s="1272"/>
      <c r="D44" s="988"/>
      <c r="E44" s="988"/>
      <c r="F44" s="988"/>
      <c r="K44" s="1093"/>
      <c r="Q44" s="999"/>
    </row>
    <row r="45" spans="1:18" s="609" customFormat="1" ht="18" customHeight="1">
      <c r="A45" s="988"/>
      <c r="B45" s="988"/>
      <c r="C45" s="1272"/>
      <c r="D45" s="988"/>
      <c r="E45" s="988"/>
      <c r="F45" s="988"/>
      <c r="K45" s="1093"/>
      <c r="Q45" s="999"/>
    </row>
    <row r="46" spans="1:18" s="609" customFormat="1" ht="18" customHeight="1">
      <c r="A46" s="1273" t="s">
        <v>1433</v>
      </c>
      <c r="B46" s="988"/>
      <c r="C46" s="1274">
        <f ca="1">C67-C40</f>
        <v>-8167</v>
      </c>
      <c r="D46" s="988"/>
      <c r="E46" s="988"/>
      <c r="F46" s="988"/>
      <c r="I46" s="1048" t="s">
        <v>1434</v>
      </c>
      <c r="J46" s="1049"/>
      <c r="K46" s="1050"/>
      <c r="L46" s="1051">
        <f>IF(OR(M47="住宅",D1="土地（套用方法）"),0,IF(L48&gt;J51,L60,J60))</f>
        <v>0</v>
      </c>
      <c r="O46" s="1052" t="s">
        <v>1435</v>
      </c>
      <c r="P46" s="873"/>
      <c r="Q46" s="1098"/>
      <c r="R46" s="873"/>
    </row>
    <row r="47" spans="1:18" s="609" customFormat="1" ht="18" customHeight="1">
      <c r="A47" s="1275">
        <v>1</v>
      </c>
      <c r="B47" s="1276" t="s">
        <v>1436</v>
      </c>
      <c r="C47" s="1274">
        <f ca="1">C48+C52+C54</f>
        <v>0</v>
      </c>
      <c r="D47" s="988"/>
      <c r="E47" s="988"/>
      <c r="F47" s="988"/>
      <c r="I47" s="1053" t="s">
        <v>1437</v>
      </c>
      <c r="J47" s="1054" t="s">
        <v>1438</v>
      </c>
      <c r="K47" s="1055" t="s">
        <v>1439</v>
      </c>
      <c r="L47" s="1056">
        <f ca="1">INDIRECT("'数据-取费表'!d"&amp;$G$1)</f>
        <v>40</v>
      </c>
      <c r="M47" s="1098" t="str">
        <f>IF(ISNUMBER(FIND("住宅",C1)),"住宅","非住宅")</f>
        <v>非住宅</v>
      </c>
      <c r="O47" s="1058" t="s">
        <v>1440</v>
      </c>
      <c r="P47" s="1059" t="s">
        <v>1441</v>
      </c>
      <c r="Q47" s="1099" t="s">
        <v>1442</v>
      </c>
      <c r="R47" s="1059" t="s">
        <v>1443</v>
      </c>
    </row>
    <row r="48" spans="1:18" s="609" customFormat="1" ht="18" customHeight="1">
      <c r="A48" s="1277" t="s">
        <v>1128</v>
      </c>
      <c r="B48" s="1278" t="s">
        <v>1444</v>
      </c>
      <c r="C48" s="1279">
        <f ca="1">ROUND(F48*F50*F49*(1-F51)/10000,0)</f>
        <v>0</v>
      </c>
      <c r="D48" s="1280" t="s">
        <v>1339</v>
      </c>
      <c r="E48" s="1281" t="s">
        <v>1445</v>
      </c>
      <c r="F48" s="1282"/>
      <c r="G48" s="992"/>
      <c r="I48" s="1060" t="s">
        <v>1446</v>
      </c>
      <c r="J48" s="1061" t="s">
        <v>1447</v>
      </c>
      <c r="K48" s="1062" t="s">
        <v>1448</v>
      </c>
      <c r="L48" s="1063">
        <f ca="1">INDIRECT("'数据-取费表'!f"&amp;$G$1)</f>
        <v>34.729999999999997</v>
      </c>
      <c r="O48" s="1064" t="s">
        <v>1449</v>
      </c>
      <c r="P48" s="1065" t="s">
        <v>1450</v>
      </c>
      <c r="Q48" s="1100">
        <f ca="1">C40+J29</f>
        <v>5040</v>
      </c>
      <c r="R48" s="1065" t="s">
        <v>1451</v>
      </c>
    </row>
    <row r="49" spans="1:18" s="609" customFormat="1" ht="18" customHeight="1">
      <c r="A49" s="890"/>
      <c r="B49" s="1023"/>
      <c r="C49" s="1006"/>
      <c r="D49" s="901"/>
      <c r="E49" s="918" t="s">
        <v>1340</v>
      </c>
      <c r="F49" s="883">
        <f ca="1">F7</f>
        <v>22449.78</v>
      </c>
      <c r="G49" s="992"/>
      <c r="H49" s="995"/>
      <c r="I49" s="1060" t="s">
        <v>1452</v>
      </c>
      <c r="J49" s="1066">
        <v>2021</v>
      </c>
      <c r="K49" s="1067" t="s">
        <v>1453</v>
      </c>
      <c r="L49" s="1068"/>
      <c r="O49" s="1064" t="s">
        <v>1454</v>
      </c>
      <c r="P49" s="1065" t="s">
        <v>1455</v>
      </c>
      <c r="Q49" s="1100">
        <f ca="1">J60</f>
        <v>384</v>
      </c>
      <c r="R49" s="1065" t="s">
        <v>1456</v>
      </c>
    </row>
    <row r="50" spans="1:18" s="609" customFormat="1" ht="18" customHeight="1">
      <c r="A50" s="890"/>
      <c r="B50" s="1023"/>
      <c r="C50" s="1006"/>
      <c r="D50" s="901"/>
      <c r="E50" s="918" t="s">
        <v>1341</v>
      </c>
      <c r="F50" s="883">
        <f ca="1">F8</f>
        <v>365</v>
      </c>
      <c r="G50" s="997"/>
      <c r="H50" s="995"/>
      <c r="I50" s="1060" t="s">
        <v>1457</v>
      </c>
      <c r="J50" s="1069">
        <f>SUMPRODUCT((I63:I65=J47)*(J62:L62=J48)*(J63:L65))</f>
        <v>60</v>
      </c>
      <c r="K50" s="1067" t="s">
        <v>1458</v>
      </c>
      <c r="L50" s="1068"/>
      <c r="O50" s="1070" t="s">
        <v>1459</v>
      </c>
      <c r="P50" s="1065" t="s">
        <v>1460</v>
      </c>
      <c r="Q50" s="1100">
        <f ca="1">C29</f>
        <v>11244</v>
      </c>
      <c r="R50" s="1065" t="s">
        <v>1451</v>
      </c>
    </row>
    <row r="51" spans="1:18" s="609" customFormat="1" ht="18" customHeight="1">
      <c r="A51" s="890"/>
      <c r="B51" s="1023"/>
      <c r="C51" s="1006"/>
      <c r="D51" s="901"/>
      <c r="E51" s="918" t="s">
        <v>1342</v>
      </c>
      <c r="F51" s="1283"/>
      <c r="H51" s="995"/>
      <c r="I51" s="1071" t="s">
        <v>1461</v>
      </c>
      <c r="J51" s="1072">
        <f>IF(J49="",J50,J49+J50-YEAR('数据-取费表'!B2))</f>
        <v>62</v>
      </c>
      <c r="K51" s="1060" t="s">
        <v>1462</v>
      </c>
      <c r="L51" s="1073">
        <f ca="1">ROUND(-PV(INDIRECT("'数据-取费表'!h"&amp;$G$1),L48,(C39-C13*J36),0),0)</f>
        <v>-12358</v>
      </c>
      <c r="O51" s="1070" t="s">
        <v>1463</v>
      </c>
      <c r="P51" s="1065" t="s">
        <v>1464</v>
      </c>
      <c r="Q51" s="1101">
        <f ca="1">J58</f>
        <v>0.45500000000000002</v>
      </c>
      <c r="R51" s="1102"/>
    </row>
    <row r="52" spans="1:18" s="609" customFormat="1" ht="18" customHeight="1">
      <c r="A52" s="874" t="s">
        <v>1465</v>
      </c>
      <c r="B52" s="893" t="s">
        <v>1343</v>
      </c>
      <c r="C52" s="120">
        <f ca="1">ROUND(IF(F52="押一",C48/12*F11,IF(F52="押二",C48/12*2*F11,IF(F52="押三",C48/12*3*F11,C53*F11))),0)</f>
        <v>0</v>
      </c>
      <c r="D52" s="894" t="s">
        <v>1344</v>
      </c>
      <c r="E52" s="895" t="s">
        <v>1345</v>
      </c>
      <c r="F52" s="896"/>
      <c r="I52" s="1074" t="s">
        <v>1466</v>
      </c>
      <c r="J52" s="1075">
        <v>8.5000000000000006E-2</v>
      </c>
      <c r="K52" s="1074" t="s">
        <v>1187</v>
      </c>
      <c r="L52" s="1075"/>
      <c r="O52" s="1070" t="s">
        <v>1467</v>
      </c>
      <c r="P52" s="1065" t="s">
        <v>1468</v>
      </c>
      <c r="Q52" s="1101">
        <f>J52</f>
        <v>8.5000000000000006E-2</v>
      </c>
      <c r="R52" s="1102"/>
    </row>
    <row r="53" spans="1:18" s="609" customFormat="1" ht="39.75" customHeight="1">
      <c r="A53" s="890"/>
      <c r="B53" s="899" t="s">
        <v>1347</v>
      </c>
      <c r="C53" s="900"/>
      <c r="D53" s="894"/>
      <c r="E53" s="895"/>
      <c r="F53" s="916"/>
      <c r="I53" s="1076" t="s">
        <v>1469</v>
      </c>
      <c r="J53" s="1077">
        <f ca="1">IF(M47="住宅",IF(D1="——",MAX(J51,L48),MAX(J51,L48-'数据-取费表'!B20)),IF(D1="——",MIN(J51,L48),MIN(J51,L48-'数据-取费表'!B20)))</f>
        <v>31.729999999999997</v>
      </c>
      <c r="K53" s="3424" t="s">
        <v>1470</v>
      </c>
      <c r="L53" s="3425"/>
      <c r="O53" s="1070" t="s">
        <v>1471</v>
      </c>
      <c r="P53" s="1065" t="s">
        <v>1472</v>
      </c>
      <c r="Q53" s="1100">
        <f ca="1">J53</f>
        <v>31.729999999999997</v>
      </c>
      <c r="R53" s="1065" t="s">
        <v>1473</v>
      </c>
    </row>
    <row r="54" spans="1:18" s="609" customFormat="1" ht="18" customHeight="1">
      <c r="A54" s="904" t="s">
        <v>1016</v>
      </c>
      <c r="B54" s="905" t="s">
        <v>1348</v>
      </c>
      <c r="C54" s="906"/>
      <c r="D54" s="894"/>
      <c r="E54" s="895"/>
      <c r="F54" s="91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3"/>
      <c r="O54" s="1064" t="s">
        <v>1474</v>
      </c>
      <c r="P54" s="1065" t="s">
        <v>1475</v>
      </c>
      <c r="Q54" s="1100">
        <f ca="1">Q48+Q49</f>
        <v>5424</v>
      </c>
      <c r="R54" s="1102" t="s">
        <v>1476</v>
      </c>
    </row>
    <row r="55" spans="1:18" s="609" customFormat="1" ht="18" customHeight="1">
      <c r="A55" s="927">
        <v>2</v>
      </c>
      <c r="B55" s="1020" t="s">
        <v>1349</v>
      </c>
      <c r="C55" s="120">
        <f ca="1">C13</f>
        <v>11244</v>
      </c>
      <c r="D55" s="915"/>
      <c r="E55" s="915"/>
      <c r="F55" s="916"/>
      <c r="I55" s="1080" t="s">
        <v>1477</v>
      </c>
      <c r="J55" s="1081">
        <f ca="1">ROUND(IF(J47="钢混",J57/J50,1-(1-2%)*(J50-J57)/J50),3)</f>
        <v>0.45500000000000002</v>
      </c>
      <c r="K55" s="1082" t="s">
        <v>1478</v>
      </c>
      <c r="L55" s="1083"/>
      <c r="O55" s="1084" t="s">
        <v>1479</v>
      </c>
      <c r="P55" s="873"/>
      <c r="Q55" s="1098"/>
      <c r="R55" s="873"/>
    </row>
    <row r="56" spans="1:18" s="609" customFormat="1" ht="42.75" customHeight="1">
      <c r="A56" s="1262"/>
      <c r="B56" s="1016" t="s">
        <v>1413</v>
      </c>
      <c r="C56" s="121">
        <f ca="1">C29</f>
        <v>11244</v>
      </c>
      <c r="D56" s="948"/>
      <c r="E56" s="918"/>
      <c r="F56" s="926"/>
      <c r="I56" s="1085" t="s">
        <v>1480</v>
      </c>
      <c r="J56" s="1086" t="s">
        <v>457</v>
      </c>
      <c r="K56" s="1060" t="s">
        <v>1481</v>
      </c>
      <c r="L56" s="1063" t="str">
        <f ca="1">IF(L48&lt;J51,"——",L48-J51)</f>
        <v>——</v>
      </c>
      <c r="O56" s="1058" t="s">
        <v>1440</v>
      </c>
      <c r="P56" s="1059" t="s">
        <v>1441</v>
      </c>
      <c r="Q56" s="1099" t="s">
        <v>1442</v>
      </c>
      <c r="R56" s="1059" t="s">
        <v>1443</v>
      </c>
    </row>
    <row r="57" spans="1:18" s="609" customFormat="1" ht="28.5" customHeight="1">
      <c r="A57" s="927" t="s">
        <v>1357</v>
      </c>
      <c r="B57" s="1020" t="s">
        <v>1358</v>
      </c>
      <c r="C57" s="120">
        <f ca="1">ROUND(C58+C63+C64+C65,0)</f>
        <v>187</v>
      </c>
      <c r="D57" s="1017" t="s">
        <v>1359</v>
      </c>
      <c r="E57" s="123"/>
      <c r="F57" s="928"/>
      <c r="I57" s="1087" t="s">
        <v>1482</v>
      </c>
      <c r="J57" s="1088">
        <f ca="1">IF(OR(M47="住宅",J51&lt;L48,J56="是"),"——",J51-L48)</f>
        <v>27.270000000000003</v>
      </c>
      <c r="K57" s="1060" t="s">
        <v>1483</v>
      </c>
      <c r="L57" s="1063" t="str">
        <f ca="1">IF(L48&lt;J51,"——",IF(L55="比较法",L49,IF(L55="基准地价",L50,L51)))</f>
        <v>——</v>
      </c>
      <c r="O57" s="1064" t="s">
        <v>1449</v>
      </c>
      <c r="P57" s="1065" t="s">
        <v>1450</v>
      </c>
      <c r="Q57" s="1100">
        <f ca="1">C40+J29</f>
        <v>5040</v>
      </c>
      <c r="R57" s="1065" t="s">
        <v>1451</v>
      </c>
    </row>
    <row r="58" spans="1:18" s="609" customFormat="1" ht="28.5" customHeight="1">
      <c r="A58" s="1259" t="s">
        <v>851</v>
      </c>
      <c r="B58" s="918" t="s">
        <v>1364</v>
      </c>
      <c r="C58" s="121">
        <f ca="1">ROUND(IF(项目基本情况!B11="自然人",C47*F58,C59+C60+C61),1)</f>
        <v>1</v>
      </c>
      <c r="D58" s="920" t="s">
        <v>1365</v>
      </c>
      <c r="E58" s="948" t="s">
        <v>1366</v>
      </c>
      <c r="F58" s="949" t="str">
        <f ca="1">IF(项目基本情况!B11="企业","",IF(INDIRECT("'数据-取费表'!c"&amp;$G$1)="住宅",5%,IF(F48*F49*F50/12/(1+'数据-取费表'!C42)&gt;20000,12%,7%)))</f>
        <v/>
      </c>
      <c r="I58" s="1087" t="s">
        <v>1484</v>
      </c>
      <c r="J58" s="1089">
        <f ca="1">IF(J55&lt;0.4,0.4,J55)</f>
        <v>0.45500000000000002</v>
      </c>
      <c r="K58" s="1060" t="s">
        <v>1485</v>
      </c>
      <c r="L58" s="1063" t="e">
        <f ca="1">ROUND(POWER(1+L52,L47-L48)*(POWER(1+L52,L48)-1)/(POWER(1+L52,L47)-1),4)</f>
        <v>#DIV/0!</v>
      </c>
      <c r="O58" s="1064" t="s">
        <v>1454</v>
      </c>
      <c r="P58" s="1065" t="s">
        <v>1486</v>
      </c>
      <c r="Q58" s="1100">
        <f ca="1">L60</f>
        <v>0</v>
      </c>
      <c r="R58" s="1102" t="s">
        <v>1487</v>
      </c>
    </row>
    <row r="59" spans="1:18" s="609" customFormat="1" ht="28.5" customHeight="1">
      <c r="A59" s="1258" t="s">
        <v>875</v>
      </c>
      <c r="B59" s="918" t="s">
        <v>1368</v>
      </c>
      <c r="C59" s="121">
        <f ca="1">ROUND(C47*F59/1.05,1)</f>
        <v>0</v>
      </c>
      <c r="D59" s="948" t="s">
        <v>1369</v>
      </c>
      <c r="E59" s="918" t="s">
        <v>1356</v>
      </c>
      <c r="F59" s="926">
        <f t="shared" ref="F59:F65" si="0">F32</f>
        <v>5.6000000000000001E-2</v>
      </c>
      <c r="I59" s="1087" t="s">
        <v>1488</v>
      </c>
      <c r="J59" s="1088">
        <f ca="1">IF(OR(M47="住宅",J51&lt;L48,J56="是"),"——",ROUND(C29*J58,0))</f>
        <v>5116</v>
      </c>
      <c r="K59" s="1060" t="str">
        <f>IF(D1="——","建筑物剩余耐用年限下的土地年期修正系数Kn","建设期及建筑物耐用年限下的土地年期修正系数Kn")</f>
        <v>建设期及建筑物耐用年限下的土地年期修正系数Kn</v>
      </c>
      <c r="L59" s="1063" t="e">
        <f ca="1">ROUND(IF(D1="土地（套用方法）",POWER(1+L52,L47-(J51+'数据-取费表'!B20))*(POWER(1+L52,(J51+'数据-取费表'!B20))-1)/(POWER(1+L52,L47)-1),POWER(1+L52,L47-J51)*(POWER(1+L52,J51)-1)/(POWER(1+L52,L47)-1)),4)</f>
        <v>#DIV/0!</v>
      </c>
      <c r="O59" s="1070" t="s">
        <v>1459</v>
      </c>
      <c r="P59" s="1065" t="s">
        <v>1489</v>
      </c>
      <c r="Q59" s="1100">
        <f>IF(L55="比较法",L49,IF(L55="基准地价",L50,0))</f>
        <v>0</v>
      </c>
      <c r="R59" s="1065" t="s">
        <v>1451</v>
      </c>
    </row>
    <row r="60" spans="1:18" s="609" customFormat="1" ht="18" customHeight="1">
      <c r="A60" s="1258" t="s">
        <v>880</v>
      </c>
      <c r="B60" s="918" t="s">
        <v>1372</v>
      </c>
      <c r="C60" s="121">
        <f ca="1">IF(D60="按租金收入计税",ROUND(C47*F60,1),IF(D60="按房产原值计税",ROUND(C56*F60*0.7,1),INDIRECT("'数据-取费表'!Aj"&amp;$G$1)))</f>
        <v>0</v>
      </c>
      <c r="D60" s="948" t="str">
        <f>D33</f>
        <v>按租金收入计税</v>
      </c>
      <c r="E60" s="918" t="s">
        <v>1356</v>
      </c>
      <c r="F60" s="926">
        <f t="shared" si="0"/>
        <v>0.12</v>
      </c>
      <c r="I60" s="1090" t="s">
        <v>1490</v>
      </c>
      <c r="J60" s="1091">
        <f ca="1">IF(OR(M47="住宅",J51&lt;L48,J56="是"),"0",ROUND(J59/(1+J52)^J53,0))</f>
        <v>384</v>
      </c>
      <c r="K60" s="1092" t="s">
        <v>1491</v>
      </c>
      <c r="L60" s="1091">
        <f ca="1">IF(OR(M47="住宅",L48&lt;J51),0,ROUND(L57*(L58/L59-1),0))</f>
        <v>0</v>
      </c>
      <c r="O60" s="1070" t="s">
        <v>1463</v>
      </c>
      <c r="P60" s="1065" t="s">
        <v>1492</v>
      </c>
      <c r="Q60" s="1101">
        <f>L52</f>
        <v>0</v>
      </c>
      <c r="R60" s="1102"/>
    </row>
    <row r="61" spans="1:18" s="609" customFormat="1" ht="18" customHeight="1">
      <c r="A61" s="1260" t="s">
        <v>883</v>
      </c>
      <c r="B61" s="954" t="s">
        <v>1376</v>
      </c>
      <c r="C61" s="955">
        <f ca="1">ROUND(F61*F62/10000,1)</f>
        <v>1</v>
      </c>
      <c r="D61" s="956" t="s">
        <v>1377</v>
      </c>
      <c r="E61" s="918" t="s">
        <v>1378</v>
      </c>
      <c r="F61" s="936">
        <f t="shared" si="0"/>
        <v>5</v>
      </c>
      <c r="K61" s="1093"/>
      <c r="O61" s="1070" t="s">
        <v>1467</v>
      </c>
      <c r="P61" s="1065" t="s">
        <v>1493</v>
      </c>
      <c r="Q61" s="1100" t="e">
        <f ca="1">L58</f>
        <v>#DIV/0!</v>
      </c>
      <c r="R61" s="1102" t="s">
        <v>1494</v>
      </c>
    </row>
    <row r="62" spans="1:18" s="609" customFormat="1" ht="15.6">
      <c r="A62" s="957"/>
      <c r="B62" s="958"/>
      <c r="C62" s="959"/>
      <c r="D62" s="960"/>
      <c r="E62" s="918" t="s">
        <v>1382</v>
      </c>
      <c r="F62" s="883">
        <f t="shared" ca="1" si="0"/>
        <v>2003.6</v>
      </c>
      <c r="I62" s="1094" t="s">
        <v>1495</v>
      </c>
      <c r="J62" s="1095" t="s">
        <v>1496</v>
      </c>
      <c r="K62" s="1095" t="s">
        <v>1497</v>
      </c>
      <c r="L62" s="1095" t="s">
        <v>1447</v>
      </c>
      <c r="M62" s="1096" t="s">
        <v>1498</v>
      </c>
      <c r="O62" s="1070" t="s">
        <v>1471</v>
      </c>
      <c r="P62" s="1065" t="str">
        <f>K59</f>
        <v>建设期及建筑物耐用年限下的土地年期修正系数Kn</v>
      </c>
      <c r="Q62" s="1100" t="e">
        <f ca="1">L59</f>
        <v>#DIV/0!</v>
      </c>
      <c r="R62" s="1102" t="s">
        <v>1499</v>
      </c>
    </row>
    <row r="63" spans="1:18" s="609" customFormat="1" ht="15.6">
      <c r="A63" s="1259" t="s">
        <v>853</v>
      </c>
      <c r="B63" s="918" t="s">
        <v>1385</v>
      </c>
      <c r="C63" s="121">
        <f ca="1">ROUND(C56*F63,1)</f>
        <v>168.7</v>
      </c>
      <c r="D63" s="948" t="s">
        <v>1420</v>
      </c>
      <c r="E63" s="918" t="s">
        <v>1356</v>
      </c>
      <c r="F63" s="961">
        <f t="shared" ca="1" si="0"/>
        <v>1.4999999999999999E-2</v>
      </c>
      <c r="I63" s="1094" t="s">
        <v>1500</v>
      </c>
      <c r="J63" s="1095">
        <v>70</v>
      </c>
      <c r="K63" s="1095">
        <v>50</v>
      </c>
      <c r="L63" s="1095">
        <v>80</v>
      </c>
      <c r="M63" s="1097">
        <v>0.02</v>
      </c>
      <c r="O63" s="1064" t="s">
        <v>1474</v>
      </c>
      <c r="P63" s="1065" t="s">
        <v>1475</v>
      </c>
      <c r="Q63" s="1100">
        <f ca="1">Q57+Q58</f>
        <v>5040</v>
      </c>
      <c r="R63" s="1102" t="s">
        <v>1476</v>
      </c>
    </row>
    <row r="64" spans="1:18" s="609" customFormat="1" ht="15.6">
      <c r="A64" s="1259" t="s">
        <v>1016</v>
      </c>
      <c r="B64" s="918" t="s">
        <v>1389</v>
      </c>
      <c r="C64" s="121">
        <f ca="1">ROUND(C55*F64,1)</f>
        <v>16.899999999999999</v>
      </c>
      <c r="D64" s="948" t="s">
        <v>1390</v>
      </c>
      <c r="E64" s="918" t="s">
        <v>1356</v>
      </c>
      <c r="F64" s="962">
        <f t="shared" ca="1" si="0"/>
        <v>1.5E-3</v>
      </c>
      <c r="I64" s="1094" t="s">
        <v>1438</v>
      </c>
      <c r="J64" s="1095">
        <v>50</v>
      </c>
      <c r="K64" s="1095">
        <v>35</v>
      </c>
      <c r="L64" s="1095">
        <v>60</v>
      </c>
      <c r="M64" s="1103">
        <v>0</v>
      </c>
      <c r="O64" s="1084" t="s">
        <v>1501</v>
      </c>
      <c r="P64" s="873"/>
      <c r="Q64" s="1098"/>
      <c r="R64" s="873"/>
    </row>
    <row r="65" spans="1:18" s="609" customFormat="1" ht="15.6">
      <c r="A65" s="1259" t="s">
        <v>1383</v>
      </c>
      <c r="B65" s="918" t="s">
        <v>1374</v>
      </c>
      <c r="C65" s="121">
        <f ca="1">ROUND(C47*F65,1)</f>
        <v>0</v>
      </c>
      <c r="D65" s="948" t="s">
        <v>1393</v>
      </c>
      <c r="E65" s="918" t="s">
        <v>1356</v>
      </c>
      <c r="F65" s="891">
        <f t="shared" ca="1" si="0"/>
        <v>0.01</v>
      </c>
      <c r="I65" s="1094" t="s">
        <v>1502</v>
      </c>
      <c r="J65" s="1095">
        <v>40</v>
      </c>
      <c r="K65" s="1095">
        <v>30</v>
      </c>
      <c r="L65" s="1095">
        <v>50</v>
      </c>
      <c r="M65" s="1097">
        <v>0.02</v>
      </c>
      <c r="O65" s="1058" t="s">
        <v>1440</v>
      </c>
      <c r="P65" s="1059" t="s">
        <v>1441</v>
      </c>
      <c r="Q65" s="1099" t="s">
        <v>1442</v>
      </c>
      <c r="R65" s="1059" t="s">
        <v>1443</v>
      </c>
    </row>
    <row r="66" spans="1:18" s="609" customFormat="1" ht="24">
      <c r="A66" s="927" t="s">
        <v>1396</v>
      </c>
      <c r="B66" s="1022" t="s">
        <v>1397</v>
      </c>
      <c r="C66" s="120">
        <f ca="1">C47-C57</f>
        <v>-187</v>
      </c>
      <c r="D66" s="920" t="s">
        <v>1398</v>
      </c>
      <c r="E66" s="968"/>
      <c r="F66" s="969"/>
      <c r="K66" s="1093"/>
      <c r="O66" s="1064" t="s">
        <v>1449</v>
      </c>
      <c r="P66" s="1065" t="s">
        <v>1450</v>
      </c>
      <c r="Q66" s="1100">
        <f ca="1">C40+J29</f>
        <v>5040</v>
      </c>
      <c r="R66" s="1065" t="s">
        <v>1451</v>
      </c>
    </row>
    <row r="67" spans="1:18" s="609" customFormat="1" ht="18.600000000000001">
      <c r="A67" s="874" t="s">
        <v>1402</v>
      </c>
      <c r="B67" s="1270" t="s">
        <v>1425</v>
      </c>
      <c r="C67" s="1005">
        <f ca="1">ROUND(C66*(1-((1+F69)/(1+F67))^F68)/(F67-F69),0)</f>
        <v>-3127</v>
      </c>
      <c r="D67" s="956" t="s">
        <v>1404</v>
      </c>
      <c r="E67" s="918" t="s">
        <v>1503</v>
      </c>
      <c r="F67" s="891">
        <f t="shared" ref="F67:F70" ca="1" si="1">F40</f>
        <v>4.4999999999999998E-2</v>
      </c>
      <c r="K67" s="1093"/>
      <c r="O67" s="1064" t="s">
        <v>1454</v>
      </c>
      <c r="P67" s="1065" t="s">
        <v>1486</v>
      </c>
      <c r="Q67" s="1100">
        <f ca="1">L60</f>
        <v>0</v>
      </c>
      <c r="R67" s="1102" t="s">
        <v>1487</v>
      </c>
    </row>
    <row r="68" spans="1:18" ht="19.8">
      <c r="A68" s="890"/>
      <c r="B68" s="1023"/>
      <c r="C68" s="1006"/>
      <c r="D68" s="1024" t="s">
        <v>1408</v>
      </c>
      <c r="E68" s="918" t="s">
        <v>1409</v>
      </c>
      <c r="F68" s="1025">
        <f t="shared" ca="1" si="1"/>
        <v>31.729999999999997</v>
      </c>
      <c r="O68" s="1070" t="s">
        <v>1459</v>
      </c>
      <c r="P68" s="1065" t="s">
        <v>1489</v>
      </c>
      <c r="Q68" s="1105">
        <f ca="1">L51</f>
        <v>-12358</v>
      </c>
      <c r="R68" s="1106" t="s">
        <v>1504</v>
      </c>
    </row>
    <row r="69" spans="1:18" ht="18.600000000000001">
      <c r="A69" s="898"/>
      <c r="B69" s="1026"/>
      <c r="C69" s="913"/>
      <c r="D69" s="960"/>
      <c r="E69" s="918" t="s">
        <v>1412</v>
      </c>
      <c r="F69" s="1283"/>
      <c r="O69" s="1070" t="s">
        <v>1463</v>
      </c>
      <c r="P69" s="1104" t="s">
        <v>1505</v>
      </c>
      <c r="Q69" s="1100">
        <f ca="1">ROUND(Q70-Q71*Q72,0)</f>
        <v>-665</v>
      </c>
      <c r="R69" s="1102"/>
    </row>
    <row r="70" spans="1:18" ht="15.6">
      <c r="A70" s="943" t="s">
        <v>1414</v>
      </c>
      <c r="B70" s="1271" t="s">
        <v>1429</v>
      </c>
      <c r="C70" s="1028">
        <f ca="1">ROUND(C67*10000/F70,0)</f>
        <v>-1393</v>
      </c>
      <c r="D70" s="1029" t="s">
        <v>1430</v>
      </c>
      <c r="E70" s="1030" t="s">
        <v>1431</v>
      </c>
      <c r="F70" s="986">
        <f t="shared" ca="1" si="1"/>
        <v>22449.78</v>
      </c>
      <c r="O70" s="1070" t="s">
        <v>1506</v>
      </c>
      <c r="P70" s="1104" t="s">
        <v>1507</v>
      </c>
      <c r="Q70" s="1100">
        <f ca="1">C39</f>
        <v>235</v>
      </c>
      <c r="R70" s="1065" t="s">
        <v>1451</v>
      </c>
    </row>
    <row r="71" spans="1:18" ht="15.6">
      <c r="O71" s="1070" t="s">
        <v>1508</v>
      </c>
      <c r="P71" s="1104" t="s">
        <v>1509</v>
      </c>
      <c r="Q71" s="1100">
        <f ca="1">C13</f>
        <v>11244</v>
      </c>
      <c r="R71" s="1065" t="s">
        <v>1451</v>
      </c>
    </row>
    <row r="72" spans="1:18" ht="15.6">
      <c r="O72" s="1070" t="s">
        <v>1510</v>
      </c>
      <c r="P72" s="1104" t="s">
        <v>1511</v>
      </c>
      <c r="Q72" s="1101">
        <f ca="1">J36</f>
        <v>0.08</v>
      </c>
      <c r="R72" s="1102"/>
    </row>
    <row r="73" spans="1:18" ht="15.6">
      <c r="O73" s="1070" t="s">
        <v>1467</v>
      </c>
      <c r="P73" s="1065" t="s">
        <v>1492</v>
      </c>
      <c r="Q73" s="1101">
        <f>L52</f>
        <v>0</v>
      </c>
      <c r="R73" s="1102"/>
    </row>
    <row r="74" spans="1:18" ht="18.600000000000001">
      <c r="O74" s="1070" t="s">
        <v>1471</v>
      </c>
      <c r="P74" s="1065" t="s">
        <v>1493</v>
      </c>
      <c r="Q74" s="1100" t="e">
        <f ca="1">L58</f>
        <v>#DIV/0!</v>
      </c>
      <c r="R74" s="1102" t="s">
        <v>1494</v>
      </c>
    </row>
    <row r="75" spans="1:18" ht="15.6">
      <c r="O75" s="1070" t="s">
        <v>1512</v>
      </c>
      <c r="P75" s="1065" t="str">
        <f>K59</f>
        <v>建设期及建筑物耐用年限下的土地年期修正系数Kn</v>
      </c>
      <c r="Q75" s="1100" t="e">
        <f ca="1">L59</f>
        <v>#DIV/0!</v>
      </c>
      <c r="R75" s="1102" t="s">
        <v>1499</v>
      </c>
    </row>
    <row r="76" spans="1:18" ht="15.6">
      <c r="O76" s="1064" t="s">
        <v>1474</v>
      </c>
      <c r="P76" s="1065" t="s">
        <v>1475</v>
      </c>
      <c r="Q76" s="1100">
        <f ca="1">Q66+Q67</f>
        <v>5040</v>
      </c>
      <c r="R76" s="1102" t="s">
        <v>1476</v>
      </c>
    </row>
  </sheetData>
  <sheetProtection password="C66D" sheet="1" objects="1" scenarios="1" formatCells="0" formatColumns="0" formatRows="0"/>
  <mergeCells count="3">
    <mergeCell ref="K53:L53"/>
    <mergeCell ref="B6:B9"/>
    <mergeCell ref="I6:I9"/>
  </mergeCells>
  <phoneticPr fontId="231" type="noConversion"/>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3">
    <cfRule type="expression" dxfId="86" priority="1">
      <formula>$F$52="自定义"</formula>
    </cfRule>
  </conditionalFormatting>
  <conditionalFormatting sqref="I55">
    <cfRule type="expression" dxfId="85" priority="7">
      <formula>$J$51&gt;$L$48</formula>
    </cfRule>
  </conditionalFormatting>
  <conditionalFormatting sqref="K55">
    <cfRule type="expression" dxfId="84" priority="6">
      <formula>$L$48&gt;$J$51</formula>
    </cfRule>
  </conditionalFormatting>
  <conditionalFormatting sqref="I60">
    <cfRule type="expression" dxfId="83" priority="5">
      <formula>$J$51&gt;$L$48</formula>
    </cfRule>
  </conditionalFormatting>
  <conditionalFormatting sqref="K60">
    <cfRule type="expression" dxfId="8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WVV226"/>
  <sheetViews>
    <sheetView topLeftCell="D1" workbookViewId="0">
      <selection activeCell="H24" sqref="H24"/>
    </sheetView>
  </sheetViews>
  <sheetFormatPr defaultColWidth="9" defaultRowHeight="13.2"/>
  <cols>
    <col min="1" max="1" width="26.6640625" style="1244" customWidth="1"/>
    <col min="2" max="2" width="6.21875" style="1244" customWidth="1"/>
    <col min="3" max="3" width="13.88671875" style="1244" customWidth="1"/>
    <col min="4" max="4" width="32.109375" style="1244" customWidth="1"/>
    <col min="5" max="5" width="7.88671875" style="1244" customWidth="1"/>
    <col min="6" max="6" width="9.6640625" style="1244" customWidth="1"/>
    <col min="7" max="7" width="10.109375" style="1244" customWidth="1"/>
    <col min="8" max="8" width="20.77734375" style="1244" customWidth="1"/>
    <col min="9" max="9" width="12.88671875" style="1244" hidden="1" customWidth="1"/>
    <col min="10" max="10" width="12.88671875" style="1244" customWidth="1"/>
    <col min="11" max="12" width="11.21875" style="1244" customWidth="1"/>
    <col min="13" max="13" width="17.88671875" style="1244" hidden="1" customWidth="1"/>
    <col min="14" max="14" width="9" style="1244" customWidth="1"/>
    <col min="15" max="16" width="10.6640625" style="1244" customWidth="1"/>
    <col min="17" max="18" width="14.33203125" style="1244" customWidth="1"/>
    <col min="19" max="19" width="14.33203125" style="1243" customWidth="1"/>
    <col min="20" max="20" width="6.21875" style="1244" customWidth="1"/>
    <col min="21" max="21" width="16.88671875" style="1244" customWidth="1"/>
    <col min="22" max="23" width="20.109375" style="1244" customWidth="1"/>
    <col min="24" max="24" width="7.88671875" style="1244" customWidth="1"/>
    <col min="25" max="258" width="9" style="1244"/>
    <col min="259" max="259" width="37" style="1244" customWidth="1"/>
    <col min="260" max="260" width="6.21875" style="1244" customWidth="1"/>
    <col min="261" max="261" width="13.88671875" style="1244" customWidth="1"/>
    <col min="262" max="262" width="37" style="1244" customWidth="1"/>
    <col min="263" max="263" width="7.88671875" style="1244" customWidth="1"/>
    <col min="264" max="265" width="13.88671875" style="1244" customWidth="1"/>
    <col min="266" max="266" width="20.77734375" style="1244" customWidth="1"/>
    <col min="267" max="267" width="9" style="1244" hidden="1" customWidth="1"/>
    <col min="268" max="269" width="11.21875" style="1244" customWidth="1"/>
    <col min="270" max="270" width="9" style="1244" hidden="1" customWidth="1"/>
    <col min="271" max="271" width="9" style="1244" customWidth="1"/>
    <col min="272" max="273" width="10.6640625" style="1244" customWidth="1"/>
    <col min="274" max="275" width="14.33203125" style="1244" customWidth="1"/>
    <col min="276" max="276" width="6.21875" style="1244" customWidth="1"/>
    <col min="277" max="277" width="16.88671875" style="1244" customWidth="1"/>
    <col min="278" max="279" width="20.109375" style="1244" customWidth="1"/>
    <col min="280" max="280" width="7.88671875" style="1244" customWidth="1"/>
    <col min="281" max="514" width="9" style="1244"/>
    <col min="515" max="515" width="37" style="1244" customWidth="1"/>
    <col min="516" max="516" width="6.21875" style="1244" customWidth="1"/>
    <col min="517" max="517" width="13.88671875" style="1244" customWidth="1"/>
    <col min="518" max="518" width="37" style="1244" customWidth="1"/>
    <col min="519" max="519" width="7.88671875" style="1244" customWidth="1"/>
    <col min="520" max="521" width="13.88671875" style="1244" customWidth="1"/>
    <col min="522" max="522" width="20.77734375" style="1244" customWidth="1"/>
    <col min="523" max="523" width="9" style="1244" hidden="1" customWidth="1"/>
    <col min="524" max="525" width="11.21875" style="1244" customWidth="1"/>
    <col min="526" max="526" width="9" style="1244" hidden="1" customWidth="1"/>
    <col min="527" max="527" width="9" style="1244" customWidth="1"/>
    <col min="528" max="529" width="10.6640625" style="1244" customWidth="1"/>
    <col min="530" max="531" width="14.33203125" style="1244" customWidth="1"/>
    <col min="532" max="532" width="6.21875" style="1244" customWidth="1"/>
    <col min="533" max="533" width="16.88671875" style="1244" customWidth="1"/>
    <col min="534" max="535" width="20.109375" style="1244" customWidth="1"/>
    <col min="536" max="536" width="7.88671875" style="1244" customWidth="1"/>
    <col min="537" max="770" width="9" style="1244"/>
    <col min="771" max="771" width="37" style="1244" customWidth="1"/>
    <col min="772" max="772" width="6.21875" style="1244" customWidth="1"/>
    <col min="773" max="773" width="13.88671875" style="1244" customWidth="1"/>
    <col min="774" max="774" width="37" style="1244" customWidth="1"/>
    <col min="775" max="775" width="7.88671875" style="1244" customWidth="1"/>
    <col min="776" max="777" width="13.88671875" style="1244" customWidth="1"/>
    <col min="778" max="778" width="20.77734375" style="1244" customWidth="1"/>
    <col min="779" max="779" width="9" style="1244" hidden="1" customWidth="1"/>
    <col min="780" max="781" width="11.21875" style="1244" customWidth="1"/>
    <col min="782" max="782" width="9" style="1244" hidden="1" customWidth="1"/>
    <col min="783" max="783" width="9" style="1244" customWidth="1"/>
    <col min="784" max="785" width="10.6640625" style="1244" customWidth="1"/>
    <col min="786" max="787" width="14.33203125" style="1244" customWidth="1"/>
    <col min="788" max="788" width="6.21875" style="1244" customWidth="1"/>
    <col min="789" max="789" width="16.88671875" style="1244" customWidth="1"/>
    <col min="790" max="791" width="20.109375" style="1244" customWidth="1"/>
    <col min="792" max="792" width="7.88671875" style="1244" customWidth="1"/>
    <col min="793" max="1026" width="9" style="1244"/>
    <col min="1027" max="1027" width="37" style="1244" customWidth="1"/>
    <col min="1028" max="1028" width="6.21875" style="1244" customWidth="1"/>
    <col min="1029" max="1029" width="13.88671875" style="1244" customWidth="1"/>
    <col min="1030" max="1030" width="37" style="1244" customWidth="1"/>
    <col min="1031" max="1031" width="7.88671875" style="1244" customWidth="1"/>
    <col min="1032" max="1033" width="13.88671875" style="1244" customWidth="1"/>
    <col min="1034" max="1034" width="20.77734375" style="1244" customWidth="1"/>
    <col min="1035" max="1035" width="9" style="1244" hidden="1" customWidth="1"/>
    <col min="1036" max="1037" width="11.21875" style="1244" customWidth="1"/>
    <col min="1038" max="1038" width="9" style="1244" hidden="1" customWidth="1"/>
    <col min="1039" max="1039" width="9" style="1244" customWidth="1"/>
    <col min="1040" max="1041" width="10.6640625" style="1244" customWidth="1"/>
    <col min="1042" max="1043" width="14.33203125" style="1244" customWidth="1"/>
    <col min="1044" max="1044" width="6.21875" style="1244" customWidth="1"/>
    <col min="1045" max="1045" width="16.88671875" style="1244" customWidth="1"/>
    <col min="1046" max="1047" width="20.109375" style="1244" customWidth="1"/>
    <col min="1048" max="1048" width="7.88671875" style="1244" customWidth="1"/>
    <col min="1049" max="1282" width="9" style="1244"/>
    <col min="1283" max="1283" width="37" style="1244" customWidth="1"/>
    <col min="1284" max="1284" width="6.21875" style="1244" customWidth="1"/>
    <col min="1285" max="1285" width="13.88671875" style="1244" customWidth="1"/>
    <col min="1286" max="1286" width="37" style="1244" customWidth="1"/>
    <col min="1287" max="1287" width="7.88671875" style="1244" customWidth="1"/>
    <col min="1288" max="1289" width="13.88671875" style="1244" customWidth="1"/>
    <col min="1290" max="1290" width="20.77734375" style="1244" customWidth="1"/>
    <col min="1291" max="1291" width="9" style="1244" hidden="1" customWidth="1"/>
    <col min="1292" max="1293" width="11.21875" style="1244" customWidth="1"/>
    <col min="1294" max="1294" width="9" style="1244" hidden="1" customWidth="1"/>
    <col min="1295" max="1295" width="9" style="1244" customWidth="1"/>
    <col min="1296" max="1297" width="10.6640625" style="1244" customWidth="1"/>
    <col min="1298" max="1299" width="14.33203125" style="1244" customWidth="1"/>
    <col min="1300" max="1300" width="6.21875" style="1244" customWidth="1"/>
    <col min="1301" max="1301" width="16.88671875" style="1244" customWidth="1"/>
    <col min="1302" max="1303" width="20.109375" style="1244" customWidth="1"/>
    <col min="1304" max="1304" width="7.88671875" style="1244" customWidth="1"/>
    <col min="1305" max="1538" width="9" style="1244"/>
    <col min="1539" max="1539" width="37" style="1244" customWidth="1"/>
    <col min="1540" max="1540" width="6.21875" style="1244" customWidth="1"/>
    <col min="1541" max="1541" width="13.88671875" style="1244" customWidth="1"/>
    <col min="1542" max="1542" width="37" style="1244" customWidth="1"/>
    <col min="1543" max="1543" width="7.88671875" style="1244" customWidth="1"/>
    <col min="1544" max="1545" width="13.88671875" style="1244" customWidth="1"/>
    <col min="1546" max="1546" width="20.77734375" style="1244" customWidth="1"/>
    <col min="1547" max="1547" width="9" style="1244" hidden="1" customWidth="1"/>
    <col min="1548" max="1549" width="11.21875" style="1244" customWidth="1"/>
    <col min="1550" max="1550" width="9" style="1244" hidden="1" customWidth="1"/>
    <col min="1551" max="1551" width="9" style="1244" customWidth="1"/>
    <col min="1552" max="1553" width="10.6640625" style="1244" customWidth="1"/>
    <col min="1554" max="1555" width="14.33203125" style="1244" customWidth="1"/>
    <col min="1556" max="1556" width="6.21875" style="1244" customWidth="1"/>
    <col min="1557" max="1557" width="16.88671875" style="1244" customWidth="1"/>
    <col min="1558" max="1559" width="20.109375" style="1244" customWidth="1"/>
    <col min="1560" max="1560" width="7.88671875" style="1244" customWidth="1"/>
    <col min="1561" max="1794" width="9" style="1244"/>
    <col min="1795" max="1795" width="37" style="1244" customWidth="1"/>
    <col min="1796" max="1796" width="6.21875" style="1244" customWidth="1"/>
    <col min="1797" max="1797" width="13.88671875" style="1244" customWidth="1"/>
    <col min="1798" max="1798" width="37" style="1244" customWidth="1"/>
    <col min="1799" max="1799" width="7.88671875" style="1244" customWidth="1"/>
    <col min="1800" max="1801" width="13.88671875" style="1244" customWidth="1"/>
    <col min="1802" max="1802" width="20.77734375" style="1244" customWidth="1"/>
    <col min="1803" max="1803" width="9" style="1244" hidden="1" customWidth="1"/>
    <col min="1804" max="1805" width="11.21875" style="1244" customWidth="1"/>
    <col min="1806" max="1806" width="9" style="1244" hidden="1" customWidth="1"/>
    <col min="1807" max="1807" width="9" style="1244" customWidth="1"/>
    <col min="1808" max="1809" width="10.6640625" style="1244" customWidth="1"/>
    <col min="1810" max="1811" width="14.33203125" style="1244" customWidth="1"/>
    <col min="1812" max="1812" width="6.21875" style="1244" customWidth="1"/>
    <col min="1813" max="1813" width="16.88671875" style="1244" customWidth="1"/>
    <col min="1814" max="1815" width="20.109375" style="1244" customWidth="1"/>
    <col min="1816" max="1816" width="7.88671875" style="1244" customWidth="1"/>
    <col min="1817" max="2050" width="9" style="1244"/>
    <col min="2051" max="2051" width="37" style="1244" customWidth="1"/>
    <col min="2052" max="2052" width="6.21875" style="1244" customWidth="1"/>
    <col min="2053" max="2053" width="13.88671875" style="1244" customWidth="1"/>
    <col min="2054" max="2054" width="37" style="1244" customWidth="1"/>
    <col min="2055" max="2055" width="7.88671875" style="1244" customWidth="1"/>
    <col min="2056" max="2057" width="13.88671875" style="1244" customWidth="1"/>
    <col min="2058" max="2058" width="20.77734375" style="1244" customWidth="1"/>
    <col min="2059" max="2059" width="9" style="1244" hidden="1" customWidth="1"/>
    <col min="2060" max="2061" width="11.21875" style="1244" customWidth="1"/>
    <col min="2062" max="2062" width="9" style="1244" hidden="1" customWidth="1"/>
    <col min="2063" max="2063" width="9" style="1244" customWidth="1"/>
    <col min="2064" max="2065" width="10.6640625" style="1244" customWidth="1"/>
    <col min="2066" max="2067" width="14.33203125" style="1244" customWidth="1"/>
    <col min="2068" max="2068" width="6.21875" style="1244" customWidth="1"/>
    <col min="2069" max="2069" width="16.88671875" style="1244" customWidth="1"/>
    <col min="2070" max="2071" width="20.109375" style="1244" customWidth="1"/>
    <col min="2072" max="2072" width="7.88671875" style="1244" customWidth="1"/>
    <col min="2073" max="2306" width="9" style="1244"/>
    <col min="2307" max="2307" width="37" style="1244" customWidth="1"/>
    <col min="2308" max="2308" width="6.21875" style="1244" customWidth="1"/>
    <col min="2309" max="2309" width="13.88671875" style="1244" customWidth="1"/>
    <col min="2310" max="2310" width="37" style="1244" customWidth="1"/>
    <col min="2311" max="2311" width="7.88671875" style="1244" customWidth="1"/>
    <col min="2312" max="2313" width="13.88671875" style="1244" customWidth="1"/>
    <col min="2314" max="2314" width="20.77734375" style="1244" customWidth="1"/>
    <col min="2315" max="2315" width="9" style="1244" hidden="1" customWidth="1"/>
    <col min="2316" max="2317" width="11.21875" style="1244" customWidth="1"/>
    <col min="2318" max="2318" width="9" style="1244" hidden="1" customWidth="1"/>
    <col min="2319" max="2319" width="9" style="1244" customWidth="1"/>
    <col min="2320" max="2321" width="10.6640625" style="1244" customWidth="1"/>
    <col min="2322" max="2323" width="14.33203125" style="1244" customWidth="1"/>
    <col min="2324" max="2324" width="6.21875" style="1244" customWidth="1"/>
    <col min="2325" max="2325" width="16.88671875" style="1244" customWidth="1"/>
    <col min="2326" max="2327" width="20.109375" style="1244" customWidth="1"/>
    <col min="2328" max="2328" width="7.88671875" style="1244" customWidth="1"/>
    <col min="2329" max="2562" width="9" style="1244"/>
    <col min="2563" max="2563" width="37" style="1244" customWidth="1"/>
    <col min="2564" max="2564" width="6.21875" style="1244" customWidth="1"/>
    <col min="2565" max="2565" width="13.88671875" style="1244" customWidth="1"/>
    <col min="2566" max="2566" width="37" style="1244" customWidth="1"/>
    <col min="2567" max="2567" width="7.88671875" style="1244" customWidth="1"/>
    <col min="2568" max="2569" width="13.88671875" style="1244" customWidth="1"/>
    <col min="2570" max="2570" width="20.77734375" style="1244" customWidth="1"/>
    <col min="2571" max="2571" width="9" style="1244" hidden="1" customWidth="1"/>
    <col min="2572" max="2573" width="11.21875" style="1244" customWidth="1"/>
    <col min="2574" max="2574" width="9" style="1244" hidden="1" customWidth="1"/>
    <col min="2575" max="2575" width="9" style="1244" customWidth="1"/>
    <col min="2576" max="2577" width="10.6640625" style="1244" customWidth="1"/>
    <col min="2578" max="2579" width="14.33203125" style="1244" customWidth="1"/>
    <col min="2580" max="2580" width="6.21875" style="1244" customWidth="1"/>
    <col min="2581" max="2581" width="16.88671875" style="1244" customWidth="1"/>
    <col min="2582" max="2583" width="20.109375" style="1244" customWidth="1"/>
    <col min="2584" max="2584" width="7.88671875" style="1244" customWidth="1"/>
    <col min="2585" max="2818" width="9" style="1244"/>
    <col min="2819" max="2819" width="37" style="1244" customWidth="1"/>
    <col min="2820" max="2820" width="6.21875" style="1244" customWidth="1"/>
    <col min="2821" max="2821" width="13.88671875" style="1244" customWidth="1"/>
    <col min="2822" max="2822" width="37" style="1244" customWidth="1"/>
    <col min="2823" max="2823" width="7.88671875" style="1244" customWidth="1"/>
    <col min="2824" max="2825" width="13.88671875" style="1244" customWidth="1"/>
    <col min="2826" max="2826" width="20.77734375" style="1244" customWidth="1"/>
    <col min="2827" max="2827" width="9" style="1244" hidden="1" customWidth="1"/>
    <col min="2828" max="2829" width="11.21875" style="1244" customWidth="1"/>
    <col min="2830" max="2830" width="9" style="1244" hidden="1" customWidth="1"/>
    <col min="2831" max="2831" width="9" style="1244" customWidth="1"/>
    <col min="2832" max="2833" width="10.6640625" style="1244" customWidth="1"/>
    <col min="2834" max="2835" width="14.33203125" style="1244" customWidth="1"/>
    <col min="2836" max="2836" width="6.21875" style="1244" customWidth="1"/>
    <col min="2837" max="2837" width="16.88671875" style="1244" customWidth="1"/>
    <col min="2838" max="2839" width="20.109375" style="1244" customWidth="1"/>
    <col min="2840" max="2840" width="7.88671875" style="1244" customWidth="1"/>
    <col min="2841" max="3074" width="9" style="1244"/>
    <col min="3075" max="3075" width="37" style="1244" customWidth="1"/>
    <col min="3076" max="3076" width="6.21875" style="1244" customWidth="1"/>
    <col min="3077" max="3077" width="13.88671875" style="1244" customWidth="1"/>
    <col min="3078" max="3078" width="37" style="1244" customWidth="1"/>
    <col min="3079" max="3079" width="7.88671875" style="1244" customWidth="1"/>
    <col min="3080" max="3081" width="13.88671875" style="1244" customWidth="1"/>
    <col min="3082" max="3082" width="20.77734375" style="1244" customWidth="1"/>
    <col min="3083" max="3083" width="9" style="1244" hidden="1" customWidth="1"/>
    <col min="3084" max="3085" width="11.21875" style="1244" customWidth="1"/>
    <col min="3086" max="3086" width="9" style="1244" hidden="1" customWidth="1"/>
    <col min="3087" max="3087" width="9" style="1244" customWidth="1"/>
    <col min="3088" max="3089" width="10.6640625" style="1244" customWidth="1"/>
    <col min="3090" max="3091" width="14.33203125" style="1244" customWidth="1"/>
    <col min="3092" max="3092" width="6.21875" style="1244" customWidth="1"/>
    <col min="3093" max="3093" width="16.88671875" style="1244" customWidth="1"/>
    <col min="3094" max="3095" width="20.109375" style="1244" customWidth="1"/>
    <col min="3096" max="3096" width="7.88671875" style="1244" customWidth="1"/>
    <col min="3097" max="3330" width="9" style="1244"/>
    <col min="3331" max="3331" width="37" style="1244" customWidth="1"/>
    <col min="3332" max="3332" width="6.21875" style="1244" customWidth="1"/>
    <col min="3333" max="3333" width="13.88671875" style="1244" customWidth="1"/>
    <col min="3334" max="3334" width="37" style="1244" customWidth="1"/>
    <col min="3335" max="3335" width="7.88671875" style="1244" customWidth="1"/>
    <col min="3336" max="3337" width="13.88671875" style="1244" customWidth="1"/>
    <col min="3338" max="3338" width="20.77734375" style="1244" customWidth="1"/>
    <col min="3339" max="3339" width="9" style="1244" hidden="1" customWidth="1"/>
    <col min="3340" max="3341" width="11.21875" style="1244" customWidth="1"/>
    <col min="3342" max="3342" width="9" style="1244" hidden="1" customWidth="1"/>
    <col min="3343" max="3343" width="9" style="1244" customWidth="1"/>
    <col min="3344" max="3345" width="10.6640625" style="1244" customWidth="1"/>
    <col min="3346" max="3347" width="14.33203125" style="1244" customWidth="1"/>
    <col min="3348" max="3348" width="6.21875" style="1244" customWidth="1"/>
    <col min="3349" max="3349" width="16.88671875" style="1244" customWidth="1"/>
    <col min="3350" max="3351" width="20.109375" style="1244" customWidth="1"/>
    <col min="3352" max="3352" width="7.88671875" style="1244" customWidth="1"/>
    <col min="3353" max="3586" width="9" style="1244"/>
    <col min="3587" max="3587" width="37" style="1244" customWidth="1"/>
    <col min="3588" max="3588" width="6.21875" style="1244" customWidth="1"/>
    <col min="3589" max="3589" width="13.88671875" style="1244" customWidth="1"/>
    <col min="3590" max="3590" width="37" style="1244" customWidth="1"/>
    <col min="3591" max="3591" width="7.88671875" style="1244" customWidth="1"/>
    <col min="3592" max="3593" width="13.88671875" style="1244" customWidth="1"/>
    <col min="3594" max="3594" width="20.77734375" style="1244" customWidth="1"/>
    <col min="3595" max="3595" width="9" style="1244" hidden="1" customWidth="1"/>
    <col min="3596" max="3597" width="11.21875" style="1244" customWidth="1"/>
    <col min="3598" max="3598" width="9" style="1244" hidden="1" customWidth="1"/>
    <col min="3599" max="3599" width="9" style="1244" customWidth="1"/>
    <col min="3600" max="3601" width="10.6640625" style="1244" customWidth="1"/>
    <col min="3602" max="3603" width="14.33203125" style="1244" customWidth="1"/>
    <col min="3604" max="3604" width="6.21875" style="1244" customWidth="1"/>
    <col min="3605" max="3605" width="16.88671875" style="1244" customWidth="1"/>
    <col min="3606" max="3607" width="20.109375" style="1244" customWidth="1"/>
    <col min="3608" max="3608" width="7.88671875" style="1244" customWidth="1"/>
    <col min="3609" max="3842" width="9" style="1244"/>
    <col min="3843" max="3843" width="37" style="1244" customWidth="1"/>
    <col min="3844" max="3844" width="6.21875" style="1244" customWidth="1"/>
    <col min="3845" max="3845" width="13.88671875" style="1244" customWidth="1"/>
    <col min="3846" max="3846" width="37" style="1244" customWidth="1"/>
    <col min="3847" max="3847" width="7.88671875" style="1244" customWidth="1"/>
    <col min="3848" max="3849" width="13.88671875" style="1244" customWidth="1"/>
    <col min="3850" max="3850" width="20.77734375" style="1244" customWidth="1"/>
    <col min="3851" max="3851" width="9" style="1244" hidden="1" customWidth="1"/>
    <col min="3852" max="3853" width="11.21875" style="1244" customWidth="1"/>
    <col min="3854" max="3854" width="9" style="1244" hidden="1" customWidth="1"/>
    <col min="3855" max="3855" width="9" style="1244" customWidth="1"/>
    <col min="3856" max="3857" width="10.6640625" style="1244" customWidth="1"/>
    <col min="3858" max="3859" width="14.33203125" style="1244" customWidth="1"/>
    <col min="3860" max="3860" width="6.21875" style="1244" customWidth="1"/>
    <col min="3861" max="3861" width="16.88671875" style="1244" customWidth="1"/>
    <col min="3862" max="3863" width="20.109375" style="1244" customWidth="1"/>
    <col min="3864" max="3864" width="7.88671875" style="1244" customWidth="1"/>
    <col min="3865" max="4098" width="9" style="1244"/>
    <col min="4099" max="4099" width="37" style="1244" customWidth="1"/>
    <col min="4100" max="4100" width="6.21875" style="1244" customWidth="1"/>
    <col min="4101" max="4101" width="13.88671875" style="1244" customWidth="1"/>
    <col min="4102" max="4102" width="37" style="1244" customWidth="1"/>
    <col min="4103" max="4103" width="7.88671875" style="1244" customWidth="1"/>
    <col min="4104" max="4105" width="13.88671875" style="1244" customWidth="1"/>
    <col min="4106" max="4106" width="20.77734375" style="1244" customWidth="1"/>
    <col min="4107" max="4107" width="9" style="1244" hidden="1" customWidth="1"/>
    <col min="4108" max="4109" width="11.21875" style="1244" customWidth="1"/>
    <col min="4110" max="4110" width="9" style="1244" hidden="1" customWidth="1"/>
    <col min="4111" max="4111" width="9" style="1244" customWidth="1"/>
    <col min="4112" max="4113" width="10.6640625" style="1244" customWidth="1"/>
    <col min="4114" max="4115" width="14.33203125" style="1244" customWidth="1"/>
    <col min="4116" max="4116" width="6.21875" style="1244" customWidth="1"/>
    <col min="4117" max="4117" width="16.88671875" style="1244" customWidth="1"/>
    <col min="4118" max="4119" width="20.109375" style="1244" customWidth="1"/>
    <col min="4120" max="4120" width="7.88671875" style="1244" customWidth="1"/>
    <col min="4121" max="4354" width="9" style="1244"/>
    <col min="4355" max="4355" width="37" style="1244" customWidth="1"/>
    <col min="4356" max="4356" width="6.21875" style="1244" customWidth="1"/>
    <col min="4357" max="4357" width="13.88671875" style="1244" customWidth="1"/>
    <col min="4358" max="4358" width="37" style="1244" customWidth="1"/>
    <col min="4359" max="4359" width="7.88671875" style="1244" customWidth="1"/>
    <col min="4360" max="4361" width="13.88671875" style="1244" customWidth="1"/>
    <col min="4362" max="4362" width="20.77734375" style="1244" customWidth="1"/>
    <col min="4363" max="4363" width="9" style="1244" hidden="1" customWidth="1"/>
    <col min="4364" max="4365" width="11.21875" style="1244" customWidth="1"/>
    <col min="4366" max="4366" width="9" style="1244" hidden="1" customWidth="1"/>
    <col min="4367" max="4367" width="9" style="1244" customWidth="1"/>
    <col min="4368" max="4369" width="10.6640625" style="1244" customWidth="1"/>
    <col min="4370" max="4371" width="14.33203125" style="1244" customWidth="1"/>
    <col min="4372" max="4372" width="6.21875" style="1244" customWidth="1"/>
    <col min="4373" max="4373" width="16.88671875" style="1244" customWidth="1"/>
    <col min="4374" max="4375" width="20.109375" style="1244" customWidth="1"/>
    <col min="4376" max="4376" width="7.88671875" style="1244" customWidth="1"/>
    <col min="4377" max="4610" width="9" style="1244"/>
    <col min="4611" max="4611" width="37" style="1244" customWidth="1"/>
    <col min="4612" max="4612" width="6.21875" style="1244" customWidth="1"/>
    <col min="4613" max="4613" width="13.88671875" style="1244" customWidth="1"/>
    <col min="4614" max="4614" width="37" style="1244" customWidth="1"/>
    <col min="4615" max="4615" width="7.88671875" style="1244" customWidth="1"/>
    <col min="4616" max="4617" width="13.88671875" style="1244" customWidth="1"/>
    <col min="4618" max="4618" width="20.77734375" style="1244" customWidth="1"/>
    <col min="4619" max="4619" width="9" style="1244" hidden="1" customWidth="1"/>
    <col min="4620" max="4621" width="11.21875" style="1244" customWidth="1"/>
    <col min="4622" max="4622" width="9" style="1244" hidden="1" customWidth="1"/>
    <col min="4623" max="4623" width="9" style="1244" customWidth="1"/>
    <col min="4624" max="4625" width="10.6640625" style="1244" customWidth="1"/>
    <col min="4626" max="4627" width="14.33203125" style="1244" customWidth="1"/>
    <col min="4628" max="4628" width="6.21875" style="1244" customWidth="1"/>
    <col min="4629" max="4629" width="16.88671875" style="1244" customWidth="1"/>
    <col min="4630" max="4631" width="20.109375" style="1244" customWidth="1"/>
    <col min="4632" max="4632" width="7.88671875" style="1244" customWidth="1"/>
    <col min="4633" max="4866" width="9" style="1244"/>
    <col min="4867" max="4867" width="37" style="1244" customWidth="1"/>
    <col min="4868" max="4868" width="6.21875" style="1244" customWidth="1"/>
    <col min="4869" max="4869" width="13.88671875" style="1244" customWidth="1"/>
    <col min="4870" max="4870" width="37" style="1244" customWidth="1"/>
    <col min="4871" max="4871" width="7.88671875" style="1244" customWidth="1"/>
    <col min="4872" max="4873" width="13.88671875" style="1244" customWidth="1"/>
    <col min="4874" max="4874" width="20.77734375" style="1244" customWidth="1"/>
    <col min="4875" max="4875" width="9" style="1244" hidden="1" customWidth="1"/>
    <col min="4876" max="4877" width="11.21875" style="1244" customWidth="1"/>
    <col min="4878" max="4878" width="9" style="1244" hidden="1" customWidth="1"/>
    <col min="4879" max="4879" width="9" style="1244" customWidth="1"/>
    <col min="4880" max="4881" width="10.6640625" style="1244" customWidth="1"/>
    <col min="4882" max="4883" width="14.33203125" style="1244" customWidth="1"/>
    <col min="4884" max="4884" width="6.21875" style="1244" customWidth="1"/>
    <col min="4885" max="4885" width="16.88671875" style="1244" customWidth="1"/>
    <col min="4886" max="4887" width="20.109375" style="1244" customWidth="1"/>
    <col min="4888" max="4888" width="7.88671875" style="1244" customWidth="1"/>
    <col min="4889" max="5122" width="9" style="1244"/>
    <col min="5123" max="5123" width="37" style="1244" customWidth="1"/>
    <col min="5124" max="5124" width="6.21875" style="1244" customWidth="1"/>
    <col min="5125" max="5125" width="13.88671875" style="1244" customWidth="1"/>
    <col min="5126" max="5126" width="37" style="1244" customWidth="1"/>
    <col min="5127" max="5127" width="7.88671875" style="1244" customWidth="1"/>
    <col min="5128" max="5129" width="13.88671875" style="1244" customWidth="1"/>
    <col min="5130" max="5130" width="20.77734375" style="1244" customWidth="1"/>
    <col min="5131" max="5131" width="9" style="1244" hidden="1" customWidth="1"/>
    <col min="5132" max="5133" width="11.21875" style="1244" customWidth="1"/>
    <col min="5134" max="5134" width="9" style="1244" hidden="1" customWidth="1"/>
    <col min="5135" max="5135" width="9" style="1244" customWidth="1"/>
    <col min="5136" max="5137" width="10.6640625" style="1244" customWidth="1"/>
    <col min="5138" max="5139" width="14.33203125" style="1244" customWidth="1"/>
    <col min="5140" max="5140" width="6.21875" style="1244" customWidth="1"/>
    <col min="5141" max="5141" width="16.88671875" style="1244" customWidth="1"/>
    <col min="5142" max="5143" width="20.109375" style="1244" customWidth="1"/>
    <col min="5144" max="5144" width="7.88671875" style="1244" customWidth="1"/>
    <col min="5145" max="5378" width="9" style="1244"/>
    <col min="5379" max="5379" width="37" style="1244" customWidth="1"/>
    <col min="5380" max="5380" width="6.21875" style="1244" customWidth="1"/>
    <col min="5381" max="5381" width="13.88671875" style="1244" customWidth="1"/>
    <col min="5382" max="5382" width="37" style="1244" customWidth="1"/>
    <col min="5383" max="5383" width="7.88671875" style="1244" customWidth="1"/>
    <col min="5384" max="5385" width="13.88671875" style="1244" customWidth="1"/>
    <col min="5386" max="5386" width="20.77734375" style="1244" customWidth="1"/>
    <col min="5387" max="5387" width="9" style="1244" hidden="1" customWidth="1"/>
    <col min="5388" max="5389" width="11.21875" style="1244" customWidth="1"/>
    <col min="5390" max="5390" width="9" style="1244" hidden="1" customWidth="1"/>
    <col min="5391" max="5391" width="9" style="1244" customWidth="1"/>
    <col min="5392" max="5393" width="10.6640625" style="1244" customWidth="1"/>
    <col min="5394" max="5395" width="14.33203125" style="1244" customWidth="1"/>
    <col min="5396" max="5396" width="6.21875" style="1244" customWidth="1"/>
    <col min="5397" max="5397" width="16.88671875" style="1244" customWidth="1"/>
    <col min="5398" max="5399" width="20.109375" style="1244" customWidth="1"/>
    <col min="5400" max="5400" width="7.88671875" style="1244" customWidth="1"/>
    <col min="5401" max="5634" width="9" style="1244"/>
    <col min="5635" max="5635" width="37" style="1244" customWidth="1"/>
    <col min="5636" max="5636" width="6.21875" style="1244" customWidth="1"/>
    <col min="5637" max="5637" width="13.88671875" style="1244" customWidth="1"/>
    <col min="5638" max="5638" width="37" style="1244" customWidth="1"/>
    <col min="5639" max="5639" width="7.88671875" style="1244" customWidth="1"/>
    <col min="5640" max="5641" width="13.88671875" style="1244" customWidth="1"/>
    <col min="5642" max="5642" width="20.77734375" style="1244" customWidth="1"/>
    <col min="5643" max="5643" width="9" style="1244" hidden="1" customWidth="1"/>
    <col min="5644" max="5645" width="11.21875" style="1244" customWidth="1"/>
    <col min="5646" max="5646" width="9" style="1244" hidden="1" customWidth="1"/>
    <col min="5647" max="5647" width="9" style="1244" customWidth="1"/>
    <col min="5648" max="5649" width="10.6640625" style="1244" customWidth="1"/>
    <col min="5650" max="5651" width="14.33203125" style="1244" customWidth="1"/>
    <col min="5652" max="5652" width="6.21875" style="1244" customWidth="1"/>
    <col min="5653" max="5653" width="16.88671875" style="1244" customWidth="1"/>
    <col min="5654" max="5655" width="20.109375" style="1244" customWidth="1"/>
    <col min="5656" max="5656" width="7.88671875" style="1244" customWidth="1"/>
    <col min="5657" max="5890" width="9" style="1244"/>
    <col min="5891" max="5891" width="37" style="1244" customWidth="1"/>
    <col min="5892" max="5892" width="6.21875" style="1244" customWidth="1"/>
    <col min="5893" max="5893" width="13.88671875" style="1244" customWidth="1"/>
    <col min="5894" max="5894" width="37" style="1244" customWidth="1"/>
    <col min="5895" max="5895" width="7.88671875" style="1244" customWidth="1"/>
    <col min="5896" max="5897" width="13.88671875" style="1244" customWidth="1"/>
    <col min="5898" max="5898" width="20.77734375" style="1244" customWidth="1"/>
    <col min="5899" max="5899" width="9" style="1244" hidden="1" customWidth="1"/>
    <col min="5900" max="5901" width="11.21875" style="1244" customWidth="1"/>
    <col min="5902" max="5902" width="9" style="1244" hidden="1" customWidth="1"/>
    <col min="5903" max="5903" width="9" style="1244" customWidth="1"/>
    <col min="5904" max="5905" width="10.6640625" style="1244" customWidth="1"/>
    <col min="5906" max="5907" width="14.33203125" style="1244" customWidth="1"/>
    <col min="5908" max="5908" width="6.21875" style="1244" customWidth="1"/>
    <col min="5909" max="5909" width="16.88671875" style="1244" customWidth="1"/>
    <col min="5910" max="5911" width="20.109375" style="1244" customWidth="1"/>
    <col min="5912" max="5912" width="7.88671875" style="1244" customWidth="1"/>
    <col min="5913" max="6146" width="9" style="1244"/>
    <col min="6147" max="6147" width="37" style="1244" customWidth="1"/>
    <col min="6148" max="6148" width="6.21875" style="1244" customWidth="1"/>
    <col min="6149" max="6149" width="13.88671875" style="1244" customWidth="1"/>
    <col min="6150" max="6150" width="37" style="1244" customWidth="1"/>
    <col min="6151" max="6151" width="7.88671875" style="1244" customWidth="1"/>
    <col min="6152" max="6153" width="13.88671875" style="1244" customWidth="1"/>
    <col min="6154" max="6154" width="20.77734375" style="1244" customWidth="1"/>
    <col min="6155" max="6155" width="9" style="1244" hidden="1" customWidth="1"/>
    <col min="6156" max="6157" width="11.21875" style="1244" customWidth="1"/>
    <col min="6158" max="6158" width="9" style="1244" hidden="1" customWidth="1"/>
    <col min="6159" max="6159" width="9" style="1244" customWidth="1"/>
    <col min="6160" max="6161" width="10.6640625" style="1244" customWidth="1"/>
    <col min="6162" max="6163" width="14.33203125" style="1244" customWidth="1"/>
    <col min="6164" max="6164" width="6.21875" style="1244" customWidth="1"/>
    <col min="6165" max="6165" width="16.88671875" style="1244" customWidth="1"/>
    <col min="6166" max="6167" width="20.109375" style="1244" customWidth="1"/>
    <col min="6168" max="6168" width="7.88671875" style="1244" customWidth="1"/>
    <col min="6169" max="6402" width="9" style="1244"/>
    <col min="6403" max="6403" width="37" style="1244" customWidth="1"/>
    <col min="6404" max="6404" width="6.21875" style="1244" customWidth="1"/>
    <col min="6405" max="6405" width="13.88671875" style="1244" customWidth="1"/>
    <col min="6406" max="6406" width="37" style="1244" customWidth="1"/>
    <col min="6407" max="6407" width="7.88671875" style="1244" customWidth="1"/>
    <col min="6408" max="6409" width="13.88671875" style="1244" customWidth="1"/>
    <col min="6410" max="6410" width="20.77734375" style="1244" customWidth="1"/>
    <col min="6411" max="6411" width="9" style="1244" hidden="1" customWidth="1"/>
    <col min="6412" max="6413" width="11.21875" style="1244" customWidth="1"/>
    <col min="6414" max="6414" width="9" style="1244" hidden="1" customWidth="1"/>
    <col min="6415" max="6415" width="9" style="1244" customWidth="1"/>
    <col min="6416" max="6417" width="10.6640625" style="1244" customWidth="1"/>
    <col min="6418" max="6419" width="14.33203125" style="1244" customWidth="1"/>
    <col min="6420" max="6420" width="6.21875" style="1244" customWidth="1"/>
    <col min="6421" max="6421" width="16.88671875" style="1244" customWidth="1"/>
    <col min="6422" max="6423" width="20.109375" style="1244" customWidth="1"/>
    <col min="6424" max="6424" width="7.88671875" style="1244" customWidth="1"/>
    <col min="6425" max="6658" width="9" style="1244"/>
    <col min="6659" max="6659" width="37" style="1244" customWidth="1"/>
    <col min="6660" max="6660" width="6.21875" style="1244" customWidth="1"/>
    <col min="6661" max="6661" width="13.88671875" style="1244" customWidth="1"/>
    <col min="6662" max="6662" width="37" style="1244" customWidth="1"/>
    <col min="6663" max="6663" width="7.88671875" style="1244" customWidth="1"/>
    <col min="6664" max="6665" width="13.88671875" style="1244" customWidth="1"/>
    <col min="6666" max="6666" width="20.77734375" style="1244" customWidth="1"/>
    <col min="6667" max="6667" width="9" style="1244" hidden="1" customWidth="1"/>
    <col min="6668" max="6669" width="11.21875" style="1244" customWidth="1"/>
    <col min="6670" max="6670" width="9" style="1244" hidden="1" customWidth="1"/>
    <col min="6671" max="6671" width="9" style="1244" customWidth="1"/>
    <col min="6672" max="6673" width="10.6640625" style="1244" customWidth="1"/>
    <col min="6674" max="6675" width="14.33203125" style="1244" customWidth="1"/>
    <col min="6676" max="6676" width="6.21875" style="1244" customWidth="1"/>
    <col min="6677" max="6677" width="16.88671875" style="1244" customWidth="1"/>
    <col min="6678" max="6679" width="20.109375" style="1244" customWidth="1"/>
    <col min="6680" max="6680" width="7.88671875" style="1244" customWidth="1"/>
    <col min="6681" max="6914" width="9" style="1244"/>
    <col min="6915" max="6915" width="37" style="1244" customWidth="1"/>
    <col min="6916" max="6916" width="6.21875" style="1244" customWidth="1"/>
    <col min="6917" max="6917" width="13.88671875" style="1244" customWidth="1"/>
    <col min="6918" max="6918" width="37" style="1244" customWidth="1"/>
    <col min="6919" max="6919" width="7.88671875" style="1244" customWidth="1"/>
    <col min="6920" max="6921" width="13.88671875" style="1244" customWidth="1"/>
    <col min="6922" max="6922" width="20.77734375" style="1244" customWidth="1"/>
    <col min="6923" max="6923" width="9" style="1244" hidden="1" customWidth="1"/>
    <col min="6924" max="6925" width="11.21875" style="1244" customWidth="1"/>
    <col min="6926" max="6926" width="9" style="1244" hidden="1" customWidth="1"/>
    <col min="6927" max="6927" width="9" style="1244" customWidth="1"/>
    <col min="6928" max="6929" width="10.6640625" style="1244" customWidth="1"/>
    <col min="6930" max="6931" width="14.33203125" style="1244" customWidth="1"/>
    <col min="6932" max="6932" width="6.21875" style="1244" customWidth="1"/>
    <col min="6933" max="6933" width="16.88671875" style="1244" customWidth="1"/>
    <col min="6934" max="6935" width="20.109375" style="1244" customWidth="1"/>
    <col min="6936" max="6936" width="7.88671875" style="1244" customWidth="1"/>
    <col min="6937" max="7170" width="9" style="1244"/>
    <col min="7171" max="7171" width="37" style="1244" customWidth="1"/>
    <col min="7172" max="7172" width="6.21875" style="1244" customWidth="1"/>
    <col min="7173" max="7173" width="13.88671875" style="1244" customWidth="1"/>
    <col min="7174" max="7174" width="37" style="1244" customWidth="1"/>
    <col min="7175" max="7175" width="7.88671875" style="1244" customWidth="1"/>
    <col min="7176" max="7177" width="13.88671875" style="1244" customWidth="1"/>
    <col min="7178" max="7178" width="20.77734375" style="1244" customWidth="1"/>
    <col min="7179" max="7179" width="9" style="1244" hidden="1" customWidth="1"/>
    <col min="7180" max="7181" width="11.21875" style="1244" customWidth="1"/>
    <col min="7182" max="7182" width="9" style="1244" hidden="1" customWidth="1"/>
    <col min="7183" max="7183" width="9" style="1244" customWidth="1"/>
    <col min="7184" max="7185" width="10.6640625" style="1244" customWidth="1"/>
    <col min="7186" max="7187" width="14.33203125" style="1244" customWidth="1"/>
    <col min="7188" max="7188" width="6.21875" style="1244" customWidth="1"/>
    <col min="7189" max="7189" width="16.88671875" style="1244" customWidth="1"/>
    <col min="7190" max="7191" width="20.109375" style="1244" customWidth="1"/>
    <col min="7192" max="7192" width="7.88671875" style="1244" customWidth="1"/>
    <col min="7193" max="7426" width="9" style="1244"/>
    <col min="7427" max="7427" width="37" style="1244" customWidth="1"/>
    <col min="7428" max="7428" width="6.21875" style="1244" customWidth="1"/>
    <col min="7429" max="7429" width="13.88671875" style="1244" customWidth="1"/>
    <col min="7430" max="7430" width="37" style="1244" customWidth="1"/>
    <col min="7431" max="7431" width="7.88671875" style="1244" customWidth="1"/>
    <col min="7432" max="7433" width="13.88671875" style="1244" customWidth="1"/>
    <col min="7434" max="7434" width="20.77734375" style="1244" customWidth="1"/>
    <col min="7435" max="7435" width="9" style="1244" hidden="1" customWidth="1"/>
    <col min="7436" max="7437" width="11.21875" style="1244" customWidth="1"/>
    <col min="7438" max="7438" width="9" style="1244" hidden="1" customWidth="1"/>
    <col min="7439" max="7439" width="9" style="1244" customWidth="1"/>
    <col min="7440" max="7441" width="10.6640625" style="1244" customWidth="1"/>
    <col min="7442" max="7443" width="14.33203125" style="1244" customWidth="1"/>
    <col min="7444" max="7444" width="6.21875" style="1244" customWidth="1"/>
    <col min="7445" max="7445" width="16.88671875" style="1244" customWidth="1"/>
    <col min="7446" max="7447" width="20.109375" style="1244" customWidth="1"/>
    <col min="7448" max="7448" width="7.88671875" style="1244" customWidth="1"/>
    <col min="7449" max="7682" width="9" style="1244"/>
    <col min="7683" max="7683" width="37" style="1244" customWidth="1"/>
    <col min="7684" max="7684" width="6.21875" style="1244" customWidth="1"/>
    <col min="7685" max="7685" width="13.88671875" style="1244" customWidth="1"/>
    <col min="7686" max="7686" width="37" style="1244" customWidth="1"/>
    <col min="7687" max="7687" width="7.88671875" style="1244" customWidth="1"/>
    <col min="7688" max="7689" width="13.88671875" style="1244" customWidth="1"/>
    <col min="7690" max="7690" width="20.77734375" style="1244" customWidth="1"/>
    <col min="7691" max="7691" width="9" style="1244" hidden="1" customWidth="1"/>
    <col min="7692" max="7693" width="11.21875" style="1244" customWidth="1"/>
    <col min="7694" max="7694" width="9" style="1244" hidden="1" customWidth="1"/>
    <col min="7695" max="7695" width="9" style="1244" customWidth="1"/>
    <col min="7696" max="7697" width="10.6640625" style="1244" customWidth="1"/>
    <col min="7698" max="7699" width="14.33203125" style="1244" customWidth="1"/>
    <col min="7700" max="7700" width="6.21875" style="1244" customWidth="1"/>
    <col min="7701" max="7701" width="16.88671875" style="1244" customWidth="1"/>
    <col min="7702" max="7703" width="20.109375" style="1244" customWidth="1"/>
    <col min="7704" max="7704" width="7.88671875" style="1244" customWidth="1"/>
    <col min="7705" max="7938" width="9" style="1244"/>
    <col min="7939" max="7939" width="37" style="1244" customWidth="1"/>
    <col min="7940" max="7940" width="6.21875" style="1244" customWidth="1"/>
    <col min="7941" max="7941" width="13.88671875" style="1244" customWidth="1"/>
    <col min="7942" max="7942" width="37" style="1244" customWidth="1"/>
    <col min="7943" max="7943" width="7.88671875" style="1244" customWidth="1"/>
    <col min="7944" max="7945" width="13.88671875" style="1244" customWidth="1"/>
    <col min="7946" max="7946" width="20.77734375" style="1244" customWidth="1"/>
    <col min="7947" max="7947" width="9" style="1244" hidden="1" customWidth="1"/>
    <col min="7948" max="7949" width="11.21875" style="1244" customWidth="1"/>
    <col min="7950" max="7950" width="9" style="1244" hidden="1" customWidth="1"/>
    <col min="7951" max="7951" width="9" style="1244" customWidth="1"/>
    <col min="7952" max="7953" width="10.6640625" style="1244" customWidth="1"/>
    <col min="7954" max="7955" width="14.33203125" style="1244" customWidth="1"/>
    <col min="7956" max="7956" width="6.21875" style="1244" customWidth="1"/>
    <col min="7957" max="7957" width="16.88671875" style="1244" customWidth="1"/>
    <col min="7958" max="7959" width="20.109375" style="1244" customWidth="1"/>
    <col min="7960" max="7960" width="7.88671875" style="1244" customWidth="1"/>
    <col min="7961" max="8194" width="9" style="1244"/>
    <col min="8195" max="8195" width="37" style="1244" customWidth="1"/>
    <col min="8196" max="8196" width="6.21875" style="1244" customWidth="1"/>
    <col min="8197" max="8197" width="13.88671875" style="1244" customWidth="1"/>
    <col min="8198" max="8198" width="37" style="1244" customWidth="1"/>
    <col min="8199" max="8199" width="7.88671875" style="1244" customWidth="1"/>
    <col min="8200" max="8201" width="13.88671875" style="1244" customWidth="1"/>
    <col min="8202" max="8202" width="20.77734375" style="1244" customWidth="1"/>
    <col min="8203" max="8203" width="9" style="1244" hidden="1" customWidth="1"/>
    <col min="8204" max="8205" width="11.21875" style="1244" customWidth="1"/>
    <col min="8206" max="8206" width="9" style="1244" hidden="1" customWidth="1"/>
    <col min="8207" max="8207" width="9" style="1244" customWidth="1"/>
    <col min="8208" max="8209" width="10.6640625" style="1244" customWidth="1"/>
    <col min="8210" max="8211" width="14.33203125" style="1244" customWidth="1"/>
    <col min="8212" max="8212" width="6.21875" style="1244" customWidth="1"/>
    <col min="8213" max="8213" width="16.88671875" style="1244" customWidth="1"/>
    <col min="8214" max="8215" width="20.109375" style="1244" customWidth="1"/>
    <col min="8216" max="8216" width="7.88671875" style="1244" customWidth="1"/>
    <col min="8217" max="8450" width="9" style="1244"/>
    <col min="8451" max="8451" width="37" style="1244" customWidth="1"/>
    <col min="8452" max="8452" width="6.21875" style="1244" customWidth="1"/>
    <col min="8453" max="8453" width="13.88671875" style="1244" customWidth="1"/>
    <col min="8454" max="8454" width="37" style="1244" customWidth="1"/>
    <col min="8455" max="8455" width="7.88671875" style="1244" customWidth="1"/>
    <col min="8456" max="8457" width="13.88671875" style="1244" customWidth="1"/>
    <col min="8458" max="8458" width="20.77734375" style="1244" customWidth="1"/>
    <col min="8459" max="8459" width="9" style="1244" hidden="1" customWidth="1"/>
    <col min="8460" max="8461" width="11.21875" style="1244" customWidth="1"/>
    <col min="8462" max="8462" width="9" style="1244" hidden="1" customWidth="1"/>
    <col min="8463" max="8463" width="9" style="1244" customWidth="1"/>
    <col min="8464" max="8465" width="10.6640625" style="1244" customWidth="1"/>
    <col min="8466" max="8467" width="14.33203125" style="1244" customWidth="1"/>
    <col min="8468" max="8468" width="6.21875" style="1244" customWidth="1"/>
    <col min="8469" max="8469" width="16.88671875" style="1244" customWidth="1"/>
    <col min="8470" max="8471" width="20.109375" style="1244" customWidth="1"/>
    <col min="8472" max="8472" width="7.88671875" style="1244" customWidth="1"/>
    <col min="8473" max="8706" width="9" style="1244"/>
    <col min="8707" max="8707" width="37" style="1244" customWidth="1"/>
    <col min="8708" max="8708" width="6.21875" style="1244" customWidth="1"/>
    <col min="8709" max="8709" width="13.88671875" style="1244" customWidth="1"/>
    <col min="8710" max="8710" width="37" style="1244" customWidth="1"/>
    <col min="8711" max="8711" width="7.88671875" style="1244" customWidth="1"/>
    <col min="8712" max="8713" width="13.88671875" style="1244" customWidth="1"/>
    <col min="8714" max="8714" width="20.77734375" style="1244" customWidth="1"/>
    <col min="8715" max="8715" width="9" style="1244" hidden="1" customWidth="1"/>
    <col min="8716" max="8717" width="11.21875" style="1244" customWidth="1"/>
    <col min="8718" max="8718" width="9" style="1244" hidden="1" customWidth="1"/>
    <col min="8719" max="8719" width="9" style="1244" customWidth="1"/>
    <col min="8720" max="8721" width="10.6640625" style="1244" customWidth="1"/>
    <col min="8722" max="8723" width="14.33203125" style="1244" customWidth="1"/>
    <col min="8724" max="8724" width="6.21875" style="1244" customWidth="1"/>
    <col min="8725" max="8725" width="16.88671875" style="1244" customWidth="1"/>
    <col min="8726" max="8727" width="20.109375" style="1244" customWidth="1"/>
    <col min="8728" max="8728" width="7.88671875" style="1244" customWidth="1"/>
    <col min="8729" max="8962" width="9" style="1244"/>
    <col min="8963" max="8963" width="37" style="1244" customWidth="1"/>
    <col min="8964" max="8964" width="6.21875" style="1244" customWidth="1"/>
    <col min="8965" max="8965" width="13.88671875" style="1244" customWidth="1"/>
    <col min="8966" max="8966" width="37" style="1244" customWidth="1"/>
    <col min="8967" max="8967" width="7.88671875" style="1244" customWidth="1"/>
    <col min="8968" max="8969" width="13.88671875" style="1244" customWidth="1"/>
    <col min="8970" max="8970" width="20.77734375" style="1244" customWidth="1"/>
    <col min="8971" max="8971" width="9" style="1244" hidden="1" customWidth="1"/>
    <col min="8972" max="8973" width="11.21875" style="1244" customWidth="1"/>
    <col min="8974" max="8974" width="9" style="1244" hidden="1" customWidth="1"/>
    <col min="8975" max="8975" width="9" style="1244" customWidth="1"/>
    <col min="8976" max="8977" width="10.6640625" style="1244" customWidth="1"/>
    <col min="8978" max="8979" width="14.33203125" style="1244" customWidth="1"/>
    <col min="8980" max="8980" width="6.21875" style="1244" customWidth="1"/>
    <col min="8981" max="8981" width="16.88671875" style="1244" customWidth="1"/>
    <col min="8982" max="8983" width="20.109375" style="1244" customWidth="1"/>
    <col min="8984" max="8984" width="7.88671875" style="1244" customWidth="1"/>
    <col min="8985" max="9218" width="9" style="1244"/>
    <col min="9219" max="9219" width="37" style="1244" customWidth="1"/>
    <col min="9220" max="9220" width="6.21875" style="1244" customWidth="1"/>
    <col min="9221" max="9221" width="13.88671875" style="1244" customWidth="1"/>
    <col min="9222" max="9222" width="37" style="1244" customWidth="1"/>
    <col min="9223" max="9223" width="7.88671875" style="1244" customWidth="1"/>
    <col min="9224" max="9225" width="13.88671875" style="1244" customWidth="1"/>
    <col min="9226" max="9226" width="20.77734375" style="1244" customWidth="1"/>
    <col min="9227" max="9227" width="9" style="1244" hidden="1" customWidth="1"/>
    <col min="9228" max="9229" width="11.21875" style="1244" customWidth="1"/>
    <col min="9230" max="9230" width="9" style="1244" hidden="1" customWidth="1"/>
    <col min="9231" max="9231" width="9" style="1244" customWidth="1"/>
    <col min="9232" max="9233" width="10.6640625" style="1244" customWidth="1"/>
    <col min="9234" max="9235" width="14.33203125" style="1244" customWidth="1"/>
    <col min="9236" max="9236" width="6.21875" style="1244" customWidth="1"/>
    <col min="9237" max="9237" width="16.88671875" style="1244" customWidth="1"/>
    <col min="9238" max="9239" width="20.109375" style="1244" customWidth="1"/>
    <col min="9240" max="9240" width="7.88671875" style="1244" customWidth="1"/>
    <col min="9241" max="9474" width="9" style="1244"/>
    <col min="9475" max="9475" width="37" style="1244" customWidth="1"/>
    <col min="9476" max="9476" width="6.21875" style="1244" customWidth="1"/>
    <col min="9477" max="9477" width="13.88671875" style="1244" customWidth="1"/>
    <col min="9478" max="9478" width="37" style="1244" customWidth="1"/>
    <col min="9479" max="9479" width="7.88671875" style="1244" customWidth="1"/>
    <col min="9480" max="9481" width="13.88671875" style="1244" customWidth="1"/>
    <col min="9482" max="9482" width="20.77734375" style="1244" customWidth="1"/>
    <col min="9483" max="9483" width="9" style="1244" hidden="1" customWidth="1"/>
    <col min="9484" max="9485" width="11.21875" style="1244" customWidth="1"/>
    <col min="9486" max="9486" width="9" style="1244" hidden="1" customWidth="1"/>
    <col min="9487" max="9487" width="9" style="1244" customWidth="1"/>
    <col min="9488" max="9489" width="10.6640625" style="1244" customWidth="1"/>
    <col min="9490" max="9491" width="14.33203125" style="1244" customWidth="1"/>
    <col min="9492" max="9492" width="6.21875" style="1244" customWidth="1"/>
    <col min="9493" max="9493" width="16.88671875" style="1244" customWidth="1"/>
    <col min="9494" max="9495" width="20.109375" style="1244" customWidth="1"/>
    <col min="9496" max="9496" width="7.88671875" style="1244" customWidth="1"/>
    <col min="9497" max="9730" width="9" style="1244"/>
    <col min="9731" max="9731" width="37" style="1244" customWidth="1"/>
    <col min="9732" max="9732" width="6.21875" style="1244" customWidth="1"/>
    <col min="9733" max="9733" width="13.88671875" style="1244" customWidth="1"/>
    <col min="9734" max="9734" width="37" style="1244" customWidth="1"/>
    <col min="9735" max="9735" width="7.88671875" style="1244" customWidth="1"/>
    <col min="9736" max="9737" width="13.88671875" style="1244" customWidth="1"/>
    <col min="9738" max="9738" width="20.77734375" style="1244" customWidth="1"/>
    <col min="9739" max="9739" width="9" style="1244" hidden="1" customWidth="1"/>
    <col min="9740" max="9741" width="11.21875" style="1244" customWidth="1"/>
    <col min="9742" max="9742" width="9" style="1244" hidden="1" customWidth="1"/>
    <col min="9743" max="9743" width="9" style="1244" customWidth="1"/>
    <col min="9744" max="9745" width="10.6640625" style="1244" customWidth="1"/>
    <col min="9746" max="9747" width="14.33203125" style="1244" customWidth="1"/>
    <col min="9748" max="9748" width="6.21875" style="1244" customWidth="1"/>
    <col min="9749" max="9749" width="16.88671875" style="1244" customWidth="1"/>
    <col min="9750" max="9751" width="20.109375" style="1244" customWidth="1"/>
    <col min="9752" max="9752" width="7.88671875" style="1244" customWidth="1"/>
    <col min="9753" max="9986" width="9" style="1244"/>
    <col min="9987" max="9987" width="37" style="1244" customWidth="1"/>
    <col min="9988" max="9988" width="6.21875" style="1244" customWidth="1"/>
    <col min="9989" max="9989" width="13.88671875" style="1244" customWidth="1"/>
    <col min="9990" max="9990" width="37" style="1244" customWidth="1"/>
    <col min="9991" max="9991" width="7.88671875" style="1244" customWidth="1"/>
    <col min="9992" max="9993" width="13.88671875" style="1244" customWidth="1"/>
    <col min="9994" max="9994" width="20.77734375" style="1244" customWidth="1"/>
    <col min="9995" max="9995" width="9" style="1244" hidden="1" customWidth="1"/>
    <col min="9996" max="9997" width="11.21875" style="1244" customWidth="1"/>
    <col min="9998" max="9998" width="9" style="1244" hidden="1" customWidth="1"/>
    <col min="9999" max="9999" width="9" style="1244" customWidth="1"/>
    <col min="10000" max="10001" width="10.6640625" style="1244" customWidth="1"/>
    <col min="10002" max="10003" width="14.33203125" style="1244" customWidth="1"/>
    <col min="10004" max="10004" width="6.21875" style="1244" customWidth="1"/>
    <col min="10005" max="10005" width="16.88671875" style="1244" customWidth="1"/>
    <col min="10006" max="10007" width="20.109375" style="1244" customWidth="1"/>
    <col min="10008" max="10008" width="7.88671875" style="1244" customWidth="1"/>
    <col min="10009" max="10242" width="9" style="1244"/>
    <col min="10243" max="10243" width="37" style="1244" customWidth="1"/>
    <col min="10244" max="10244" width="6.21875" style="1244" customWidth="1"/>
    <col min="10245" max="10245" width="13.88671875" style="1244" customWidth="1"/>
    <col min="10246" max="10246" width="37" style="1244" customWidth="1"/>
    <col min="10247" max="10247" width="7.88671875" style="1244" customWidth="1"/>
    <col min="10248" max="10249" width="13.88671875" style="1244" customWidth="1"/>
    <col min="10250" max="10250" width="20.77734375" style="1244" customWidth="1"/>
    <col min="10251" max="10251" width="9" style="1244" hidden="1" customWidth="1"/>
    <col min="10252" max="10253" width="11.21875" style="1244" customWidth="1"/>
    <col min="10254" max="10254" width="9" style="1244" hidden="1" customWidth="1"/>
    <col min="10255" max="10255" width="9" style="1244" customWidth="1"/>
    <col min="10256" max="10257" width="10.6640625" style="1244" customWidth="1"/>
    <col min="10258" max="10259" width="14.33203125" style="1244" customWidth="1"/>
    <col min="10260" max="10260" width="6.21875" style="1244" customWidth="1"/>
    <col min="10261" max="10261" width="16.88671875" style="1244" customWidth="1"/>
    <col min="10262" max="10263" width="20.109375" style="1244" customWidth="1"/>
    <col min="10264" max="10264" width="7.88671875" style="1244" customWidth="1"/>
    <col min="10265" max="10498" width="9" style="1244"/>
    <col min="10499" max="10499" width="37" style="1244" customWidth="1"/>
    <col min="10500" max="10500" width="6.21875" style="1244" customWidth="1"/>
    <col min="10501" max="10501" width="13.88671875" style="1244" customWidth="1"/>
    <col min="10502" max="10502" width="37" style="1244" customWidth="1"/>
    <col min="10503" max="10503" width="7.88671875" style="1244" customWidth="1"/>
    <col min="10504" max="10505" width="13.88671875" style="1244" customWidth="1"/>
    <col min="10506" max="10506" width="20.77734375" style="1244" customWidth="1"/>
    <col min="10507" max="10507" width="9" style="1244" hidden="1" customWidth="1"/>
    <col min="10508" max="10509" width="11.21875" style="1244" customWidth="1"/>
    <col min="10510" max="10510" width="9" style="1244" hidden="1" customWidth="1"/>
    <col min="10511" max="10511" width="9" style="1244" customWidth="1"/>
    <col min="10512" max="10513" width="10.6640625" style="1244" customWidth="1"/>
    <col min="10514" max="10515" width="14.33203125" style="1244" customWidth="1"/>
    <col min="10516" max="10516" width="6.21875" style="1244" customWidth="1"/>
    <col min="10517" max="10517" width="16.88671875" style="1244" customWidth="1"/>
    <col min="10518" max="10519" width="20.109375" style="1244" customWidth="1"/>
    <col min="10520" max="10520" width="7.88671875" style="1244" customWidth="1"/>
    <col min="10521" max="10754" width="9" style="1244"/>
    <col min="10755" max="10755" width="37" style="1244" customWidth="1"/>
    <col min="10756" max="10756" width="6.21875" style="1244" customWidth="1"/>
    <col min="10757" max="10757" width="13.88671875" style="1244" customWidth="1"/>
    <col min="10758" max="10758" width="37" style="1244" customWidth="1"/>
    <col min="10759" max="10759" width="7.88671875" style="1244" customWidth="1"/>
    <col min="10760" max="10761" width="13.88671875" style="1244" customWidth="1"/>
    <col min="10762" max="10762" width="20.77734375" style="1244" customWidth="1"/>
    <col min="10763" max="10763" width="9" style="1244" hidden="1" customWidth="1"/>
    <col min="10764" max="10765" width="11.21875" style="1244" customWidth="1"/>
    <col min="10766" max="10766" width="9" style="1244" hidden="1" customWidth="1"/>
    <col min="10767" max="10767" width="9" style="1244" customWidth="1"/>
    <col min="10768" max="10769" width="10.6640625" style="1244" customWidth="1"/>
    <col min="10770" max="10771" width="14.33203125" style="1244" customWidth="1"/>
    <col min="10772" max="10772" width="6.21875" style="1244" customWidth="1"/>
    <col min="10773" max="10773" width="16.88671875" style="1244" customWidth="1"/>
    <col min="10774" max="10775" width="20.109375" style="1244" customWidth="1"/>
    <col min="10776" max="10776" width="7.88671875" style="1244" customWidth="1"/>
    <col min="10777" max="11010" width="9" style="1244"/>
    <col min="11011" max="11011" width="37" style="1244" customWidth="1"/>
    <col min="11012" max="11012" width="6.21875" style="1244" customWidth="1"/>
    <col min="11013" max="11013" width="13.88671875" style="1244" customWidth="1"/>
    <col min="11014" max="11014" width="37" style="1244" customWidth="1"/>
    <col min="11015" max="11015" width="7.88671875" style="1244" customWidth="1"/>
    <col min="11016" max="11017" width="13.88671875" style="1244" customWidth="1"/>
    <col min="11018" max="11018" width="20.77734375" style="1244" customWidth="1"/>
    <col min="11019" max="11019" width="9" style="1244" hidden="1" customWidth="1"/>
    <col min="11020" max="11021" width="11.21875" style="1244" customWidth="1"/>
    <col min="11022" max="11022" width="9" style="1244" hidden="1" customWidth="1"/>
    <col min="11023" max="11023" width="9" style="1244" customWidth="1"/>
    <col min="11024" max="11025" width="10.6640625" style="1244" customWidth="1"/>
    <col min="11026" max="11027" width="14.33203125" style="1244" customWidth="1"/>
    <col min="11028" max="11028" width="6.21875" style="1244" customWidth="1"/>
    <col min="11029" max="11029" width="16.88671875" style="1244" customWidth="1"/>
    <col min="11030" max="11031" width="20.109375" style="1244" customWidth="1"/>
    <col min="11032" max="11032" width="7.88671875" style="1244" customWidth="1"/>
    <col min="11033" max="11266" width="9" style="1244"/>
    <col min="11267" max="11267" width="37" style="1244" customWidth="1"/>
    <col min="11268" max="11268" width="6.21875" style="1244" customWidth="1"/>
    <col min="11269" max="11269" width="13.88671875" style="1244" customWidth="1"/>
    <col min="11270" max="11270" width="37" style="1244" customWidth="1"/>
    <col min="11271" max="11271" width="7.88671875" style="1244" customWidth="1"/>
    <col min="11272" max="11273" width="13.88671875" style="1244" customWidth="1"/>
    <col min="11274" max="11274" width="20.77734375" style="1244" customWidth="1"/>
    <col min="11275" max="11275" width="9" style="1244" hidden="1" customWidth="1"/>
    <col min="11276" max="11277" width="11.21875" style="1244" customWidth="1"/>
    <col min="11278" max="11278" width="9" style="1244" hidden="1" customWidth="1"/>
    <col min="11279" max="11279" width="9" style="1244" customWidth="1"/>
    <col min="11280" max="11281" width="10.6640625" style="1244" customWidth="1"/>
    <col min="11282" max="11283" width="14.33203125" style="1244" customWidth="1"/>
    <col min="11284" max="11284" width="6.21875" style="1244" customWidth="1"/>
    <col min="11285" max="11285" width="16.88671875" style="1244" customWidth="1"/>
    <col min="11286" max="11287" width="20.109375" style="1244" customWidth="1"/>
    <col min="11288" max="11288" width="7.88671875" style="1244" customWidth="1"/>
    <col min="11289" max="11522" width="9" style="1244"/>
    <col min="11523" max="11523" width="37" style="1244" customWidth="1"/>
    <col min="11524" max="11524" width="6.21875" style="1244" customWidth="1"/>
    <col min="11525" max="11525" width="13.88671875" style="1244" customWidth="1"/>
    <col min="11526" max="11526" width="37" style="1244" customWidth="1"/>
    <col min="11527" max="11527" width="7.88671875" style="1244" customWidth="1"/>
    <col min="11528" max="11529" width="13.88671875" style="1244" customWidth="1"/>
    <col min="11530" max="11530" width="20.77734375" style="1244" customWidth="1"/>
    <col min="11531" max="11531" width="9" style="1244" hidden="1" customWidth="1"/>
    <col min="11532" max="11533" width="11.21875" style="1244" customWidth="1"/>
    <col min="11534" max="11534" width="9" style="1244" hidden="1" customWidth="1"/>
    <col min="11535" max="11535" width="9" style="1244" customWidth="1"/>
    <col min="11536" max="11537" width="10.6640625" style="1244" customWidth="1"/>
    <col min="11538" max="11539" width="14.33203125" style="1244" customWidth="1"/>
    <col min="11540" max="11540" width="6.21875" style="1244" customWidth="1"/>
    <col min="11541" max="11541" width="16.88671875" style="1244" customWidth="1"/>
    <col min="11542" max="11543" width="20.109375" style="1244" customWidth="1"/>
    <col min="11544" max="11544" width="7.88671875" style="1244" customWidth="1"/>
    <col min="11545" max="11778" width="9" style="1244"/>
    <col min="11779" max="11779" width="37" style="1244" customWidth="1"/>
    <col min="11780" max="11780" width="6.21875" style="1244" customWidth="1"/>
    <col min="11781" max="11781" width="13.88671875" style="1244" customWidth="1"/>
    <col min="11782" max="11782" width="37" style="1244" customWidth="1"/>
    <col min="11783" max="11783" width="7.88671875" style="1244" customWidth="1"/>
    <col min="11784" max="11785" width="13.88671875" style="1244" customWidth="1"/>
    <col min="11786" max="11786" width="20.77734375" style="1244" customWidth="1"/>
    <col min="11787" max="11787" width="9" style="1244" hidden="1" customWidth="1"/>
    <col min="11788" max="11789" width="11.21875" style="1244" customWidth="1"/>
    <col min="11790" max="11790" width="9" style="1244" hidden="1" customWidth="1"/>
    <col min="11791" max="11791" width="9" style="1244" customWidth="1"/>
    <col min="11792" max="11793" width="10.6640625" style="1244" customWidth="1"/>
    <col min="11794" max="11795" width="14.33203125" style="1244" customWidth="1"/>
    <col min="11796" max="11796" width="6.21875" style="1244" customWidth="1"/>
    <col min="11797" max="11797" width="16.88671875" style="1244" customWidth="1"/>
    <col min="11798" max="11799" width="20.109375" style="1244" customWidth="1"/>
    <col min="11800" max="11800" width="7.88671875" style="1244" customWidth="1"/>
    <col min="11801" max="12034" width="9" style="1244"/>
    <col min="12035" max="12035" width="37" style="1244" customWidth="1"/>
    <col min="12036" max="12036" width="6.21875" style="1244" customWidth="1"/>
    <col min="12037" max="12037" width="13.88671875" style="1244" customWidth="1"/>
    <col min="12038" max="12038" width="37" style="1244" customWidth="1"/>
    <col min="12039" max="12039" width="7.88671875" style="1244" customWidth="1"/>
    <col min="12040" max="12041" width="13.88671875" style="1244" customWidth="1"/>
    <col min="12042" max="12042" width="20.77734375" style="1244" customWidth="1"/>
    <col min="12043" max="12043" width="9" style="1244" hidden="1" customWidth="1"/>
    <col min="12044" max="12045" width="11.21875" style="1244" customWidth="1"/>
    <col min="12046" max="12046" width="9" style="1244" hidden="1" customWidth="1"/>
    <col min="12047" max="12047" width="9" style="1244" customWidth="1"/>
    <col min="12048" max="12049" width="10.6640625" style="1244" customWidth="1"/>
    <col min="12050" max="12051" width="14.33203125" style="1244" customWidth="1"/>
    <col min="12052" max="12052" width="6.21875" style="1244" customWidth="1"/>
    <col min="12053" max="12053" width="16.88671875" style="1244" customWidth="1"/>
    <col min="12054" max="12055" width="20.109375" style="1244" customWidth="1"/>
    <col min="12056" max="12056" width="7.88671875" style="1244" customWidth="1"/>
    <col min="12057" max="12290" width="9" style="1244"/>
    <col min="12291" max="12291" width="37" style="1244" customWidth="1"/>
    <col min="12292" max="12292" width="6.21875" style="1244" customWidth="1"/>
    <col min="12293" max="12293" width="13.88671875" style="1244" customWidth="1"/>
    <col min="12294" max="12294" width="37" style="1244" customWidth="1"/>
    <col min="12295" max="12295" width="7.88671875" style="1244" customWidth="1"/>
    <col min="12296" max="12297" width="13.88671875" style="1244" customWidth="1"/>
    <col min="12298" max="12298" width="20.77734375" style="1244" customWidth="1"/>
    <col min="12299" max="12299" width="9" style="1244" hidden="1" customWidth="1"/>
    <col min="12300" max="12301" width="11.21875" style="1244" customWidth="1"/>
    <col min="12302" max="12302" width="9" style="1244" hidden="1" customWidth="1"/>
    <col min="12303" max="12303" width="9" style="1244" customWidth="1"/>
    <col min="12304" max="12305" width="10.6640625" style="1244" customWidth="1"/>
    <col min="12306" max="12307" width="14.33203125" style="1244" customWidth="1"/>
    <col min="12308" max="12308" width="6.21875" style="1244" customWidth="1"/>
    <col min="12309" max="12309" width="16.88671875" style="1244" customWidth="1"/>
    <col min="12310" max="12311" width="20.109375" style="1244" customWidth="1"/>
    <col min="12312" max="12312" width="7.88671875" style="1244" customWidth="1"/>
    <col min="12313" max="12546" width="9" style="1244"/>
    <col min="12547" max="12547" width="37" style="1244" customWidth="1"/>
    <col min="12548" max="12548" width="6.21875" style="1244" customWidth="1"/>
    <col min="12549" max="12549" width="13.88671875" style="1244" customWidth="1"/>
    <col min="12550" max="12550" width="37" style="1244" customWidth="1"/>
    <col min="12551" max="12551" width="7.88671875" style="1244" customWidth="1"/>
    <col min="12552" max="12553" width="13.88671875" style="1244" customWidth="1"/>
    <col min="12554" max="12554" width="20.77734375" style="1244" customWidth="1"/>
    <col min="12555" max="12555" width="9" style="1244" hidden="1" customWidth="1"/>
    <col min="12556" max="12557" width="11.21875" style="1244" customWidth="1"/>
    <col min="12558" max="12558" width="9" style="1244" hidden="1" customWidth="1"/>
    <col min="12559" max="12559" width="9" style="1244" customWidth="1"/>
    <col min="12560" max="12561" width="10.6640625" style="1244" customWidth="1"/>
    <col min="12562" max="12563" width="14.33203125" style="1244" customWidth="1"/>
    <col min="12564" max="12564" width="6.21875" style="1244" customWidth="1"/>
    <col min="12565" max="12565" width="16.88671875" style="1244" customWidth="1"/>
    <col min="12566" max="12567" width="20.109375" style="1244" customWidth="1"/>
    <col min="12568" max="12568" width="7.88671875" style="1244" customWidth="1"/>
    <col min="12569" max="12802" width="9" style="1244"/>
    <col min="12803" max="12803" width="37" style="1244" customWidth="1"/>
    <col min="12804" max="12804" width="6.21875" style="1244" customWidth="1"/>
    <col min="12805" max="12805" width="13.88671875" style="1244" customWidth="1"/>
    <col min="12806" max="12806" width="37" style="1244" customWidth="1"/>
    <col min="12807" max="12807" width="7.88671875" style="1244" customWidth="1"/>
    <col min="12808" max="12809" width="13.88671875" style="1244" customWidth="1"/>
    <col min="12810" max="12810" width="20.77734375" style="1244" customWidth="1"/>
    <col min="12811" max="12811" width="9" style="1244" hidden="1" customWidth="1"/>
    <col min="12812" max="12813" width="11.21875" style="1244" customWidth="1"/>
    <col min="12814" max="12814" width="9" style="1244" hidden="1" customWidth="1"/>
    <col min="12815" max="12815" width="9" style="1244" customWidth="1"/>
    <col min="12816" max="12817" width="10.6640625" style="1244" customWidth="1"/>
    <col min="12818" max="12819" width="14.33203125" style="1244" customWidth="1"/>
    <col min="12820" max="12820" width="6.21875" style="1244" customWidth="1"/>
    <col min="12821" max="12821" width="16.88671875" style="1244" customWidth="1"/>
    <col min="12822" max="12823" width="20.109375" style="1244" customWidth="1"/>
    <col min="12824" max="12824" width="7.88671875" style="1244" customWidth="1"/>
    <col min="12825" max="13058" width="9" style="1244"/>
    <col min="13059" max="13059" width="37" style="1244" customWidth="1"/>
    <col min="13060" max="13060" width="6.21875" style="1244" customWidth="1"/>
    <col min="13061" max="13061" width="13.88671875" style="1244" customWidth="1"/>
    <col min="13062" max="13062" width="37" style="1244" customWidth="1"/>
    <col min="13063" max="13063" width="7.88671875" style="1244" customWidth="1"/>
    <col min="13064" max="13065" width="13.88671875" style="1244" customWidth="1"/>
    <col min="13066" max="13066" width="20.77734375" style="1244" customWidth="1"/>
    <col min="13067" max="13067" width="9" style="1244" hidden="1" customWidth="1"/>
    <col min="13068" max="13069" width="11.21875" style="1244" customWidth="1"/>
    <col min="13070" max="13070" width="9" style="1244" hidden="1" customWidth="1"/>
    <col min="13071" max="13071" width="9" style="1244" customWidth="1"/>
    <col min="13072" max="13073" width="10.6640625" style="1244" customWidth="1"/>
    <col min="13074" max="13075" width="14.33203125" style="1244" customWidth="1"/>
    <col min="13076" max="13076" width="6.21875" style="1244" customWidth="1"/>
    <col min="13077" max="13077" width="16.88671875" style="1244" customWidth="1"/>
    <col min="13078" max="13079" width="20.109375" style="1244" customWidth="1"/>
    <col min="13080" max="13080" width="7.88671875" style="1244" customWidth="1"/>
    <col min="13081" max="13314" width="9" style="1244"/>
    <col min="13315" max="13315" width="37" style="1244" customWidth="1"/>
    <col min="13316" max="13316" width="6.21875" style="1244" customWidth="1"/>
    <col min="13317" max="13317" width="13.88671875" style="1244" customWidth="1"/>
    <col min="13318" max="13318" width="37" style="1244" customWidth="1"/>
    <col min="13319" max="13319" width="7.88671875" style="1244" customWidth="1"/>
    <col min="13320" max="13321" width="13.88671875" style="1244" customWidth="1"/>
    <col min="13322" max="13322" width="20.77734375" style="1244" customWidth="1"/>
    <col min="13323" max="13323" width="9" style="1244" hidden="1" customWidth="1"/>
    <col min="13324" max="13325" width="11.21875" style="1244" customWidth="1"/>
    <col min="13326" max="13326" width="9" style="1244" hidden="1" customWidth="1"/>
    <col min="13327" max="13327" width="9" style="1244" customWidth="1"/>
    <col min="13328" max="13329" width="10.6640625" style="1244" customWidth="1"/>
    <col min="13330" max="13331" width="14.33203125" style="1244" customWidth="1"/>
    <col min="13332" max="13332" width="6.21875" style="1244" customWidth="1"/>
    <col min="13333" max="13333" width="16.88671875" style="1244" customWidth="1"/>
    <col min="13334" max="13335" width="20.109375" style="1244" customWidth="1"/>
    <col min="13336" max="13336" width="7.88671875" style="1244" customWidth="1"/>
    <col min="13337" max="13570" width="9" style="1244"/>
    <col min="13571" max="13571" width="37" style="1244" customWidth="1"/>
    <col min="13572" max="13572" width="6.21875" style="1244" customWidth="1"/>
    <col min="13573" max="13573" width="13.88671875" style="1244" customWidth="1"/>
    <col min="13574" max="13574" width="37" style="1244" customWidth="1"/>
    <col min="13575" max="13575" width="7.88671875" style="1244" customWidth="1"/>
    <col min="13576" max="13577" width="13.88671875" style="1244" customWidth="1"/>
    <col min="13578" max="13578" width="20.77734375" style="1244" customWidth="1"/>
    <col min="13579" max="13579" width="9" style="1244" hidden="1" customWidth="1"/>
    <col min="13580" max="13581" width="11.21875" style="1244" customWidth="1"/>
    <col min="13582" max="13582" width="9" style="1244" hidden="1" customWidth="1"/>
    <col min="13583" max="13583" width="9" style="1244" customWidth="1"/>
    <col min="13584" max="13585" width="10.6640625" style="1244" customWidth="1"/>
    <col min="13586" max="13587" width="14.33203125" style="1244" customWidth="1"/>
    <col min="13588" max="13588" width="6.21875" style="1244" customWidth="1"/>
    <col min="13589" max="13589" width="16.88671875" style="1244" customWidth="1"/>
    <col min="13590" max="13591" width="20.109375" style="1244" customWidth="1"/>
    <col min="13592" max="13592" width="7.88671875" style="1244" customWidth="1"/>
    <col min="13593" max="13826" width="9" style="1244"/>
    <col min="13827" max="13827" width="37" style="1244" customWidth="1"/>
    <col min="13828" max="13828" width="6.21875" style="1244" customWidth="1"/>
    <col min="13829" max="13829" width="13.88671875" style="1244" customWidth="1"/>
    <col min="13830" max="13830" width="37" style="1244" customWidth="1"/>
    <col min="13831" max="13831" width="7.88671875" style="1244" customWidth="1"/>
    <col min="13832" max="13833" width="13.88671875" style="1244" customWidth="1"/>
    <col min="13834" max="13834" width="20.77734375" style="1244" customWidth="1"/>
    <col min="13835" max="13835" width="9" style="1244" hidden="1" customWidth="1"/>
    <col min="13836" max="13837" width="11.21875" style="1244" customWidth="1"/>
    <col min="13838" max="13838" width="9" style="1244" hidden="1" customWidth="1"/>
    <col min="13839" max="13839" width="9" style="1244" customWidth="1"/>
    <col min="13840" max="13841" width="10.6640625" style="1244" customWidth="1"/>
    <col min="13842" max="13843" width="14.33203125" style="1244" customWidth="1"/>
    <col min="13844" max="13844" width="6.21875" style="1244" customWidth="1"/>
    <col min="13845" max="13845" width="16.88671875" style="1244" customWidth="1"/>
    <col min="13846" max="13847" width="20.109375" style="1244" customWidth="1"/>
    <col min="13848" max="13848" width="7.88671875" style="1244" customWidth="1"/>
    <col min="13849" max="14082" width="9" style="1244"/>
    <col min="14083" max="14083" width="37" style="1244" customWidth="1"/>
    <col min="14084" max="14084" width="6.21875" style="1244" customWidth="1"/>
    <col min="14085" max="14085" width="13.88671875" style="1244" customWidth="1"/>
    <col min="14086" max="14086" width="37" style="1244" customWidth="1"/>
    <col min="14087" max="14087" width="7.88671875" style="1244" customWidth="1"/>
    <col min="14088" max="14089" width="13.88671875" style="1244" customWidth="1"/>
    <col min="14090" max="14090" width="20.77734375" style="1244" customWidth="1"/>
    <col min="14091" max="14091" width="9" style="1244" hidden="1" customWidth="1"/>
    <col min="14092" max="14093" width="11.21875" style="1244" customWidth="1"/>
    <col min="14094" max="14094" width="9" style="1244" hidden="1" customWidth="1"/>
    <col min="14095" max="14095" width="9" style="1244" customWidth="1"/>
    <col min="14096" max="14097" width="10.6640625" style="1244" customWidth="1"/>
    <col min="14098" max="14099" width="14.33203125" style="1244" customWidth="1"/>
    <col min="14100" max="14100" width="6.21875" style="1244" customWidth="1"/>
    <col min="14101" max="14101" width="16.88671875" style="1244" customWidth="1"/>
    <col min="14102" max="14103" width="20.109375" style="1244" customWidth="1"/>
    <col min="14104" max="14104" width="7.88671875" style="1244" customWidth="1"/>
    <col min="14105" max="14338" width="9" style="1244"/>
    <col min="14339" max="14339" width="37" style="1244" customWidth="1"/>
    <col min="14340" max="14340" width="6.21875" style="1244" customWidth="1"/>
    <col min="14341" max="14341" width="13.88671875" style="1244" customWidth="1"/>
    <col min="14342" max="14342" width="37" style="1244" customWidth="1"/>
    <col min="14343" max="14343" width="7.88671875" style="1244" customWidth="1"/>
    <col min="14344" max="14345" width="13.88671875" style="1244" customWidth="1"/>
    <col min="14346" max="14346" width="20.77734375" style="1244" customWidth="1"/>
    <col min="14347" max="14347" width="9" style="1244" hidden="1" customWidth="1"/>
    <col min="14348" max="14349" width="11.21875" style="1244" customWidth="1"/>
    <col min="14350" max="14350" width="9" style="1244" hidden="1" customWidth="1"/>
    <col min="14351" max="14351" width="9" style="1244" customWidth="1"/>
    <col min="14352" max="14353" width="10.6640625" style="1244" customWidth="1"/>
    <col min="14354" max="14355" width="14.33203125" style="1244" customWidth="1"/>
    <col min="14356" max="14356" width="6.21875" style="1244" customWidth="1"/>
    <col min="14357" max="14357" width="16.88671875" style="1244" customWidth="1"/>
    <col min="14358" max="14359" width="20.109375" style="1244" customWidth="1"/>
    <col min="14360" max="14360" width="7.88671875" style="1244" customWidth="1"/>
    <col min="14361" max="14594" width="9" style="1244"/>
    <col min="14595" max="14595" width="37" style="1244" customWidth="1"/>
    <col min="14596" max="14596" width="6.21875" style="1244" customWidth="1"/>
    <col min="14597" max="14597" width="13.88671875" style="1244" customWidth="1"/>
    <col min="14598" max="14598" width="37" style="1244" customWidth="1"/>
    <col min="14599" max="14599" width="7.88671875" style="1244" customWidth="1"/>
    <col min="14600" max="14601" width="13.88671875" style="1244" customWidth="1"/>
    <col min="14602" max="14602" width="20.77734375" style="1244" customWidth="1"/>
    <col min="14603" max="14603" width="9" style="1244" hidden="1" customWidth="1"/>
    <col min="14604" max="14605" width="11.21875" style="1244" customWidth="1"/>
    <col min="14606" max="14606" width="9" style="1244" hidden="1" customWidth="1"/>
    <col min="14607" max="14607" width="9" style="1244" customWidth="1"/>
    <col min="14608" max="14609" width="10.6640625" style="1244" customWidth="1"/>
    <col min="14610" max="14611" width="14.33203125" style="1244" customWidth="1"/>
    <col min="14612" max="14612" width="6.21875" style="1244" customWidth="1"/>
    <col min="14613" max="14613" width="16.88671875" style="1244" customWidth="1"/>
    <col min="14614" max="14615" width="20.109375" style="1244" customWidth="1"/>
    <col min="14616" max="14616" width="7.88671875" style="1244" customWidth="1"/>
    <col min="14617" max="14850" width="9" style="1244"/>
    <col min="14851" max="14851" width="37" style="1244" customWidth="1"/>
    <col min="14852" max="14852" width="6.21875" style="1244" customWidth="1"/>
    <col min="14853" max="14853" width="13.88671875" style="1244" customWidth="1"/>
    <col min="14854" max="14854" width="37" style="1244" customWidth="1"/>
    <col min="14855" max="14855" width="7.88671875" style="1244" customWidth="1"/>
    <col min="14856" max="14857" width="13.88671875" style="1244" customWidth="1"/>
    <col min="14858" max="14858" width="20.77734375" style="1244" customWidth="1"/>
    <col min="14859" max="14859" width="9" style="1244" hidden="1" customWidth="1"/>
    <col min="14860" max="14861" width="11.21875" style="1244" customWidth="1"/>
    <col min="14862" max="14862" width="9" style="1244" hidden="1" customWidth="1"/>
    <col min="14863" max="14863" width="9" style="1244" customWidth="1"/>
    <col min="14864" max="14865" width="10.6640625" style="1244" customWidth="1"/>
    <col min="14866" max="14867" width="14.33203125" style="1244" customWidth="1"/>
    <col min="14868" max="14868" width="6.21875" style="1244" customWidth="1"/>
    <col min="14869" max="14869" width="16.88671875" style="1244" customWidth="1"/>
    <col min="14870" max="14871" width="20.109375" style="1244" customWidth="1"/>
    <col min="14872" max="14872" width="7.88671875" style="1244" customWidth="1"/>
    <col min="14873" max="15106" width="9" style="1244"/>
    <col min="15107" max="15107" width="37" style="1244" customWidth="1"/>
    <col min="15108" max="15108" width="6.21875" style="1244" customWidth="1"/>
    <col min="15109" max="15109" width="13.88671875" style="1244" customWidth="1"/>
    <col min="15110" max="15110" width="37" style="1244" customWidth="1"/>
    <col min="15111" max="15111" width="7.88671875" style="1244" customWidth="1"/>
    <col min="15112" max="15113" width="13.88671875" style="1244" customWidth="1"/>
    <col min="15114" max="15114" width="20.77734375" style="1244" customWidth="1"/>
    <col min="15115" max="15115" width="9" style="1244" hidden="1" customWidth="1"/>
    <col min="15116" max="15117" width="11.21875" style="1244" customWidth="1"/>
    <col min="15118" max="15118" width="9" style="1244" hidden="1" customWidth="1"/>
    <col min="15119" max="15119" width="9" style="1244" customWidth="1"/>
    <col min="15120" max="15121" width="10.6640625" style="1244" customWidth="1"/>
    <col min="15122" max="15123" width="14.33203125" style="1244" customWidth="1"/>
    <col min="15124" max="15124" width="6.21875" style="1244" customWidth="1"/>
    <col min="15125" max="15125" width="16.88671875" style="1244" customWidth="1"/>
    <col min="15126" max="15127" width="20.109375" style="1244" customWidth="1"/>
    <col min="15128" max="15128" width="7.88671875" style="1244" customWidth="1"/>
    <col min="15129" max="15362" width="9" style="1244"/>
    <col min="15363" max="15363" width="37" style="1244" customWidth="1"/>
    <col min="15364" max="15364" width="6.21875" style="1244" customWidth="1"/>
    <col min="15365" max="15365" width="13.88671875" style="1244" customWidth="1"/>
    <col min="15366" max="15366" width="37" style="1244" customWidth="1"/>
    <col min="15367" max="15367" width="7.88671875" style="1244" customWidth="1"/>
    <col min="15368" max="15369" width="13.88671875" style="1244" customWidth="1"/>
    <col min="15370" max="15370" width="20.77734375" style="1244" customWidth="1"/>
    <col min="15371" max="15371" width="9" style="1244" hidden="1" customWidth="1"/>
    <col min="15372" max="15373" width="11.21875" style="1244" customWidth="1"/>
    <col min="15374" max="15374" width="9" style="1244" hidden="1" customWidth="1"/>
    <col min="15375" max="15375" width="9" style="1244" customWidth="1"/>
    <col min="15376" max="15377" width="10.6640625" style="1244" customWidth="1"/>
    <col min="15378" max="15379" width="14.33203125" style="1244" customWidth="1"/>
    <col min="15380" max="15380" width="6.21875" style="1244" customWidth="1"/>
    <col min="15381" max="15381" width="16.88671875" style="1244" customWidth="1"/>
    <col min="15382" max="15383" width="20.109375" style="1244" customWidth="1"/>
    <col min="15384" max="15384" width="7.88671875" style="1244" customWidth="1"/>
    <col min="15385" max="15618" width="9" style="1244"/>
    <col min="15619" max="15619" width="37" style="1244" customWidth="1"/>
    <col min="15620" max="15620" width="6.21875" style="1244" customWidth="1"/>
    <col min="15621" max="15621" width="13.88671875" style="1244" customWidth="1"/>
    <col min="15622" max="15622" width="37" style="1244" customWidth="1"/>
    <col min="15623" max="15623" width="7.88671875" style="1244" customWidth="1"/>
    <col min="15624" max="15625" width="13.88671875" style="1244" customWidth="1"/>
    <col min="15626" max="15626" width="20.77734375" style="1244" customWidth="1"/>
    <col min="15627" max="15627" width="9" style="1244" hidden="1" customWidth="1"/>
    <col min="15628" max="15629" width="11.21875" style="1244" customWidth="1"/>
    <col min="15630" max="15630" width="9" style="1244" hidden="1" customWidth="1"/>
    <col min="15631" max="15631" width="9" style="1244" customWidth="1"/>
    <col min="15632" max="15633" width="10.6640625" style="1244" customWidth="1"/>
    <col min="15634" max="15635" width="14.33203125" style="1244" customWidth="1"/>
    <col min="15636" max="15636" width="6.21875" style="1244" customWidth="1"/>
    <col min="15637" max="15637" width="16.88671875" style="1244" customWidth="1"/>
    <col min="15638" max="15639" width="20.109375" style="1244" customWidth="1"/>
    <col min="15640" max="15640" width="7.88671875" style="1244" customWidth="1"/>
    <col min="15641" max="15874" width="9" style="1244"/>
    <col min="15875" max="15875" width="37" style="1244" customWidth="1"/>
    <col min="15876" max="15876" width="6.21875" style="1244" customWidth="1"/>
    <col min="15877" max="15877" width="13.88671875" style="1244" customWidth="1"/>
    <col min="15878" max="15878" width="37" style="1244" customWidth="1"/>
    <col min="15879" max="15879" width="7.88671875" style="1244" customWidth="1"/>
    <col min="15880" max="15881" width="13.88671875" style="1244" customWidth="1"/>
    <col min="15882" max="15882" width="20.77734375" style="1244" customWidth="1"/>
    <col min="15883" max="15883" width="9" style="1244" hidden="1" customWidth="1"/>
    <col min="15884" max="15885" width="11.21875" style="1244" customWidth="1"/>
    <col min="15886" max="15886" width="9" style="1244" hidden="1" customWidth="1"/>
    <col min="15887" max="15887" width="9" style="1244" customWidth="1"/>
    <col min="15888" max="15889" width="10.6640625" style="1244" customWidth="1"/>
    <col min="15890" max="15891" width="14.33203125" style="1244" customWidth="1"/>
    <col min="15892" max="15892" width="6.21875" style="1244" customWidth="1"/>
    <col min="15893" max="15893" width="16.88671875" style="1244" customWidth="1"/>
    <col min="15894" max="15895" width="20.109375" style="1244" customWidth="1"/>
    <col min="15896" max="15896" width="7.88671875" style="1244" customWidth="1"/>
    <col min="15897" max="16130" width="9" style="1244"/>
    <col min="16131" max="16131" width="37" style="1244" customWidth="1"/>
    <col min="16132" max="16132" width="6.21875" style="1244" customWidth="1"/>
    <col min="16133" max="16133" width="13.88671875" style="1244" customWidth="1"/>
    <col min="16134" max="16134" width="37" style="1244" customWidth="1"/>
    <col min="16135" max="16135" width="7.88671875" style="1244" customWidth="1"/>
    <col min="16136" max="16137" width="13.88671875" style="1244" customWidth="1"/>
    <col min="16138" max="16138" width="20.77734375" style="1244" customWidth="1"/>
    <col min="16139" max="16139" width="9" style="1244" hidden="1" customWidth="1"/>
    <col min="16140" max="16141" width="11.21875" style="1244" customWidth="1"/>
    <col min="16142" max="16142" width="9" style="1244" hidden="1" customWidth="1"/>
    <col min="16143" max="16143" width="9" style="1244" customWidth="1"/>
    <col min="16144" max="16145" width="10.6640625" style="1244" customWidth="1"/>
    <col min="16146" max="16147" width="14.33203125" style="1244" customWidth="1"/>
    <col min="16148" max="16148" width="6.21875" style="1244" customWidth="1"/>
    <col min="16149" max="16149" width="16.88671875" style="1244" customWidth="1"/>
    <col min="16150" max="16151" width="20.109375" style="1244" customWidth="1"/>
    <col min="16152" max="16152" width="7.88671875" style="1244" customWidth="1"/>
    <col min="16153" max="16384" width="9" style="1244"/>
  </cols>
  <sheetData>
    <row r="1" spans="1:24">
      <c r="A1" s="1244" t="s">
        <v>1513</v>
      </c>
      <c r="B1" s="1244" t="s">
        <v>1514</v>
      </c>
      <c r="C1" s="1244" t="s">
        <v>1515</v>
      </c>
      <c r="D1" s="1244" t="s">
        <v>1516</v>
      </c>
      <c r="E1" s="1244" t="s">
        <v>1517</v>
      </c>
      <c r="F1" s="1244" t="s">
        <v>1518</v>
      </c>
      <c r="G1" s="1244" t="s">
        <v>1519</v>
      </c>
      <c r="H1" s="1244" t="s">
        <v>105</v>
      </c>
      <c r="I1" s="1244" t="s">
        <v>1520</v>
      </c>
      <c r="K1" s="1244" t="s">
        <v>1521</v>
      </c>
      <c r="L1" s="1244" t="s">
        <v>1522</v>
      </c>
      <c r="M1" s="1244" t="s">
        <v>1523</v>
      </c>
      <c r="N1" s="1244" t="s">
        <v>1524</v>
      </c>
      <c r="O1" s="1244" t="s">
        <v>1525</v>
      </c>
      <c r="P1" s="1244" t="s">
        <v>1526</v>
      </c>
      <c r="Q1" s="1244" t="s">
        <v>1527</v>
      </c>
      <c r="R1" s="1244" t="s">
        <v>1528</v>
      </c>
      <c r="S1" s="1247" t="s">
        <v>1529</v>
      </c>
      <c r="T1" s="1244" t="s">
        <v>1530</v>
      </c>
      <c r="U1" s="1244" t="s">
        <v>1531</v>
      </c>
      <c r="V1" s="1244" t="s">
        <v>1532</v>
      </c>
      <c r="W1" s="1244" t="s">
        <v>1533</v>
      </c>
      <c r="X1" s="1244" t="s">
        <v>1534</v>
      </c>
    </row>
    <row r="2" spans="1:24" s="1242" customFormat="1">
      <c r="A2" s="1242" t="s">
        <v>1535</v>
      </c>
      <c r="B2" s="1242" t="s">
        <v>1536</v>
      </c>
      <c r="C2" s="1242" t="s">
        <v>1537</v>
      </c>
      <c r="D2" s="1245" t="s">
        <v>1535</v>
      </c>
      <c r="E2" s="1242" t="s">
        <v>1538</v>
      </c>
      <c r="F2" s="1242">
        <v>34742.1</v>
      </c>
      <c r="G2" s="1242">
        <v>55673.279999999999</v>
      </c>
      <c r="H2" s="1242" t="s">
        <v>1539</v>
      </c>
      <c r="I2" s="1242" t="s">
        <v>1540</v>
      </c>
      <c r="J2" s="1242">
        <f>ROUND(G2/F2,2)</f>
        <v>1.6</v>
      </c>
      <c r="K2" s="1242" t="s">
        <v>1541</v>
      </c>
      <c r="L2" s="1242" t="s">
        <v>1540</v>
      </c>
      <c r="M2" s="1242" t="s">
        <v>1540</v>
      </c>
      <c r="N2" s="1242" t="s">
        <v>1542</v>
      </c>
      <c r="O2" s="1242">
        <v>74864</v>
      </c>
      <c r="P2" s="1242">
        <v>98864</v>
      </c>
      <c r="Q2" s="1242">
        <v>13447.02</v>
      </c>
      <c r="R2" s="1242">
        <f>ROUND(17757.88,0)</f>
        <v>17758</v>
      </c>
      <c r="S2" s="1242">
        <f t="shared" ref="S2:S23" si="0">P2/F2*10000</f>
        <v>28456.541199294228</v>
      </c>
      <c r="T2" s="1242">
        <v>32.06</v>
      </c>
      <c r="U2" s="1242" t="s">
        <v>1540</v>
      </c>
      <c r="V2" s="1242" t="s">
        <v>1540</v>
      </c>
      <c r="W2" s="1242" t="s">
        <v>1540</v>
      </c>
      <c r="X2" s="1242" t="s">
        <v>1543</v>
      </c>
    </row>
    <row r="3" spans="1:24">
      <c r="A3" s="1246" t="s">
        <v>1544</v>
      </c>
      <c r="B3" s="1244" t="s">
        <v>1536</v>
      </c>
      <c r="C3" s="1244" t="s">
        <v>1545</v>
      </c>
      <c r="D3" s="1244" t="s">
        <v>1544</v>
      </c>
      <c r="E3" s="1244" t="s">
        <v>1538</v>
      </c>
      <c r="F3" s="1244">
        <v>26930.7</v>
      </c>
      <c r="G3" s="1244">
        <v>67326.75</v>
      </c>
      <c r="H3" s="1244" t="s">
        <v>1546</v>
      </c>
      <c r="I3" s="1244" t="s">
        <v>1540</v>
      </c>
      <c r="K3" s="1244" t="s">
        <v>1541</v>
      </c>
      <c r="L3" s="1244" t="s">
        <v>1540</v>
      </c>
      <c r="M3" s="1244" t="s">
        <v>1540</v>
      </c>
      <c r="N3" s="1244" t="s">
        <v>1547</v>
      </c>
      <c r="O3" s="1244">
        <v>104356</v>
      </c>
      <c r="P3" s="1244">
        <v>130856</v>
      </c>
      <c r="Q3" s="1244">
        <v>15499.93</v>
      </c>
      <c r="R3" s="1244">
        <v>19435.95</v>
      </c>
      <c r="S3" s="1243">
        <f t="shared" si="0"/>
        <v>48589.899259952399</v>
      </c>
      <c r="T3" s="1244">
        <v>25.39</v>
      </c>
      <c r="U3" s="1244" t="s">
        <v>1540</v>
      </c>
      <c r="V3" s="1244" t="s">
        <v>1540</v>
      </c>
      <c r="W3" s="1244" t="s">
        <v>1540</v>
      </c>
      <c r="X3" s="1244" t="s">
        <v>1548</v>
      </c>
    </row>
    <row r="4" spans="1:24" s="1243" customFormat="1">
      <c r="A4" s="1243" t="s">
        <v>1549</v>
      </c>
      <c r="B4" s="1243" t="s">
        <v>1536</v>
      </c>
      <c r="C4" s="1243" t="s">
        <v>1545</v>
      </c>
      <c r="D4" s="1243" t="s">
        <v>1550</v>
      </c>
      <c r="E4" s="1243" t="s">
        <v>1538</v>
      </c>
      <c r="F4" s="1243">
        <v>34224.400000000001</v>
      </c>
      <c r="G4" s="1243">
        <v>41438.28</v>
      </c>
      <c r="H4" s="1243" t="s">
        <v>1551</v>
      </c>
      <c r="I4" s="1243" t="s">
        <v>1540</v>
      </c>
      <c r="K4" s="1243" t="s">
        <v>1541</v>
      </c>
      <c r="L4" s="1243" t="s">
        <v>1541</v>
      </c>
      <c r="M4" s="1243" t="s">
        <v>1540</v>
      </c>
      <c r="N4" s="1243" t="s">
        <v>1547</v>
      </c>
      <c r="O4" s="1243">
        <v>7484</v>
      </c>
      <c r="P4" s="1243">
        <v>8171</v>
      </c>
      <c r="Q4" s="1243">
        <v>1806.05</v>
      </c>
      <c r="R4" s="1243">
        <v>1971.84</v>
      </c>
      <c r="S4" s="1243">
        <f t="shared" si="0"/>
        <v>2387.4779397155248</v>
      </c>
      <c r="T4" s="1243">
        <v>9.18</v>
      </c>
      <c r="U4" s="1243" t="s">
        <v>1540</v>
      </c>
      <c r="V4" s="1243" t="s">
        <v>1540</v>
      </c>
      <c r="W4" s="1243" t="s">
        <v>1540</v>
      </c>
      <c r="X4" s="1243" t="s">
        <v>1543</v>
      </c>
    </row>
    <row r="5" spans="1:24" s="1243" customFormat="1">
      <c r="A5" s="1247" t="s">
        <v>1552</v>
      </c>
      <c r="B5" s="1243" t="s">
        <v>1536</v>
      </c>
      <c r="C5" s="1243" t="s">
        <v>1537</v>
      </c>
      <c r="D5" s="1243" t="s">
        <v>1552</v>
      </c>
      <c r="E5" s="1243" t="s">
        <v>1538</v>
      </c>
      <c r="F5" s="1243">
        <v>79756.5</v>
      </c>
      <c r="G5" s="1243">
        <v>170351.4</v>
      </c>
      <c r="H5" s="1243" t="s">
        <v>1553</v>
      </c>
      <c r="I5" s="1243" t="s">
        <v>1540</v>
      </c>
      <c r="K5" s="1243" t="s">
        <v>1541</v>
      </c>
      <c r="L5" s="1243" t="s">
        <v>1540</v>
      </c>
      <c r="M5" s="1243" t="s">
        <v>1540</v>
      </c>
      <c r="N5" s="1243" t="s">
        <v>1547</v>
      </c>
      <c r="O5" s="1243">
        <v>206094</v>
      </c>
      <c r="P5" s="1243">
        <v>206094</v>
      </c>
      <c r="Q5" s="1243">
        <v>12098.16</v>
      </c>
      <c r="R5" s="1243">
        <v>12098.17</v>
      </c>
      <c r="S5" s="1243">
        <f t="shared" si="0"/>
        <v>25840.401722743602</v>
      </c>
      <c r="T5" s="1243">
        <v>0</v>
      </c>
      <c r="U5" s="1243" t="s">
        <v>1540</v>
      </c>
      <c r="V5" s="1243" t="s">
        <v>1540</v>
      </c>
      <c r="W5" s="1243" t="s">
        <v>1540</v>
      </c>
      <c r="X5" s="1243" t="s">
        <v>1548</v>
      </c>
    </row>
    <row r="6" spans="1:24" s="1243" customFormat="1">
      <c r="A6" s="1243" t="s">
        <v>1554</v>
      </c>
      <c r="B6" s="1243" t="s">
        <v>1536</v>
      </c>
      <c r="C6" s="1243" t="s">
        <v>1545</v>
      </c>
      <c r="D6" s="1243" t="s">
        <v>1554</v>
      </c>
      <c r="E6" s="1243" t="s">
        <v>1538</v>
      </c>
      <c r="F6" s="1243">
        <v>7161.4</v>
      </c>
      <c r="G6" s="1243">
        <v>7877.54</v>
      </c>
      <c r="H6" s="1243" t="s">
        <v>1555</v>
      </c>
      <c r="I6" s="1243" t="s">
        <v>1540</v>
      </c>
      <c r="K6" s="1243" t="s">
        <v>1540</v>
      </c>
      <c r="L6" s="1243" t="s">
        <v>1540</v>
      </c>
      <c r="M6" s="1243" t="s">
        <v>1540</v>
      </c>
      <c r="N6" s="1243" t="s">
        <v>1556</v>
      </c>
      <c r="O6" s="1243">
        <v>16543</v>
      </c>
      <c r="P6" s="1243">
        <v>16743</v>
      </c>
      <c r="Q6" s="1243">
        <v>21000.2</v>
      </c>
      <c r="R6" s="1243">
        <v>21254.09</v>
      </c>
      <c r="S6" s="1243">
        <f t="shared" si="0"/>
        <v>23379.506800346302</v>
      </c>
      <c r="T6" s="1243">
        <v>1.21</v>
      </c>
      <c r="U6" s="1243" t="s">
        <v>1540</v>
      </c>
      <c r="V6" s="1243" t="s">
        <v>1540</v>
      </c>
      <c r="W6" s="1243" t="s">
        <v>1540</v>
      </c>
      <c r="X6" s="1243" t="s">
        <v>1543</v>
      </c>
    </row>
    <row r="7" spans="1:24" s="1242" customFormat="1">
      <c r="A7" s="1242" t="s">
        <v>1557</v>
      </c>
      <c r="B7" s="1242" t="s">
        <v>1536</v>
      </c>
      <c r="C7" s="1242" t="s">
        <v>1545</v>
      </c>
      <c r="D7" s="1242" t="s">
        <v>1557</v>
      </c>
      <c r="E7" s="1242" t="s">
        <v>1538</v>
      </c>
      <c r="F7" s="1242">
        <v>10063</v>
      </c>
      <c r="G7" s="1242">
        <v>11069.3</v>
      </c>
      <c r="H7" s="1242" t="s">
        <v>1555</v>
      </c>
      <c r="I7" s="1242" t="s">
        <v>1540</v>
      </c>
      <c r="J7" s="1242">
        <f>G7/F7</f>
        <v>1.0999999999999999</v>
      </c>
      <c r="K7" s="1242" t="s">
        <v>1540</v>
      </c>
      <c r="L7" s="1242" t="s">
        <v>1540</v>
      </c>
      <c r="M7" s="1242" t="s">
        <v>1540</v>
      </c>
      <c r="N7" s="1242" t="s">
        <v>1556</v>
      </c>
      <c r="O7" s="1242">
        <v>23246</v>
      </c>
      <c r="P7" s="1242">
        <v>23546</v>
      </c>
      <c r="Q7" s="1242">
        <v>21000.42</v>
      </c>
      <c r="R7" s="1242">
        <f>ROUND(21271.43,0)</f>
        <v>21271</v>
      </c>
      <c r="S7" s="1242">
        <f t="shared" si="0"/>
        <v>23398.588889993043</v>
      </c>
      <c r="T7" s="1242">
        <v>1.29</v>
      </c>
      <c r="U7" s="1242" t="s">
        <v>1540</v>
      </c>
      <c r="V7" s="1242" t="s">
        <v>1540</v>
      </c>
      <c r="W7" s="1242" t="s">
        <v>1540</v>
      </c>
      <c r="X7" s="1242" t="s">
        <v>1543</v>
      </c>
    </row>
    <row r="8" spans="1:24">
      <c r="A8" s="1244" t="s">
        <v>1558</v>
      </c>
      <c r="B8" s="1244" t="s">
        <v>1536</v>
      </c>
      <c r="C8" s="1244" t="s">
        <v>1545</v>
      </c>
      <c r="D8" s="1244" t="s">
        <v>1558</v>
      </c>
      <c r="E8" s="1244" t="s">
        <v>1538</v>
      </c>
      <c r="F8" s="1244">
        <v>10219</v>
      </c>
      <c r="G8" s="1244">
        <v>13284.7</v>
      </c>
      <c r="H8" s="1244" t="s">
        <v>1559</v>
      </c>
      <c r="I8" s="1244" t="s">
        <v>1540</v>
      </c>
      <c r="K8" s="1244" t="s">
        <v>1540</v>
      </c>
      <c r="L8" s="1244" t="s">
        <v>1540</v>
      </c>
      <c r="M8" s="1244" t="s">
        <v>1540</v>
      </c>
      <c r="N8" s="1244" t="s">
        <v>1556</v>
      </c>
      <c r="O8" s="1244">
        <v>27898</v>
      </c>
      <c r="P8" s="1244">
        <v>27898</v>
      </c>
      <c r="Q8" s="1244">
        <v>21000.09</v>
      </c>
      <c r="R8" s="1244">
        <v>21000.09</v>
      </c>
      <c r="S8" s="1243">
        <f t="shared" si="0"/>
        <v>27300.127214013115</v>
      </c>
      <c r="T8" s="1244">
        <v>0</v>
      </c>
      <c r="U8" s="1244" t="s">
        <v>1540</v>
      </c>
      <c r="V8" s="1244" t="s">
        <v>1540</v>
      </c>
      <c r="W8" s="1244" t="s">
        <v>1540</v>
      </c>
      <c r="X8" s="1244" t="s">
        <v>1543</v>
      </c>
    </row>
    <row r="9" spans="1:24">
      <c r="A9" s="1244" t="s">
        <v>1560</v>
      </c>
      <c r="B9" s="1244" t="s">
        <v>1536</v>
      </c>
      <c r="C9" s="1244" t="s">
        <v>1545</v>
      </c>
      <c r="D9" s="1244" t="s">
        <v>1560</v>
      </c>
      <c r="E9" s="1244" t="s">
        <v>1538</v>
      </c>
      <c r="F9" s="1244">
        <v>10043.9</v>
      </c>
      <c r="G9" s="1244">
        <v>18079.02</v>
      </c>
      <c r="H9" s="1244" t="s">
        <v>1561</v>
      </c>
      <c r="I9" s="1244" t="s">
        <v>1540</v>
      </c>
      <c r="K9" s="1244" t="s">
        <v>1541</v>
      </c>
      <c r="L9" s="1244" t="s">
        <v>1540</v>
      </c>
      <c r="M9" s="1244" t="s">
        <v>1540</v>
      </c>
      <c r="N9" s="1244" t="s">
        <v>1562</v>
      </c>
      <c r="O9" s="1244">
        <v>30132</v>
      </c>
      <c r="P9" s="1244">
        <v>42166</v>
      </c>
      <c r="Q9" s="1244">
        <v>16666.830000000002</v>
      </c>
      <c r="R9" s="1244">
        <v>23323.16</v>
      </c>
      <c r="S9" s="1243">
        <f t="shared" si="0"/>
        <v>41981.700335527043</v>
      </c>
      <c r="T9" s="1244">
        <v>39.94</v>
      </c>
      <c r="U9" s="1244" t="s">
        <v>1540</v>
      </c>
      <c r="V9" s="1244" t="s">
        <v>1540</v>
      </c>
      <c r="W9" s="1244" t="s">
        <v>1540</v>
      </c>
      <c r="X9" s="1244" t="s">
        <v>1543</v>
      </c>
    </row>
    <row r="10" spans="1:24">
      <c r="A10" s="1244" t="s">
        <v>1563</v>
      </c>
      <c r="B10" s="1244" t="s">
        <v>1536</v>
      </c>
      <c r="C10" s="1244" t="s">
        <v>1545</v>
      </c>
      <c r="D10" s="1244" t="s">
        <v>1563</v>
      </c>
      <c r="E10" s="1244" t="s">
        <v>1538</v>
      </c>
      <c r="F10" s="1244">
        <v>5156.7</v>
      </c>
      <c r="G10" s="1244">
        <v>5672.37</v>
      </c>
      <c r="H10" s="1244" t="s">
        <v>1555</v>
      </c>
      <c r="I10" s="1244" t="s">
        <v>1540</v>
      </c>
      <c r="K10" s="1244" t="s">
        <v>1541</v>
      </c>
      <c r="L10" s="1244" t="s">
        <v>1540</v>
      </c>
      <c r="M10" s="1244" t="s">
        <v>1540</v>
      </c>
      <c r="N10" s="1244" t="s">
        <v>1562</v>
      </c>
      <c r="O10" s="1244">
        <v>9454</v>
      </c>
      <c r="P10" s="1244">
        <v>11554</v>
      </c>
      <c r="Q10" s="1244">
        <v>16666.75</v>
      </c>
      <c r="R10" s="1244">
        <v>20368.900000000001</v>
      </c>
      <c r="S10" s="1243">
        <f t="shared" si="0"/>
        <v>22405.802160296316</v>
      </c>
      <c r="T10" s="1244">
        <v>22.21</v>
      </c>
      <c r="U10" s="1244" t="s">
        <v>1540</v>
      </c>
      <c r="V10" s="1244" t="s">
        <v>1540</v>
      </c>
      <c r="W10" s="1244" t="s">
        <v>1540</v>
      </c>
      <c r="X10" s="1244" t="s">
        <v>1543</v>
      </c>
    </row>
    <row r="11" spans="1:24">
      <c r="A11" s="1246" t="s">
        <v>1564</v>
      </c>
      <c r="B11" s="1244" t="s">
        <v>1536</v>
      </c>
      <c r="C11" s="1244" t="s">
        <v>1545</v>
      </c>
      <c r="D11" s="1244" t="s">
        <v>1564</v>
      </c>
      <c r="E11" s="1244" t="s">
        <v>1538</v>
      </c>
      <c r="F11" s="1244">
        <v>56745.7</v>
      </c>
      <c r="G11" s="1244">
        <v>141864.29999999999</v>
      </c>
      <c r="H11" s="1244" t="s">
        <v>1565</v>
      </c>
      <c r="I11" s="1244" t="s">
        <v>1540</v>
      </c>
      <c r="K11" s="1244" t="s">
        <v>1541</v>
      </c>
      <c r="L11" s="1244" t="s">
        <v>1540</v>
      </c>
      <c r="M11" s="1244" t="s">
        <v>1540</v>
      </c>
      <c r="N11" s="1244" t="s">
        <v>1562</v>
      </c>
      <c r="O11" s="1244">
        <v>235495</v>
      </c>
      <c r="P11" s="1244">
        <v>285495</v>
      </c>
      <c r="Q11" s="1244">
        <v>16600.009999999998</v>
      </c>
      <c r="R11" s="1244">
        <v>20124.5</v>
      </c>
      <c r="S11" s="1243">
        <f t="shared" si="0"/>
        <v>50311.301120613549</v>
      </c>
      <c r="T11" s="1244">
        <v>21.23</v>
      </c>
      <c r="U11" s="1244" t="s">
        <v>1540</v>
      </c>
      <c r="V11" s="1244" t="s">
        <v>1540</v>
      </c>
      <c r="W11" s="1244" t="s">
        <v>1540</v>
      </c>
      <c r="X11" s="1244" t="s">
        <v>1548</v>
      </c>
    </row>
    <row r="12" spans="1:24">
      <c r="A12" s="1244" t="s">
        <v>1566</v>
      </c>
      <c r="B12" s="1244" t="s">
        <v>1536</v>
      </c>
      <c r="C12" s="1244" t="s">
        <v>1545</v>
      </c>
      <c r="D12" s="1244" t="s">
        <v>1566</v>
      </c>
      <c r="E12" s="1244" t="s">
        <v>1538</v>
      </c>
      <c r="F12" s="1244">
        <v>37909.1</v>
      </c>
      <c r="G12" s="1244">
        <v>22745.46</v>
      </c>
      <c r="H12" s="1244" t="s">
        <v>1567</v>
      </c>
      <c r="I12" s="1244" t="s">
        <v>1540</v>
      </c>
      <c r="K12" s="1244" t="s">
        <v>1541</v>
      </c>
      <c r="L12" s="1244" t="s">
        <v>1540</v>
      </c>
      <c r="M12" s="1244" t="s">
        <v>1540</v>
      </c>
      <c r="N12" s="1244" t="s">
        <v>1562</v>
      </c>
      <c r="O12" s="1244">
        <v>68236</v>
      </c>
      <c r="P12" s="1244">
        <v>98185</v>
      </c>
      <c r="Q12" s="1244">
        <v>29999.83</v>
      </c>
      <c r="R12" s="1244">
        <v>43166.86</v>
      </c>
      <c r="S12" s="1243">
        <f t="shared" si="0"/>
        <v>25900.113693018302</v>
      </c>
      <c r="T12" s="1244">
        <v>43.89</v>
      </c>
      <c r="U12" s="1244" t="s">
        <v>1540</v>
      </c>
      <c r="V12" s="1244" t="s">
        <v>1540</v>
      </c>
      <c r="W12" s="1244" t="s">
        <v>1540</v>
      </c>
      <c r="X12" s="1244" t="s">
        <v>1543</v>
      </c>
    </row>
    <row r="13" spans="1:24">
      <c r="A13" s="1244" t="s">
        <v>1568</v>
      </c>
      <c r="B13" s="1244" t="s">
        <v>1536</v>
      </c>
      <c r="C13" s="1244" t="s">
        <v>1537</v>
      </c>
      <c r="D13" s="1244" t="s">
        <v>1568</v>
      </c>
      <c r="E13" s="1244" t="s">
        <v>1538</v>
      </c>
      <c r="F13" s="1244">
        <v>25801.1</v>
      </c>
      <c r="G13" s="1244">
        <v>64502.75</v>
      </c>
      <c r="H13" s="1244" t="s">
        <v>1565</v>
      </c>
      <c r="I13" s="1244" t="s">
        <v>1540</v>
      </c>
      <c r="K13" s="1244" t="s">
        <v>1540</v>
      </c>
      <c r="L13" s="1244" t="s">
        <v>1540</v>
      </c>
      <c r="M13" s="1244" t="s">
        <v>1540</v>
      </c>
      <c r="N13" s="1244" t="s">
        <v>1569</v>
      </c>
      <c r="O13" s="1244">
        <v>57813</v>
      </c>
      <c r="P13" s="1244">
        <v>57813</v>
      </c>
      <c r="Q13" s="1244">
        <v>8962.8700000000008</v>
      </c>
      <c r="R13" s="1244">
        <v>8962.8700000000008</v>
      </c>
      <c r="S13" s="1243">
        <f t="shared" si="0"/>
        <v>22407.184189821368</v>
      </c>
      <c r="T13" s="1244">
        <v>0</v>
      </c>
      <c r="U13" s="1244" t="s">
        <v>1540</v>
      </c>
      <c r="V13" s="1244" t="s">
        <v>1540</v>
      </c>
      <c r="W13" s="1244" t="s">
        <v>1540</v>
      </c>
      <c r="X13" s="1244" t="s">
        <v>1543</v>
      </c>
    </row>
    <row r="14" spans="1:24">
      <c r="A14" s="1244" t="s">
        <v>1570</v>
      </c>
      <c r="B14" s="1244" t="s">
        <v>1536</v>
      </c>
      <c r="C14" s="1244" t="s">
        <v>1545</v>
      </c>
      <c r="D14" s="1244" t="s">
        <v>1570</v>
      </c>
      <c r="E14" s="1244" t="s">
        <v>1538</v>
      </c>
      <c r="F14" s="1244">
        <v>45405.599999999999</v>
      </c>
      <c r="G14" s="1244">
        <v>31783.919999999998</v>
      </c>
      <c r="H14" s="1244" t="s">
        <v>1571</v>
      </c>
      <c r="I14" s="1244" t="s">
        <v>1540</v>
      </c>
      <c r="K14" s="1244" t="s">
        <v>1540</v>
      </c>
      <c r="L14" s="1244" t="s">
        <v>1540</v>
      </c>
      <c r="M14" s="1244" t="s">
        <v>1540</v>
      </c>
      <c r="N14" s="1244" t="s">
        <v>1572</v>
      </c>
      <c r="O14" s="1244">
        <v>69289</v>
      </c>
      <c r="P14" s="1244">
        <v>91731</v>
      </c>
      <c r="Q14" s="1244">
        <v>21800.01</v>
      </c>
      <c r="R14" s="1244">
        <v>28860.81</v>
      </c>
      <c r="S14" s="1243">
        <f t="shared" si="0"/>
        <v>20202.574131825149</v>
      </c>
      <c r="T14" s="1244">
        <v>32.39</v>
      </c>
      <c r="U14" s="1244" t="s">
        <v>1540</v>
      </c>
      <c r="V14" s="1244" t="s">
        <v>1540</v>
      </c>
      <c r="W14" s="1244" t="s">
        <v>1540</v>
      </c>
      <c r="X14" s="1244" t="s">
        <v>1573</v>
      </c>
    </row>
    <row r="15" spans="1:24">
      <c r="A15" s="1244" t="s">
        <v>1574</v>
      </c>
      <c r="B15" s="1244" t="s">
        <v>1536</v>
      </c>
      <c r="C15" s="1244" t="s">
        <v>1537</v>
      </c>
      <c r="D15" s="1244" t="s">
        <v>1574</v>
      </c>
      <c r="E15" s="1244" t="s">
        <v>1538</v>
      </c>
      <c r="F15" s="1244">
        <v>38556.800000000003</v>
      </c>
      <c r="G15" s="1244">
        <v>26989.759999999998</v>
      </c>
      <c r="H15" s="1244" t="s">
        <v>1571</v>
      </c>
      <c r="I15" s="1244" t="s">
        <v>1540</v>
      </c>
      <c r="K15" s="1244" t="s">
        <v>1540</v>
      </c>
      <c r="L15" s="1244" t="s">
        <v>1540</v>
      </c>
      <c r="M15" s="1244" t="s">
        <v>1540</v>
      </c>
      <c r="N15" s="1244" t="s">
        <v>1572</v>
      </c>
      <c r="O15" s="1244">
        <v>58028</v>
      </c>
      <c r="P15" s="1244">
        <v>76951</v>
      </c>
      <c r="Q15" s="1244">
        <v>21500</v>
      </c>
      <c r="R15" s="1244">
        <v>28511.18</v>
      </c>
      <c r="S15" s="1243">
        <f t="shared" si="0"/>
        <v>19957.828450493816</v>
      </c>
      <c r="T15" s="1244">
        <v>32.61</v>
      </c>
      <c r="U15" s="1244" t="s">
        <v>1540</v>
      </c>
      <c r="V15" s="1244" t="s">
        <v>1540</v>
      </c>
      <c r="W15" s="1244" t="s">
        <v>1540</v>
      </c>
      <c r="X15" s="1244" t="s">
        <v>1548</v>
      </c>
    </row>
    <row r="16" spans="1:24">
      <c r="A16" s="1244" t="s">
        <v>1575</v>
      </c>
      <c r="B16" s="1244" t="s">
        <v>1536</v>
      </c>
      <c r="C16" s="1244" t="s">
        <v>1545</v>
      </c>
      <c r="D16" s="1244" t="s">
        <v>1575</v>
      </c>
      <c r="E16" s="1244" t="s">
        <v>1538</v>
      </c>
      <c r="F16" s="1244">
        <v>19533</v>
      </c>
      <c r="G16" s="1244">
        <v>20509.650000000001</v>
      </c>
      <c r="H16" s="1244" t="s">
        <v>1576</v>
      </c>
      <c r="I16" s="1244" t="s">
        <v>1540</v>
      </c>
      <c r="K16" s="1244" t="s">
        <v>1540</v>
      </c>
      <c r="L16" s="1244" t="s">
        <v>1540</v>
      </c>
      <c r="M16" s="1244" t="s">
        <v>1540</v>
      </c>
      <c r="N16" s="1244" t="s">
        <v>1577</v>
      </c>
      <c r="O16" s="1244">
        <v>39686</v>
      </c>
      <c r="P16" s="1244">
        <v>57949</v>
      </c>
      <c r="Q16" s="1244">
        <v>19349.91</v>
      </c>
      <c r="R16" s="1244">
        <v>28254.5</v>
      </c>
      <c r="S16" s="1243">
        <f t="shared" si="0"/>
        <v>29667.229816208466</v>
      </c>
      <c r="T16" s="1244">
        <v>46.02</v>
      </c>
      <c r="U16" s="1244" t="s">
        <v>1540</v>
      </c>
      <c r="V16" s="1244" t="s">
        <v>1540</v>
      </c>
      <c r="W16" s="1244" t="s">
        <v>1540</v>
      </c>
      <c r="X16" s="1244" t="s">
        <v>1543</v>
      </c>
    </row>
    <row r="17" spans="1:24" s="1242" customFormat="1">
      <c r="A17" s="1242" t="s">
        <v>1578</v>
      </c>
      <c r="B17" s="1242" t="s">
        <v>1536</v>
      </c>
      <c r="C17" s="1242" t="s">
        <v>1537</v>
      </c>
      <c r="D17" s="1242" t="s">
        <v>1578</v>
      </c>
      <c r="E17" s="1242" t="s">
        <v>1538</v>
      </c>
      <c r="F17" s="1242">
        <v>40894.400000000001</v>
      </c>
      <c r="G17" s="1242">
        <v>100119</v>
      </c>
      <c r="H17" s="1242" t="s">
        <v>1579</v>
      </c>
      <c r="I17" s="1242" t="s">
        <v>1540</v>
      </c>
      <c r="J17" s="1242">
        <f>ROUND(G17/F17,2)</f>
        <v>2.4500000000000002</v>
      </c>
      <c r="K17" s="1242" t="s">
        <v>1540</v>
      </c>
      <c r="L17" s="1242" t="s">
        <v>1540</v>
      </c>
      <c r="M17" s="1242" t="s">
        <v>1540</v>
      </c>
      <c r="N17" s="1242" t="s">
        <v>1580</v>
      </c>
      <c r="O17" s="1242">
        <v>123006</v>
      </c>
      <c r="P17" s="1242">
        <v>175006</v>
      </c>
      <c r="Q17" s="1242">
        <v>12285.97</v>
      </c>
      <c r="R17" s="1242">
        <f>ROUND(17479.79,0)</f>
        <v>17480</v>
      </c>
      <c r="S17" s="1242">
        <f t="shared" si="0"/>
        <v>42794.612465276412</v>
      </c>
      <c r="T17" s="1242">
        <v>42.27</v>
      </c>
      <c r="U17" s="1242" t="s">
        <v>1540</v>
      </c>
      <c r="V17" s="1242" t="s">
        <v>1540</v>
      </c>
      <c r="W17" s="1242" t="s">
        <v>1540</v>
      </c>
      <c r="X17" s="1242" t="s">
        <v>1543</v>
      </c>
    </row>
    <row r="18" spans="1:24">
      <c r="A18" s="1244" t="s">
        <v>1581</v>
      </c>
      <c r="B18" s="1244" t="s">
        <v>1536</v>
      </c>
      <c r="C18" s="1244" t="s">
        <v>1537</v>
      </c>
      <c r="D18" s="1244" t="s">
        <v>1582</v>
      </c>
      <c r="E18" s="1244" t="s">
        <v>1538</v>
      </c>
      <c r="F18" s="1244">
        <v>84198.5</v>
      </c>
      <c r="G18" s="1244">
        <v>53338.3</v>
      </c>
      <c r="H18" s="1244" t="s">
        <v>1583</v>
      </c>
      <c r="I18" s="1244" t="s">
        <v>1540</v>
      </c>
      <c r="K18" s="1244" t="s">
        <v>1540</v>
      </c>
      <c r="L18" s="1244" t="s">
        <v>1540</v>
      </c>
      <c r="M18" s="1244" t="s">
        <v>1540</v>
      </c>
      <c r="N18" s="1244" t="s">
        <v>1584</v>
      </c>
      <c r="O18" s="1244">
        <v>114161</v>
      </c>
      <c r="P18" s="1244">
        <v>206661</v>
      </c>
      <c r="Q18" s="1244">
        <v>21403.19</v>
      </c>
      <c r="R18" s="1244">
        <v>38745.33</v>
      </c>
      <c r="S18" s="1243">
        <f t="shared" si="0"/>
        <v>24544.499011265045</v>
      </c>
      <c r="T18" s="1244">
        <v>81.03</v>
      </c>
      <c r="U18" s="1244" t="s">
        <v>1540</v>
      </c>
      <c r="V18" s="1244" t="s">
        <v>1540</v>
      </c>
      <c r="W18" s="1244" t="s">
        <v>1540</v>
      </c>
      <c r="X18" s="1244" t="s">
        <v>1543</v>
      </c>
    </row>
    <row r="19" spans="1:24">
      <c r="A19" s="1244" t="s">
        <v>1585</v>
      </c>
      <c r="B19" s="1244" t="s">
        <v>1536</v>
      </c>
      <c r="C19" s="1244" t="s">
        <v>1545</v>
      </c>
      <c r="D19" s="1244" t="s">
        <v>1585</v>
      </c>
      <c r="E19" s="1244" t="s">
        <v>1538</v>
      </c>
      <c r="F19" s="1244">
        <v>41544.699999999997</v>
      </c>
      <c r="G19" s="1244">
        <v>45699.17</v>
      </c>
      <c r="H19" s="1244" t="s">
        <v>1586</v>
      </c>
      <c r="I19" s="1244" t="s">
        <v>1540</v>
      </c>
      <c r="K19" s="1244" t="s">
        <v>1540</v>
      </c>
      <c r="L19" s="1244" t="s">
        <v>1540</v>
      </c>
      <c r="M19" s="1244" t="s">
        <v>1540</v>
      </c>
      <c r="N19" s="1244" t="s">
        <v>1584</v>
      </c>
      <c r="O19" s="1244">
        <v>68549</v>
      </c>
      <c r="P19" s="1244">
        <v>139388</v>
      </c>
      <c r="Q19" s="1244">
        <v>15000.05</v>
      </c>
      <c r="R19" s="1244">
        <v>30501.200000000001</v>
      </c>
      <c r="S19" s="1243">
        <f t="shared" si="0"/>
        <v>33551.331457442226</v>
      </c>
      <c r="T19" s="1244">
        <v>103.34</v>
      </c>
      <c r="U19" s="1244" t="s">
        <v>1540</v>
      </c>
      <c r="V19" s="1244" t="s">
        <v>1540</v>
      </c>
      <c r="W19" s="1244" t="s">
        <v>1540</v>
      </c>
      <c r="X19" s="1244" t="s">
        <v>1543</v>
      </c>
    </row>
    <row r="20" spans="1:24">
      <c r="A20" s="1244" t="s">
        <v>1587</v>
      </c>
      <c r="B20" s="1244" t="s">
        <v>1536</v>
      </c>
      <c r="C20" s="1244" t="s">
        <v>1537</v>
      </c>
      <c r="D20" s="1244" t="s">
        <v>1587</v>
      </c>
      <c r="E20" s="1244" t="s">
        <v>1538</v>
      </c>
      <c r="F20" s="1244">
        <v>18129.8</v>
      </c>
      <c r="G20" s="1244">
        <v>15409.46</v>
      </c>
      <c r="H20" s="1244" t="s">
        <v>1588</v>
      </c>
      <c r="I20" s="1244" t="s">
        <v>1540</v>
      </c>
      <c r="K20" s="1244" t="s">
        <v>1540</v>
      </c>
      <c r="L20" s="1244" t="s">
        <v>1540</v>
      </c>
      <c r="M20" s="1244" t="s">
        <v>1540</v>
      </c>
      <c r="N20" s="1244" t="s">
        <v>1584</v>
      </c>
      <c r="O20" s="1244">
        <v>32597</v>
      </c>
      <c r="P20" s="1244">
        <v>53597</v>
      </c>
      <c r="Q20" s="1244">
        <v>21153.88</v>
      </c>
      <c r="R20" s="1244">
        <v>34781.870000000003</v>
      </c>
      <c r="S20" s="1243">
        <f t="shared" si="0"/>
        <v>29562.929541417998</v>
      </c>
      <c r="T20" s="1244">
        <v>64.42</v>
      </c>
      <c r="U20" s="1244" t="s">
        <v>1540</v>
      </c>
      <c r="V20" s="1244" t="s">
        <v>1540</v>
      </c>
      <c r="W20" s="1244" t="s">
        <v>1540</v>
      </c>
      <c r="X20" s="1244" t="s">
        <v>1543</v>
      </c>
    </row>
    <row r="21" spans="1:24">
      <c r="A21" s="1244" t="s">
        <v>1589</v>
      </c>
      <c r="B21" s="1244" t="s">
        <v>1536</v>
      </c>
      <c r="C21" s="1244" t="s">
        <v>1545</v>
      </c>
      <c r="D21" s="1244" t="s">
        <v>1589</v>
      </c>
      <c r="E21" s="1244" t="s">
        <v>1538</v>
      </c>
      <c r="F21" s="1244">
        <v>14868.2</v>
      </c>
      <c r="G21" s="1244">
        <v>14868.2</v>
      </c>
      <c r="H21" s="1244" t="s">
        <v>1590</v>
      </c>
      <c r="I21" s="1244" t="s">
        <v>1540</v>
      </c>
      <c r="K21" s="1244" t="s">
        <v>1540</v>
      </c>
      <c r="L21" s="1244" t="s">
        <v>1540</v>
      </c>
      <c r="M21" s="1244" t="s">
        <v>1540</v>
      </c>
      <c r="N21" s="1244" t="s">
        <v>1591</v>
      </c>
      <c r="O21" s="1244">
        <v>26763</v>
      </c>
      <c r="P21" s="1244">
        <v>42763</v>
      </c>
      <c r="Q21" s="1244">
        <v>18000.16</v>
      </c>
      <c r="R21" s="1244">
        <v>28761.38</v>
      </c>
      <c r="S21" s="1243">
        <f t="shared" si="0"/>
        <v>28761.383355079965</v>
      </c>
      <c r="T21" s="1244">
        <v>59.78</v>
      </c>
      <c r="U21" s="1244" t="s">
        <v>1540</v>
      </c>
      <c r="V21" s="1244" t="s">
        <v>1540</v>
      </c>
      <c r="W21" s="1244" t="s">
        <v>1540</v>
      </c>
      <c r="X21" s="1244" t="s">
        <v>1543</v>
      </c>
    </row>
    <row r="22" spans="1:24">
      <c r="A22" s="1244" t="s">
        <v>1592</v>
      </c>
      <c r="B22" s="1244" t="s">
        <v>1536</v>
      </c>
      <c r="C22" s="1244" t="s">
        <v>1545</v>
      </c>
      <c r="D22" s="1244" t="s">
        <v>1592</v>
      </c>
      <c r="E22" s="1244" t="s">
        <v>1538</v>
      </c>
      <c r="F22" s="1244">
        <v>36767.300000000003</v>
      </c>
      <c r="G22" s="1244">
        <v>66181.14</v>
      </c>
      <c r="H22" s="1244" t="s">
        <v>1593</v>
      </c>
      <c r="I22" s="1244" t="s">
        <v>1540</v>
      </c>
      <c r="K22" s="1244" t="s">
        <v>1540</v>
      </c>
      <c r="L22" s="1244" t="s">
        <v>1540</v>
      </c>
      <c r="M22" s="1244" t="s">
        <v>1540</v>
      </c>
      <c r="N22" s="1244" t="s">
        <v>1591</v>
      </c>
      <c r="O22" s="1244">
        <v>73535</v>
      </c>
      <c r="P22" s="1244">
        <v>171535</v>
      </c>
      <c r="Q22" s="1244">
        <v>11111.17</v>
      </c>
      <c r="R22" s="1244">
        <v>25919.02</v>
      </c>
      <c r="S22" s="1243">
        <f t="shared" si="0"/>
        <v>46654.228077666834</v>
      </c>
      <c r="T22" s="1244">
        <v>133.27000000000001</v>
      </c>
      <c r="U22" s="1244" t="s">
        <v>1540</v>
      </c>
      <c r="V22" s="1244" t="s">
        <v>1540</v>
      </c>
      <c r="W22" s="1244" t="s">
        <v>1540</v>
      </c>
      <c r="X22" s="1244" t="s">
        <v>1543</v>
      </c>
    </row>
    <row r="23" spans="1:24">
      <c r="A23" s="1244" t="s">
        <v>1594</v>
      </c>
      <c r="B23" s="1244" t="s">
        <v>1536</v>
      </c>
      <c r="C23" s="1244" t="s">
        <v>1545</v>
      </c>
      <c r="D23" s="1244" t="s">
        <v>1594</v>
      </c>
      <c r="E23" s="1244" t="s">
        <v>1538</v>
      </c>
      <c r="F23" s="1244">
        <v>84737.600000000006</v>
      </c>
      <c r="G23" s="1244">
        <v>116623</v>
      </c>
      <c r="H23" s="1244" t="s">
        <v>1595</v>
      </c>
      <c r="I23" s="1244" t="s">
        <v>1540</v>
      </c>
      <c r="K23" s="1244" t="s">
        <v>1540</v>
      </c>
      <c r="L23" s="1244" t="s">
        <v>1540</v>
      </c>
      <c r="M23" s="1244" t="s">
        <v>1540</v>
      </c>
      <c r="N23" s="1244" t="s">
        <v>1591</v>
      </c>
      <c r="O23" s="1244">
        <v>132593</v>
      </c>
      <c r="P23" s="1244">
        <v>303593</v>
      </c>
      <c r="Q23" s="1244">
        <v>11369.37</v>
      </c>
      <c r="R23" s="1244">
        <v>26032</v>
      </c>
      <c r="S23" s="1243">
        <f t="shared" si="0"/>
        <v>35827.424897566132</v>
      </c>
      <c r="T23" s="1244">
        <v>128.97</v>
      </c>
      <c r="U23" s="1244" t="s">
        <v>1540</v>
      </c>
      <c r="V23" s="1244" t="s">
        <v>1540</v>
      </c>
      <c r="W23" s="1244" t="s">
        <v>1540</v>
      </c>
      <c r="X23" s="1244" t="s">
        <v>1543</v>
      </c>
    </row>
    <row r="182" spans="7:8">
      <c r="G182" s="1246" t="s">
        <v>1596</v>
      </c>
    </row>
    <row r="183" spans="7:8">
      <c r="G183" s="1248" t="s">
        <v>1597</v>
      </c>
      <c r="H183" s="1244">
        <v>1.51</v>
      </c>
    </row>
    <row r="184" spans="7:8">
      <c r="G184" s="1248" t="s">
        <v>1598</v>
      </c>
      <c r="H184" s="1244">
        <v>1</v>
      </c>
    </row>
    <row r="185" spans="7:8">
      <c r="G185" s="1248" t="s">
        <v>1599</v>
      </c>
      <c r="H185" s="1244">
        <v>1</v>
      </c>
    </row>
    <row r="186" spans="7:8">
      <c r="G186" s="1248" t="s">
        <v>1600</v>
      </c>
      <c r="H186" s="1244">
        <v>0.89</v>
      </c>
    </row>
    <row r="187" spans="7:8">
      <c r="G187" s="1248" t="s">
        <v>1601</v>
      </c>
      <c r="H187" s="1244">
        <v>0.81</v>
      </c>
    </row>
    <row r="188" spans="7:8">
      <c r="G188" s="1248"/>
      <c r="H188" s="1244">
        <f>(H183+H184+H185+H186+H187)/4</f>
        <v>1.3024999999999998</v>
      </c>
    </row>
    <row r="189" spans="7:8">
      <c r="G189" s="1248"/>
    </row>
    <row r="190" spans="7:8">
      <c r="G190" s="1248"/>
    </row>
    <row r="191" spans="7:8">
      <c r="G191" s="1248"/>
    </row>
    <row r="192" spans="7:8">
      <c r="G192" s="1248"/>
    </row>
    <row r="193" spans="7:11">
      <c r="G193" s="1248"/>
    </row>
    <row r="194" spans="7:11">
      <c r="G194" s="1248"/>
    </row>
    <row r="208" spans="7:11">
      <c r="K208" s="1246" t="s">
        <v>1602</v>
      </c>
    </row>
    <row r="209" spans="8:8">
      <c r="H209" s="1246" t="s">
        <v>1602</v>
      </c>
    </row>
    <row r="225" spans="8:11">
      <c r="H225" s="1246" t="s">
        <v>1603</v>
      </c>
    </row>
    <row r="226" spans="8:11">
      <c r="K226" s="1246" t="s">
        <v>1603</v>
      </c>
    </row>
  </sheetData>
  <phoneticPr fontId="231" type="noConversion"/>
  <pageMargins left="0.75" right="0.75" top="1" bottom="1" header="0.5" footer="0.5"/>
  <pageSetup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162" customWidth="1"/>
    <col min="2" max="9" width="8.21875" style="1161" customWidth="1"/>
    <col min="10" max="13" width="8.21875" style="1162"/>
    <col min="14" max="14" width="10" style="1162" customWidth="1"/>
    <col min="15" max="16" width="8.21875" style="1162"/>
    <col min="17" max="17" width="34.109375" style="1162" customWidth="1"/>
    <col min="18" max="18" width="8.21875" style="1162" customWidth="1"/>
    <col min="19" max="19" width="8.21875" style="1162"/>
    <col min="20" max="20" width="11.6640625" style="1162" customWidth="1"/>
    <col min="21" max="16384" width="8.21875" style="1162"/>
  </cols>
  <sheetData>
    <row r="1" spans="1:13" ht="19.5" customHeight="1">
      <c r="A1" s="1198" t="s">
        <v>219</v>
      </c>
      <c r="B1" s="1192" t="s">
        <v>242</v>
      </c>
      <c r="C1" s="1192" t="s">
        <v>255</v>
      </c>
      <c r="D1" s="1192" t="s">
        <v>267</v>
      </c>
      <c r="E1" s="1192" t="s">
        <v>277</v>
      </c>
      <c r="F1" s="1192" t="s">
        <v>286</v>
      </c>
      <c r="G1" s="1192" t="s">
        <v>294</v>
      </c>
      <c r="H1" s="1192" t="s">
        <v>299</v>
      </c>
      <c r="I1" s="1192" t="s">
        <v>304</v>
      </c>
      <c r="J1" s="1192" t="s">
        <v>307</v>
      </c>
      <c r="K1" s="1192" t="s">
        <v>310</v>
      </c>
      <c r="L1" s="1192" t="s">
        <v>313</v>
      </c>
      <c r="M1" s="1194" t="s">
        <v>316</v>
      </c>
    </row>
    <row r="2" spans="1:13" ht="19.5" customHeight="1">
      <c r="A2" s="1199" t="s">
        <v>380</v>
      </c>
      <c r="B2" s="1200">
        <v>3.5</v>
      </c>
      <c r="C2" s="1200">
        <v>3.5</v>
      </c>
      <c r="D2" s="1201">
        <v>2.5</v>
      </c>
      <c r="E2" s="1201">
        <v>2.5</v>
      </c>
      <c r="F2" s="1201">
        <v>2.5</v>
      </c>
      <c r="G2" s="1201">
        <v>2.5</v>
      </c>
      <c r="H2" s="1201">
        <v>2.5</v>
      </c>
      <c r="I2" s="1200">
        <v>2</v>
      </c>
      <c r="J2" s="1200">
        <v>2</v>
      </c>
      <c r="K2" s="1200">
        <v>2</v>
      </c>
      <c r="L2" s="1200">
        <v>2</v>
      </c>
      <c r="M2" s="1232">
        <v>2</v>
      </c>
    </row>
    <row r="3" spans="1:13" ht="19.5" customHeight="1">
      <c r="A3" s="1202" t="s">
        <v>381</v>
      </c>
      <c r="B3" s="1203">
        <v>3.5</v>
      </c>
      <c r="C3" s="1203">
        <v>3.5</v>
      </c>
      <c r="D3" s="1204">
        <v>2.5</v>
      </c>
      <c r="E3" s="1204">
        <v>2.5</v>
      </c>
      <c r="F3" s="1204">
        <v>2.5</v>
      </c>
      <c r="G3" s="1204">
        <v>2.5</v>
      </c>
      <c r="H3" s="1204">
        <v>2.5</v>
      </c>
      <c r="I3" s="1203">
        <v>2</v>
      </c>
      <c r="J3" s="1203">
        <v>2</v>
      </c>
      <c r="K3" s="1203">
        <v>2</v>
      </c>
      <c r="L3" s="1203">
        <v>2</v>
      </c>
      <c r="M3" s="1233">
        <v>2</v>
      </c>
    </row>
    <row r="4" spans="1:13" ht="19.5" customHeight="1">
      <c r="A4" s="1202" t="s">
        <v>379</v>
      </c>
      <c r="B4" s="1204">
        <v>2.5</v>
      </c>
      <c r="C4" s="1204">
        <v>2.5</v>
      </c>
      <c r="D4" s="1204">
        <v>2.5</v>
      </c>
      <c r="E4" s="1204">
        <v>2.5</v>
      </c>
      <c r="F4" s="1204">
        <v>2.5</v>
      </c>
      <c r="G4" s="1204">
        <v>2.5</v>
      </c>
      <c r="H4" s="1204">
        <v>2.5</v>
      </c>
      <c r="I4" s="1203">
        <v>1.5</v>
      </c>
      <c r="J4" s="1203">
        <v>1.5</v>
      </c>
      <c r="K4" s="1203">
        <v>1.5</v>
      </c>
      <c r="L4" s="1203">
        <v>1.5</v>
      </c>
      <c r="M4" s="1233">
        <v>1.5</v>
      </c>
    </row>
    <row r="5" spans="1:13" ht="19.5" customHeight="1">
      <c r="A5" s="1205" t="s">
        <v>164</v>
      </c>
      <c r="B5" s="1206">
        <v>1.5</v>
      </c>
      <c r="C5" s="1206">
        <v>1.5</v>
      </c>
      <c r="D5" s="1206">
        <v>1.5</v>
      </c>
      <c r="E5" s="1206">
        <v>1.5</v>
      </c>
      <c r="F5" s="1206">
        <v>1.5</v>
      </c>
      <c r="G5" s="1207">
        <v>1.2</v>
      </c>
      <c r="H5" s="1207">
        <v>1.2</v>
      </c>
      <c r="I5" s="1207">
        <v>1</v>
      </c>
      <c r="J5" s="1207">
        <v>1</v>
      </c>
      <c r="K5" s="1207">
        <v>1</v>
      </c>
      <c r="L5" s="1207">
        <v>1</v>
      </c>
      <c r="M5" s="1234">
        <v>1</v>
      </c>
    </row>
    <row r="6" spans="1:13" ht="19.5" customHeight="1">
      <c r="A6" s="1208" t="s">
        <v>1612</v>
      </c>
      <c r="B6" s="1209">
        <v>80</v>
      </c>
      <c r="C6" s="1209">
        <v>80</v>
      </c>
      <c r="D6" s="1209">
        <v>65</v>
      </c>
      <c r="E6" s="1209">
        <v>65</v>
      </c>
      <c r="F6" s="1209">
        <v>65</v>
      </c>
      <c r="G6" s="1209">
        <v>65</v>
      </c>
      <c r="H6" s="1209">
        <v>65</v>
      </c>
      <c r="I6" s="1209">
        <v>50</v>
      </c>
      <c r="J6" s="1209">
        <v>50</v>
      </c>
      <c r="K6" s="1209">
        <v>50</v>
      </c>
      <c r="L6" s="1209">
        <v>50</v>
      </c>
      <c r="M6" s="1235">
        <v>50</v>
      </c>
    </row>
    <row r="7" spans="1:13" ht="19.5" customHeight="1">
      <c r="A7" s="1210" t="s">
        <v>1613</v>
      </c>
      <c r="B7" s="1211">
        <v>70</v>
      </c>
      <c r="C7" s="1211">
        <v>70</v>
      </c>
      <c r="D7" s="1211">
        <v>55</v>
      </c>
      <c r="E7" s="1211">
        <v>55</v>
      </c>
      <c r="F7" s="1211">
        <v>55</v>
      </c>
      <c r="G7" s="1211">
        <v>55</v>
      </c>
      <c r="H7" s="1211">
        <v>55</v>
      </c>
      <c r="I7" s="1211">
        <v>40</v>
      </c>
      <c r="J7" s="1211">
        <v>40</v>
      </c>
      <c r="K7" s="1211">
        <v>40</v>
      </c>
      <c r="L7" s="1211">
        <v>40</v>
      </c>
      <c r="M7" s="1236">
        <v>40</v>
      </c>
    </row>
    <row r="8" spans="1:13" ht="19.5" customHeight="1">
      <c r="A8" s="1210" t="s">
        <v>1614</v>
      </c>
      <c r="B8" s="1211">
        <v>20</v>
      </c>
      <c r="C8" s="1211">
        <v>20</v>
      </c>
      <c r="D8" s="1211">
        <v>15</v>
      </c>
      <c r="E8" s="1211">
        <v>15</v>
      </c>
      <c r="F8" s="1211">
        <v>15</v>
      </c>
      <c r="G8" s="1211">
        <v>15</v>
      </c>
      <c r="H8" s="1211">
        <v>15</v>
      </c>
      <c r="I8" s="1211">
        <v>10</v>
      </c>
      <c r="J8" s="1211">
        <v>10</v>
      </c>
      <c r="K8" s="1211">
        <v>10</v>
      </c>
      <c r="L8" s="1211">
        <v>10</v>
      </c>
      <c r="M8" s="1236">
        <v>10</v>
      </c>
    </row>
    <row r="9" spans="1:13" ht="19.5" customHeight="1">
      <c r="A9" s="1210" t="s">
        <v>1615</v>
      </c>
      <c r="B9" s="1211">
        <v>30</v>
      </c>
      <c r="C9" s="1211">
        <v>30</v>
      </c>
      <c r="D9" s="1211">
        <v>25</v>
      </c>
      <c r="E9" s="1211">
        <v>25</v>
      </c>
      <c r="F9" s="1211">
        <v>25</v>
      </c>
      <c r="G9" s="1211">
        <v>25</v>
      </c>
      <c r="H9" s="1211">
        <v>25</v>
      </c>
      <c r="I9" s="1211">
        <v>20</v>
      </c>
      <c r="J9" s="1211">
        <v>20</v>
      </c>
      <c r="K9" s="1211">
        <v>20</v>
      </c>
      <c r="L9" s="1211">
        <v>20</v>
      </c>
      <c r="M9" s="1236">
        <v>20</v>
      </c>
    </row>
    <row r="10" spans="1:13" ht="19.5" customHeight="1">
      <c r="A10" s="1210" t="s">
        <v>1616</v>
      </c>
      <c r="B10" s="1211">
        <v>45</v>
      </c>
      <c r="C10" s="1211">
        <v>45</v>
      </c>
      <c r="D10" s="1211">
        <v>35</v>
      </c>
      <c r="E10" s="1211">
        <v>35</v>
      </c>
      <c r="F10" s="1211">
        <v>35</v>
      </c>
      <c r="G10" s="1211">
        <v>35</v>
      </c>
      <c r="H10" s="1211">
        <v>35</v>
      </c>
      <c r="I10" s="1211">
        <v>25</v>
      </c>
      <c r="J10" s="1211">
        <v>25</v>
      </c>
      <c r="K10" s="1211">
        <v>25</v>
      </c>
      <c r="L10" s="1211">
        <v>25</v>
      </c>
      <c r="M10" s="1236">
        <v>25</v>
      </c>
    </row>
    <row r="11" spans="1:13" ht="19.5" customHeight="1">
      <c r="A11" s="1210" t="s">
        <v>1617</v>
      </c>
      <c r="B11" s="1211">
        <v>60</v>
      </c>
      <c r="C11" s="1211">
        <v>60</v>
      </c>
      <c r="D11" s="1211">
        <v>50</v>
      </c>
      <c r="E11" s="1211">
        <v>50</v>
      </c>
      <c r="F11" s="1211">
        <v>50</v>
      </c>
      <c r="G11" s="1211">
        <v>50</v>
      </c>
      <c r="H11" s="1211">
        <v>50</v>
      </c>
      <c r="I11" s="1211">
        <v>40</v>
      </c>
      <c r="J11" s="1211">
        <v>40</v>
      </c>
      <c r="K11" s="1211">
        <v>40</v>
      </c>
      <c r="L11" s="1211">
        <v>40</v>
      </c>
      <c r="M11" s="1236">
        <v>40</v>
      </c>
    </row>
    <row r="12" spans="1:13" ht="19.5" customHeight="1">
      <c r="A12" s="1210" t="s">
        <v>1618</v>
      </c>
      <c r="B12" s="1211">
        <v>50</v>
      </c>
      <c r="C12" s="1211">
        <v>50</v>
      </c>
      <c r="D12" s="1211">
        <v>40</v>
      </c>
      <c r="E12" s="1211">
        <v>40</v>
      </c>
      <c r="F12" s="1211">
        <v>40</v>
      </c>
      <c r="G12" s="1211">
        <v>40</v>
      </c>
      <c r="H12" s="1211">
        <v>40</v>
      </c>
      <c r="I12" s="1211">
        <v>30</v>
      </c>
      <c r="J12" s="1211">
        <v>30</v>
      </c>
      <c r="K12" s="1211">
        <v>30</v>
      </c>
      <c r="L12" s="1211">
        <v>30</v>
      </c>
      <c r="M12" s="1236">
        <v>30</v>
      </c>
    </row>
    <row r="13" spans="1:13" ht="19.5" customHeight="1">
      <c r="A13" s="1212" t="s">
        <v>1619</v>
      </c>
      <c r="B13" s="1213">
        <v>20</v>
      </c>
      <c r="C13" s="1213">
        <v>20</v>
      </c>
      <c r="D13" s="1213">
        <v>15</v>
      </c>
      <c r="E13" s="1213">
        <v>15</v>
      </c>
      <c r="F13" s="1213">
        <v>15</v>
      </c>
      <c r="G13" s="1213">
        <v>15</v>
      </c>
      <c r="H13" s="1213">
        <v>15</v>
      </c>
      <c r="I13" s="1213">
        <v>10</v>
      </c>
      <c r="J13" s="1213">
        <v>10</v>
      </c>
      <c r="K13" s="1213">
        <v>10</v>
      </c>
      <c r="L13" s="1213">
        <v>10</v>
      </c>
      <c r="M13" s="1237">
        <v>10</v>
      </c>
    </row>
    <row r="14" spans="1:13" ht="19.5" customHeight="1">
      <c r="A14" s="1211" t="s">
        <v>138</v>
      </c>
      <c r="B14" s="1214">
        <v>0</v>
      </c>
      <c r="C14" s="1214">
        <v>0</v>
      </c>
      <c r="D14" s="1214">
        <v>0</v>
      </c>
      <c r="E14" s="1214">
        <v>0</v>
      </c>
      <c r="F14" s="1214">
        <v>0</v>
      </c>
      <c r="G14" s="1214">
        <v>0</v>
      </c>
      <c r="H14" s="1214">
        <v>0</v>
      </c>
      <c r="I14" s="1214">
        <v>0</v>
      </c>
      <c r="J14" s="1214">
        <v>0</v>
      </c>
      <c r="K14" s="1214">
        <v>0</v>
      </c>
      <c r="L14" s="1214">
        <v>0</v>
      </c>
      <c r="M14" s="1214">
        <v>0</v>
      </c>
    </row>
    <row r="16" spans="1:13" ht="19.5" customHeight="1">
      <c r="A16" s="1215" t="s">
        <v>1620</v>
      </c>
      <c r="B16" s="1215"/>
      <c r="C16" s="1216"/>
      <c r="D16" s="1216"/>
      <c r="E16" s="1215"/>
      <c r="F16" s="1216"/>
      <c r="G16" s="1216"/>
    </row>
    <row r="17" spans="1:9" ht="19.5" customHeight="1">
      <c r="A17" s="1211" t="s">
        <v>349</v>
      </c>
      <c r="B17" s="1217" t="s">
        <v>1621</v>
      </c>
      <c r="C17" s="1217" t="s">
        <v>1622</v>
      </c>
      <c r="D17" s="1218"/>
      <c r="E17" s="1211" t="s">
        <v>1623</v>
      </c>
      <c r="F17" s="1219"/>
      <c r="G17" s="1219"/>
    </row>
    <row r="18" spans="1:9" s="1197" customFormat="1" ht="19.5" customHeight="1">
      <c r="A18" s="3405" t="s">
        <v>380</v>
      </c>
      <c r="B18" s="1220" t="s">
        <v>1624</v>
      </c>
      <c r="C18" s="1221" t="s">
        <v>1625</v>
      </c>
      <c r="D18" s="1222"/>
      <c r="E18" s="1220">
        <v>1</v>
      </c>
      <c r="F18" s="1223" t="s">
        <v>1626</v>
      </c>
      <c r="G18" s="1224"/>
      <c r="H18" s="1161"/>
      <c r="I18" s="1161"/>
    </row>
    <row r="19" spans="1:9" s="1197" customFormat="1" ht="19.5" customHeight="1">
      <c r="A19" s="3405"/>
      <c r="B19" s="3405" t="s">
        <v>1627</v>
      </c>
      <c r="C19" s="1221" t="s">
        <v>1628</v>
      </c>
      <c r="D19" s="1222"/>
      <c r="E19" s="1220">
        <v>0.9</v>
      </c>
      <c r="F19" s="1223" t="s">
        <v>1629</v>
      </c>
      <c r="G19" s="1224"/>
      <c r="H19" s="1161"/>
      <c r="I19" s="1161"/>
    </row>
    <row r="20" spans="1:9" s="1197" customFormat="1" ht="19.5" customHeight="1">
      <c r="A20" s="3405"/>
      <c r="B20" s="3405"/>
      <c r="C20" s="1221" t="s">
        <v>1630</v>
      </c>
      <c r="D20" s="1222"/>
      <c r="E20" s="1220">
        <v>1.1000000000000001</v>
      </c>
      <c r="F20" s="1223" t="s">
        <v>1631</v>
      </c>
      <c r="G20" s="1224"/>
      <c r="H20" s="1161"/>
      <c r="I20" s="1161"/>
    </row>
    <row r="21" spans="1:9" s="1197" customFormat="1" ht="19.5" customHeight="1">
      <c r="A21" s="3405"/>
      <c r="B21" s="3405"/>
      <c r="C21" s="1221" t="s">
        <v>1632</v>
      </c>
      <c r="D21" s="1222"/>
      <c r="E21" s="1220">
        <v>0.8</v>
      </c>
      <c r="F21" s="1223" t="s">
        <v>1633</v>
      </c>
      <c r="G21" s="1224"/>
      <c r="H21" s="1161"/>
      <c r="I21" s="1161"/>
    </row>
    <row r="22" spans="1:9" s="1197" customFormat="1" ht="19.5" customHeight="1">
      <c r="A22" s="3405"/>
      <c r="B22" s="3405"/>
      <c r="C22" s="1221" t="s">
        <v>1634</v>
      </c>
      <c r="D22" s="1222"/>
      <c r="E22" s="1220">
        <v>0.5</v>
      </c>
      <c r="F22" s="1223"/>
      <c r="G22" s="1224"/>
      <c r="H22" s="1161"/>
      <c r="I22" s="1161"/>
    </row>
    <row r="23" spans="1:9" s="1197" customFormat="1" ht="19.5" customHeight="1">
      <c r="A23" s="3405" t="s">
        <v>381</v>
      </c>
      <c r="B23" s="1220" t="s">
        <v>1624</v>
      </c>
      <c r="C23" s="1221" t="s">
        <v>1635</v>
      </c>
      <c r="D23" s="1222"/>
      <c r="E23" s="1220">
        <v>1</v>
      </c>
      <c r="F23" s="1223" t="s">
        <v>1636</v>
      </c>
      <c r="G23" s="1224"/>
      <c r="H23" s="1161"/>
      <c r="I23" s="1161"/>
    </row>
    <row r="24" spans="1:9" s="1197" customFormat="1" ht="19.5" customHeight="1">
      <c r="A24" s="3405"/>
      <c r="B24" s="3405" t="s">
        <v>1627</v>
      </c>
      <c r="C24" s="1221" t="s">
        <v>1637</v>
      </c>
      <c r="D24" s="1222"/>
      <c r="E24" s="1220">
        <v>0.5</v>
      </c>
      <c r="F24" s="1223"/>
      <c r="G24" s="1224"/>
      <c r="H24" s="1161"/>
      <c r="I24" s="1161"/>
    </row>
    <row r="25" spans="1:9" s="1197" customFormat="1" ht="19.5" customHeight="1">
      <c r="A25" s="3405"/>
      <c r="B25" s="3405"/>
      <c r="C25" s="1221" t="s">
        <v>1638</v>
      </c>
      <c r="D25" s="1222"/>
      <c r="E25" s="1220">
        <v>1.1000000000000001</v>
      </c>
      <c r="F25" s="1223"/>
      <c r="G25" s="1224"/>
      <c r="H25" s="1161"/>
      <c r="I25" s="1161"/>
    </row>
    <row r="26" spans="1:9" s="1197" customFormat="1" ht="19.5" customHeight="1">
      <c r="A26" s="3405"/>
      <c r="B26" s="3405"/>
      <c r="C26" s="1221" t="s">
        <v>1639</v>
      </c>
      <c r="D26" s="1222"/>
      <c r="E26" s="1220">
        <v>1.1000000000000001</v>
      </c>
      <c r="F26" s="1223"/>
      <c r="G26" s="1224"/>
      <c r="H26" s="1161"/>
      <c r="I26" s="1161"/>
    </row>
    <row r="27" spans="1:9" s="1197" customFormat="1" ht="19.5" customHeight="1">
      <c r="A27" s="3405"/>
      <c r="B27" s="3405"/>
      <c r="C27" s="1221" t="s">
        <v>1640</v>
      </c>
      <c r="D27" s="1222"/>
      <c r="E27" s="1220">
        <v>0.9</v>
      </c>
      <c r="F27" s="1223" t="s">
        <v>1641</v>
      </c>
      <c r="G27" s="1224"/>
      <c r="H27" s="1161"/>
      <c r="I27" s="1161"/>
    </row>
    <row r="28" spans="1:9" s="1197" customFormat="1" ht="19.5" customHeight="1">
      <c r="A28" s="3405"/>
      <c r="B28" s="3405"/>
      <c r="C28" s="1221" t="s">
        <v>1642</v>
      </c>
      <c r="D28" s="1222"/>
      <c r="E28" s="1220">
        <v>0.9</v>
      </c>
      <c r="F28" s="1223" t="s">
        <v>1643</v>
      </c>
      <c r="G28" s="1224"/>
      <c r="H28" s="1161"/>
      <c r="I28" s="1161"/>
    </row>
    <row r="29" spans="1:9" s="1197" customFormat="1" ht="19.5" customHeight="1">
      <c r="A29" s="3405"/>
      <c r="B29" s="3405"/>
      <c r="C29" s="1221" t="s">
        <v>1644</v>
      </c>
      <c r="D29" s="1222"/>
      <c r="E29" s="1220">
        <v>0.9</v>
      </c>
      <c r="F29" s="1223" t="s">
        <v>1645</v>
      </c>
      <c r="G29" s="1224"/>
      <c r="H29" s="1161"/>
      <c r="I29" s="1161"/>
    </row>
    <row r="30" spans="1:9" s="1197" customFormat="1" ht="19.5" customHeight="1">
      <c r="A30" s="3405"/>
      <c r="B30" s="3405"/>
      <c r="C30" s="1221" t="s">
        <v>1646</v>
      </c>
      <c r="D30" s="1222"/>
      <c r="E30" s="1220">
        <v>0.9</v>
      </c>
      <c r="F30" s="1223" t="s">
        <v>1647</v>
      </c>
      <c r="G30" s="1224"/>
      <c r="H30" s="1161"/>
      <c r="I30" s="1161"/>
    </row>
    <row r="31" spans="1:9" s="1197" customFormat="1" ht="19.5" customHeight="1">
      <c r="A31" s="3405"/>
      <c r="B31" s="3405"/>
      <c r="C31" s="1221" t="s">
        <v>1648</v>
      </c>
      <c r="D31" s="1222"/>
      <c r="E31" s="1220">
        <v>0.8</v>
      </c>
      <c r="F31" s="1223" t="s">
        <v>1649</v>
      </c>
      <c r="G31" s="1224"/>
      <c r="H31" s="1161"/>
      <c r="I31" s="1161"/>
    </row>
    <row r="32" spans="1:9" s="1197" customFormat="1" ht="19.5" customHeight="1">
      <c r="A32" s="3405"/>
      <c r="B32" s="3405"/>
      <c r="C32" s="1221" t="s">
        <v>1650</v>
      </c>
      <c r="D32" s="1222"/>
      <c r="E32" s="1220">
        <v>0.8</v>
      </c>
      <c r="F32" s="1223" t="s">
        <v>1651</v>
      </c>
      <c r="G32" s="1224"/>
      <c r="H32" s="1161"/>
      <c r="I32" s="1161"/>
    </row>
    <row r="33" spans="1:9" s="1197" customFormat="1" ht="19.5" customHeight="1">
      <c r="A33" s="3405" t="s">
        <v>1652</v>
      </c>
      <c r="B33" s="1220" t="s">
        <v>1624</v>
      </c>
      <c r="C33" s="1221" t="s">
        <v>1653</v>
      </c>
      <c r="D33" s="1222"/>
      <c r="E33" s="1220">
        <v>1</v>
      </c>
      <c r="F33" s="1223" t="s">
        <v>1654</v>
      </c>
      <c r="G33" s="1224"/>
      <c r="H33" s="1161"/>
      <c r="I33" s="1161"/>
    </row>
    <row r="34" spans="1:9" s="1197" customFormat="1" ht="19.5" customHeight="1">
      <c r="A34" s="3405"/>
      <c r="B34" s="1220" t="s">
        <v>1627</v>
      </c>
      <c r="C34" s="1221" t="s">
        <v>1655</v>
      </c>
      <c r="D34" s="1222"/>
      <c r="E34" s="1220">
        <v>1.5</v>
      </c>
      <c r="F34" s="1223" t="s">
        <v>1656</v>
      </c>
      <c r="G34" s="1224"/>
      <c r="H34" s="1161"/>
      <c r="I34" s="1161"/>
    </row>
    <row r="35" spans="1:9" s="1197" customFormat="1" ht="19.5" customHeight="1">
      <c r="A35" s="3405" t="s">
        <v>164</v>
      </c>
      <c r="B35" s="1220" t="s">
        <v>1624</v>
      </c>
      <c r="C35" s="1221" t="s">
        <v>1657</v>
      </c>
      <c r="D35" s="1222"/>
      <c r="E35" s="1220">
        <v>1</v>
      </c>
      <c r="F35" s="1223" t="s">
        <v>1658</v>
      </c>
      <c r="G35" s="1224"/>
      <c r="H35" s="1161"/>
      <c r="I35" s="1161"/>
    </row>
    <row r="36" spans="1:9" s="1197" customFormat="1" ht="19.5" customHeight="1">
      <c r="A36" s="3405"/>
      <c r="B36" s="3405" t="s">
        <v>1627</v>
      </c>
      <c r="C36" s="1221" t="s">
        <v>1659</v>
      </c>
      <c r="D36" s="1222"/>
      <c r="E36" s="1220">
        <v>1</v>
      </c>
      <c r="F36" s="1223" t="s">
        <v>1660</v>
      </c>
      <c r="G36" s="1224"/>
      <c r="H36" s="1161"/>
      <c r="I36" s="1161"/>
    </row>
    <row r="37" spans="1:9" s="1197" customFormat="1" ht="19.5" customHeight="1">
      <c r="A37" s="3405"/>
      <c r="B37" s="3405"/>
      <c r="C37" s="1221" t="s">
        <v>1661</v>
      </c>
      <c r="D37" s="1222"/>
      <c r="E37" s="1220">
        <v>1.5</v>
      </c>
      <c r="F37" s="1223" t="s">
        <v>1662</v>
      </c>
      <c r="G37" s="1224"/>
      <c r="H37" s="1161"/>
      <c r="I37" s="1161"/>
    </row>
    <row r="38" spans="1:9" s="1197" customFormat="1" ht="19.5" customHeight="1">
      <c r="A38" s="3405"/>
      <c r="B38" s="3405"/>
      <c r="C38" s="1221" t="s">
        <v>1663</v>
      </c>
      <c r="D38" s="1222"/>
      <c r="E38" s="1220">
        <v>1</v>
      </c>
      <c r="F38" s="1223" t="s">
        <v>1664</v>
      </c>
      <c r="G38" s="1224"/>
      <c r="H38" s="1161"/>
      <c r="I38" s="1161"/>
    </row>
    <row r="39" spans="1:9" s="1197" customFormat="1" ht="19.5" customHeight="1">
      <c r="A39" s="3405"/>
      <c r="B39" s="3405"/>
      <c r="C39" s="1221" t="s">
        <v>1665</v>
      </c>
      <c r="D39" s="1222"/>
      <c r="E39" s="1220">
        <v>1</v>
      </c>
      <c r="F39" s="1223" t="s">
        <v>1666</v>
      </c>
      <c r="G39" s="1224"/>
      <c r="H39" s="1161"/>
      <c r="I39" s="1161"/>
    </row>
    <row r="40" spans="1:9" s="1197" customFormat="1" ht="19.5" customHeight="1">
      <c r="A40" s="1225" t="s">
        <v>1667</v>
      </c>
      <c r="B40" s="1225"/>
      <c r="C40" s="1225"/>
      <c r="D40" s="1225"/>
      <c r="E40" s="1225"/>
      <c r="F40" s="1223"/>
      <c r="G40" s="1223"/>
      <c r="H40" s="1161"/>
      <c r="I40" s="1161"/>
    </row>
    <row r="42" spans="1:9" ht="19.5" customHeight="1">
      <c r="A42" s="1226"/>
      <c r="B42" s="1211" t="s">
        <v>475</v>
      </c>
      <c r="C42" s="1211" t="s">
        <v>475</v>
      </c>
      <c r="D42" s="1211" t="s">
        <v>475</v>
      </c>
      <c r="E42" s="1213" t="s">
        <v>475</v>
      </c>
      <c r="F42" s="1213" t="s">
        <v>475</v>
      </c>
      <c r="G42" s="1213" t="s">
        <v>1228</v>
      </c>
      <c r="H42" s="1213" t="s">
        <v>475</v>
      </c>
    </row>
    <row r="43" spans="1:9" ht="19.5" customHeight="1">
      <c r="A43" s="1227"/>
      <c r="B43" s="1213" t="s">
        <v>380</v>
      </c>
      <c r="C43" s="1213" t="s">
        <v>380</v>
      </c>
      <c r="D43" s="1213" t="s">
        <v>380</v>
      </c>
      <c r="E43" s="1213" t="s">
        <v>380</v>
      </c>
      <c r="F43" s="1211" t="s">
        <v>381</v>
      </c>
      <c r="G43" s="1211" t="s">
        <v>164</v>
      </c>
      <c r="H43" s="1211" t="s">
        <v>382</v>
      </c>
    </row>
    <row r="44" spans="1:9" ht="19.5" customHeight="1">
      <c r="A44" s="1228"/>
      <c r="B44" s="1211">
        <v>1</v>
      </c>
      <c r="C44" s="1211">
        <v>2</v>
      </c>
      <c r="D44" s="1211">
        <v>3</v>
      </c>
      <c r="E44" s="1213">
        <v>4</v>
      </c>
      <c r="F44" s="1218" t="s">
        <v>1668</v>
      </c>
      <c r="G44" s="1218" t="s">
        <v>1668</v>
      </c>
      <c r="H44" s="1218" t="s">
        <v>1668</v>
      </c>
    </row>
    <row r="45" spans="1:9" ht="19.5" customHeight="1">
      <c r="A45" s="1229" t="s">
        <v>242</v>
      </c>
      <c r="B45" s="1211">
        <v>0.8</v>
      </c>
      <c r="C45" s="1211">
        <v>0.5</v>
      </c>
      <c r="D45" s="1211">
        <v>0.36</v>
      </c>
      <c r="E45" s="1211">
        <v>0.3</v>
      </c>
      <c r="F45" s="1218">
        <v>0.3</v>
      </c>
      <c r="G45" s="1211">
        <v>0.3</v>
      </c>
      <c r="H45" s="1211">
        <v>0.25</v>
      </c>
    </row>
    <row r="46" spans="1:9" ht="19.5" customHeight="1">
      <c r="A46" s="1229" t="s">
        <v>255</v>
      </c>
      <c r="B46" s="1211">
        <v>0.8</v>
      </c>
      <c r="C46" s="1211">
        <v>0.5</v>
      </c>
      <c r="D46" s="1211">
        <v>0.36</v>
      </c>
      <c r="E46" s="1211">
        <v>0.3</v>
      </c>
      <c r="F46" s="1211">
        <v>0.3</v>
      </c>
      <c r="G46" s="1211">
        <v>0.3</v>
      </c>
      <c r="H46" s="1211">
        <v>0.25</v>
      </c>
    </row>
    <row r="47" spans="1:9" ht="19.5" customHeight="1">
      <c r="A47" s="1229" t="s">
        <v>267</v>
      </c>
      <c r="B47" s="1211">
        <v>0.7</v>
      </c>
      <c r="C47" s="1211">
        <v>0.4</v>
      </c>
      <c r="D47" s="1211">
        <v>0.28000000000000003</v>
      </c>
      <c r="E47" s="1211">
        <v>0.25</v>
      </c>
      <c r="F47" s="1211">
        <v>0.25</v>
      </c>
      <c r="G47" s="1211">
        <v>0.25</v>
      </c>
      <c r="H47" s="1211">
        <v>0.2</v>
      </c>
    </row>
    <row r="48" spans="1:9" ht="19.5" customHeight="1">
      <c r="A48" s="1229" t="s">
        <v>277</v>
      </c>
      <c r="B48" s="1211">
        <v>0.7</v>
      </c>
      <c r="C48" s="1211">
        <v>0.4</v>
      </c>
      <c r="D48" s="1211">
        <v>0.28000000000000003</v>
      </c>
      <c r="E48" s="1211">
        <v>0.25</v>
      </c>
      <c r="F48" s="1211">
        <v>0.25</v>
      </c>
      <c r="G48" s="1211">
        <v>0.25</v>
      </c>
      <c r="H48" s="1211">
        <v>0.2</v>
      </c>
    </row>
    <row r="49" spans="1:8" s="1161" customFormat="1" ht="19.5" customHeight="1">
      <c r="A49" s="1229" t="s">
        <v>286</v>
      </c>
      <c r="B49" s="1211">
        <v>0.7</v>
      </c>
      <c r="C49" s="1211">
        <v>0.4</v>
      </c>
      <c r="D49" s="1211">
        <v>0.28000000000000003</v>
      </c>
      <c r="E49" s="1211">
        <v>0.25</v>
      </c>
      <c r="F49" s="1211">
        <v>0.25</v>
      </c>
      <c r="G49" s="1211">
        <v>0.25</v>
      </c>
      <c r="H49" s="1211">
        <v>0.2</v>
      </c>
    </row>
    <row r="50" spans="1:8" s="1161" customFormat="1" ht="19.5" customHeight="1">
      <c r="A50" s="1229" t="s">
        <v>294</v>
      </c>
      <c r="B50" s="1211">
        <v>0.7</v>
      </c>
      <c r="C50" s="1211">
        <v>0.4</v>
      </c>
      <c r="D50" s="1211">
        <v>0.28000000000000003</v>
      </c>
      <c r="E50" s="1211">
        <v>0.25</v>
      </c>
      <c r="F50" s="1211">
        <v>0.25</v>
      </c>
      <c r="G50" s="1211">
        <v>0.25</v>
      </c>
      <c r="H50" s="1211">
        <v>0.2</v>
      </c>
    </row>
    <row r="51" spans="1:8" s="1161" customFormat="1" ht="19.5" customHeight="1">
      <c r="A51" s="1229" t="s">
        <v>299</v>
      </c>
      <c r="B51" s="1211">
        <v>0.7</v>
      </c>
      <c r="C51" s="1211">
        <v>0.4</v>
      </c>
      <c r="D51" s="1211">
        <v>0.28000000000000003</v>
      </c>
      <c r="E51" s="1211">
        <v>0.25</v>
      </c>
      <c r="F51" s="1211">
        <v>0.25</v>
      </c>
      <c r="G51" s="1211">
        <v>0.25</v>
      </c>
      <c r="H51" s="1211">
        <v>0.2</v>
      </c>
    </row>
    <row r="52" spans="1:8" s="1161" customFormat="1" ht="19.5" customHeight="1">
      <c r="A52" s="1229" t="s">
        <v>304</v>
      </c>
      <c r="B52" s="1211">
        <v>0.6</v>
      </c>
      <c r="C52" s="1211">
        <v>0.3</v>
      </c>
      <c r="D52" s="1211">
        <v>0.2</v>
      </c>
      <c r="E52" s="1211">
        <v>0.2</v>
      </c>
      <c r="F52" s="1211">
        <v>0.2</v>
      </c>
      <c r="G52" s="1211">
        <v>0.2</v>
      </c>
      <c r="H52" s="1211">
        <v>0.15</v>
      </c>
    </row>
    <row r="53" spans="1:8" s="1161" customFormat="1" ht="19.5" customHeight="1">
      <c r="A53" s="1229" t="s">
        <v>307</v>
      </c>
      <c r="B53" s="1211">
        <v>0.6</v>
      </c>
      <c r="C53" s="1211">
        <v>0.3</v>
      </c>
      <c r="D53" s="1211">
        <v>0.2</v>
      </c>
      <c r="E53" s="1211">
        <v>0.2</v>
      </c>
      <c r="F53" s="1211">
        <v>0.2</v>
      </c>
      <c r="G53" s="1211">
        <v>0.2</v>
      </c>
      <c r="H53" s="1211">
        <v>0.15</v>
      </c>
    </row>
    <row r="54" spans="1:8" s="1161" customFormat="1" ht="19.5" customHeight="1">
      <c r="A54" s="1229" t="s">
        <v>310</v>
      </c>
      <c r="B54" s="1211">
        <v>0.6</v>
      </c>
      <c r="C54" s="1211">
        <v>0.3</v>
      </c>
      <c r="D54" s="1211">
        <v>0.2</v>
      </c>
      <c r="E54" s="1211">
        <v>0.2</v>
      </c>
      <c r="F54" s="1211">
        <v>0.2</v>
      </c>
      <c r="G54" s="1211">
        <v>0.2</v>
      </c>
      <c r="H54" s="1211">
        <v>0.15</v>
      </c>
    </row>
    <row r="55" spans="1:8" s="1161" customFormat="1" ht="19.5" customHeight="1">
      <c r="A55" s="1229" t="s">
        <v>313</v>
      </c>
      <c r="B55" s="1211">
        <v>0.6</v>
      </c>
      <c r="C55" s="1211">
        <v>0.3</v>
      </c>
      <c r="D55" s="1211">
        <v>0.2</v>
      </c>
      <c r="E55" s="1211">
        <v>0.2</v>
      </c>
      <c r="F55" s="1211">
        <v>0.2</v>
      </c>
      <c r="G55" s="1211">
        <v>0.2</v>
      </c>
      <c r="H55" s="1211">
        <v>0.15</v>
      </c>
    </row>
    <row r="56" spans="1:8" s="1161" customFormat="1" ht="19.5" customHeight="1">
      <c r="A56" s="1229" t="s">
        <v>316</v>
      </c>
      <c r="B56" s="1211">
        <v>0.6</v>
      </c>
      <c r="C56" s="1211">
        <v>0.3</v>
      </c>
      <c r="D56" s="1211">
        <v>0.2</v>
      </c>
      <c r="E56" s="1211">
        <v>0.2</v>
      </c>
      <c r="F56" s="1211">
        <v>0.2</v>
      </c>
      <c r="G56" s="1211">
        <v>0.2</v>
      </c>
      <c r="H56" s="1211">
        <v>0.15</v>
      </c>
    </row>
    <row r="58" spans="1:8" s="1161" customFormat="1" ht="19.5" customHeight="1">
      <c r="A58" s="1230"/>
      <c r="B58" s="1215"/>
      <c r="C58" s="1215"/>
      <c r="D58" s="1215" t="s">
        <v>1669</v>
      </c>
      <c r="E58" s="1215"/>
      <c r="F58" s="1215"/>
    </row>
    <row r="59" spans="1:8" s="1161" customFormat="1" ht="19.5" customHeight="1">
      <c r="A59" s="1220" t="s">
        <v>1440</v>
      </c>
      <c r="B59" s="1220" t="s">
        <v>1670</v>
      </c>
      <c r="C59" s="1220" t="s">
        <v>1671</v>
      </c>
      <c r="D59" s="1220" t="s">
        <v>1672</v>
      </c>
      <c r="E59" s="1220" t="s">
        <v>1153</v>
      </c>
      <c r="F59" s="1220" t="s">
        <v>1673</v>
      </c>
    </row>
    <row r="60" spans="1:8" s="1161" customFormat="1" ht="19.5" customHeight="1">
      <c r="A60" s="1220"/>
      <c r="B60" s="1220"/>
      <c r="C60" s="1220" t="s">
        <v>1674</v>
      </c>
      <c r="D60" s="1220"/>
      <c r="E60" s="1231" t="s">
        <v>138</v>
      </c>
      <c r="F60" s="1220" t="s">
        <v>138</v>
      </c>
    </row>
    <row r="61" spans="1:8" s="1161" customFormat="1" ht="36">
      <c r="A61" s="1220">
        <v>1</v>
      </c>
      <c r="B61" s="3405" t="s">
        <v>1675</v>
      </c>
      <c r="C61" s="1211" t="s">
        <v>1676</v>
      </c>
      <c r="D61" s="1211" t="s">
        <v>1677</v>
      </c>
      <c r="E61" s="1231">
        <v>0.5</v>
      </c>
      <c r="F61" s="1220">
        <v>80</v>
      </c>
      <c r="H61" s="1161">
        <f>SUMIF(C59:C119,基准地价!C8,E59:E119)</f>
        <v>0</v>
      </c>
    </row>
    <row r="62" spans="1:8" s="1161" customFormat="1" ht="36">
      <c r="A62" s="1220">
        <v>2</v>
      </c>
      <c r="B62" s="3405"/>
      <c r="C62" s="1211" t="s">
        <v>1678</v>
      </c>
      <c r="D62" s="1211" t="s">
        <v>1679</v>
      </c>
      <c r="E62" s="1231">
        <v>0.5</v>
      </c>
      <c r="F62" s="1220">
        <v>80</v>
      </c>
    </row>
    <row r="63" spans="1:8" s="1161" customFormat="1" ht="48">
      <c r="A63" s="1220">
        <v>3</v>
      </c>
      <c r="B63" s="3405"/>
      <c r="C63" s="1211" t="s">
        <v>1680</v>
      </c>
      <c r="D63" s="1211" t="s">
        <v>1681</v>
      </c>
      <c r="E63" s="1231">
        <v>0.5</v>
      </c>
      <c r="F63" s="1220">
        <v>80</v>
      </c>
    </row>
    <row r="64" spans="1:8" s="1161" customFormat="1" ht="48">
      <c r="A64" s="1220">
        <v>4</v>
      </c>
      <c r="B64" s="3405"/>
      <c r="C64" s="1211" t="s">
        <v>1682</v>
      </c>
      <c r="D64" s="1211" t="s">
        <v>1683</v>
      </c>
      <c r="E64" s="1231">
        <v>0.4</v>
      </c>
      <c r="F64" s="1220">
        <v>60</v>
      </c>
    </row>
    <row r="65" spans="1:6" s="1161" customFormat="1" ht="48">
      <c r="A65" s="1220">
        <v>5</v>
      </c>
      <c r="B65" s="3405"/>
      <c r="C65" s="1211" t="s">
        <v>1684</v>
      </c>
      <c r="D65" s="1211" t="s">
        <v>1685</v>
      </c>
      <c r="E65" s="1231">
        <v>0.2</v>
      </c>
      <c r="F65" s="1220">
        <v>30</v>
      </c>
    </row>
    <row r="66" spans="1:6" s="1161" customFormat="1" ht="48">
      <c r="A66" s="1220">
        <v>6</v>
      </c>
      <c r="B66" s="3405"/>
      <c r="C66" s="1211" t="s">
        <v>1686</v>
      </c>
      <c r="D66" s="1211" t="s">
        <v>1687</v>
      </c>
      <c r="E66" s="1231">
        <v>0.3</v>
      </c>
      <c r="F66" s="1220">
        <v>50</v>
      </c>
    </row>
    <row r="67" spans="1:6" s="1161" customFormat="1" ht="48">
      <c r="A67" s="1220">
        <v>7</v>
      </c>
      <c r="B67" s="3405"/>
      <c r="C67" s="1211" t="s">
        <v>1688</v>
      </c>
      <c r="D67" s="1211" t="s">
        <v>1689</v>
      </c>
      <c r="E67" s="1231">
        <v>0.2</v>
      </c>
      <c r="F67" s="1220">
        <v>30</v>
      </c>
    </row>
    <row r="68" spans="1:6" s="1161" customFormat="1" ht="48">
      <c r="A68" s="1220">
        <v>8</v>
      </c>
      <c r="B68" s="3405"/>
      <c r="C68" s="1211" t="s">
        <v>1690</v>
      </c>
      <c r="D68" s="1211" t="s">
        <v>1691</v>
      </c>
      <c r="E68" s="1231">
        <v>0.2</v>
      </c>
      <c r="F68" s="1220">
        <v>30</v>
      </c>
    </row>
    <row r="69" spans="1:6" s="1161" customFormat="1" ht="48">
      <c r="A69" s="1220">
        <v>9</v>
      </c>
      <c r="B69" s="3405"/>
      <c r="C69" s="1211" t="s">
        <v>1692</v>
      </c>
      <c r="D69" s="1211" t="s">
        <v>1693</v>
      </c>
      <c r="E69" s="1231">
        <v>0.2</v>
      </c>
      <c r="F69" s="1220">
        <v>30</v>
      </c>
    </row>
    <row r="70" spans="1:6" s="1161" customFormat="1" ht="60">
      <c r="A70" s="1220">
        <v>10</v>
      </c>
      <c r="B70" s="3405"/>
      <c r="C70" s="1211" t="s">
        <v>1694</v>
      </c>
      <c r="D70" s="1211" t="s">
        <v>1695</v>
      </c>
      <c r="E70" s="1231">
        <v>0.2</v>
      </c>
      <c r="F70" s="1220">
        <v>30</v>
      </c>
    </row>
    <row r="71" spans="1:6" s="1161" customFormat="1" ht="60">
      <c r="A71" s="1220">
        <v>11</v>
      </c>
      <c r="B71" s="3405"/>
      <c r="C71" s="1211" t="s">
        <v>1696</v>
      </c>
      <c r="D71" s="1211" t="s">
        <v>1697</v>
      </c>
      <c r="E71" s="1231">
        <v>0.2</v>
      </c>
      <c r="F71" s="1220">
        <v>30</v>
      </c>
    </row>
    <row r="72" spans="1:6" s="1161" customFormat="1" ht="36">
      <c r="A72" s="1220">
        <v>12</v>
      </c>
      <c r="B72" s="3405"/>
      <c r="C72" s="1211" t="s">
        <v>1698</v>
      </c>
      <c r="D72" s="1211" t="s">
        <v>1699</v>
      </c>
      <c r="E72" s="1231">
        <v>0.5</v>
      </c>
      <c r="F72" s="1220">
        <v>80</v>
      </c>
    </row>
    <row r="73" spans="1:6" s="1161" customFormat="1" ht="36">
      <c r="A73" s="1220">
        <v>13</v>
      </c>
      <c r="B73" s="3405"/>
      <c r="C73" s="1211" t="s">
        <v>1700</v>
      </c>
      <c r="D73" s="1211" t="s">
        <v>1701</v>
      </c>
      <c r="E73" s="1231">
        <v>0.4</v>
      </c>
      <c r="F73" s="1220">
        <v>60</v>
      </c>
    </row>
    <row r="74" spans="1:6" s="1161" customFormat="1" ht="36">
      <c r="A74" s="1220">
        <v>14</v>
      </c>
      <c r="B74" s="3405"/>
      <c r="C74" s="1211" t="s">
        <v>1702</v>
      </c>
      <c r="D74" s="1211" t="s">
        <v>1703</v>
      </c>
      <c r="E74" s="1231">
        <v>0.2</v>
      </c>
      <c r="F74" s="1220">
        <v>30</v>
      </c>
    </row>
    <row r="75" spans="1:6" s="1161" customFormat="1" ht="36">
      <c r="A75" s="1220">
        <v>15</v>
      </c>
      <c r="B75" s="3405"/>
      <c r="C75" s="1211" t="s">
        <v>1704</v>
      </c>
      <c r="D75" s="1211" t="s">
        <v>1705</v>
      </c>
      <c r="E75" s="1231">
        <v>0.2</v>
      </c>
      <c r="F75" s="1220">
        <v>30</v>
      </c>
    </row>
    <row r="76" spans="1:6" s="1161" customFormat="1" ht="36">
      <c r="A76" s="1220">
        <v>16</v>
      </c>
      <c r="B76" s="3405" t="s">
        <v>1706</v>
      </c>
      <c r="C76" s="1211" t="s">
        <v>1707</v>
      </c>
      <c r="D76" s="1211" t="s">
        <v>1708</v>
      </c>
      <c r="E76" s="1231">
        <v>0.5</v>
      </c>
      <c r="F76" s="1220">
        <v>80</v>
      </c>
    </row>
    <row r="77" spans="1:6" s="1161" customFormat="1" ht="36">
      <c r="A77" s="1220">
        <v>17</v>
      </c>
      <c r="B77" s="3405"/>
      <c r="C77" s="1211" t="s">
        <v>1709</v>
      </c>
      <c r="D77" s="1211" t="s">
        <v>1710</v>
      </c>
      <c r="E77" s="1231">
        <v>0.5</v>
      </c>
      <c r="F77" s="1220">
        <v>80</v>
      </c>
    </row>
    <row r="78" spans="1:6" s="1161" customFormat="1" ht="36">
      <c r="A78" s="1220">
        <v>18</v>
      </c>
      <c r="B78" s="3405"/>
      <c r="C78" s="1211" t="s">
        <v>1711</v>
      </c>
      <c r="D78" s="1211" t="s">
        <v>1712</v>
      </c>
      <c r="E78" s="1231">
        <v>0.2</v>
      </c>
      <c r="F78" s="1220">
        <v>30</v>
      </c>
    </row>
    <row r="79" spans="1:6" s="1161" customFormat="1" ht="36">
      <c r="A79" s="1220">
        <v>19</v>
      </c>
      <c r="B79" s="3405"/>
      <c r="C79" s="1211" t="s">
        <v>1713</v>
      </c>
      <c r="D79" s="1211" t="s">
        <v>1714</v>
      </c>
      <c r="E79" s="1231">
        <v>0.5</v>
      </c>
      <c r="F79" s="1220">
        <v>80</v>
      </c>
    </row>
    <row r="80" spans="1:6" s="1161" customFormat="1" ht="36">
      <c r="A80" s="1220">
        <v>20</v>
      </c>
      <c r="B80" s="3405"/>
      <c r="C80" s="1211" t="s">
        <v>1715</v>
      </c>
      <c r="D80" s="1211" t="s">
        <v>1716</v>
      </c>
      <c r="E80" s="1231">
        <v>0.2</v>
      </c>
      <c r="F80" s="1220">
        <v>30</v>
      </c>
    </row>
    <row r="81" spans="1:6" s="1161" customFormat="1" ht="36">
      <c r="A81" s="1220">
        <v>21</v>
      </c>
      <c r="B81" s="3405"/>
      <c r="C81" s="1211" t="s">
        <v>1717</v>
      </c>
      <c r="D81" s="1211" t="s">
        <v>1718</v>
      </c>
      <c r="E81" s="1231">
        <v>0.2</v>
      </c>
      <c r="F81" s="1220">
        <v>30</v>
      </c>
    </row>
    <row r="82" spans="1:6" s="1161" customFormat="1" ht="60">
      <c r="A82" s="1220">
        <v>22</v>
      </c>
      <c r="B82" s="3405"/>
      <c r="C82" s="1211" t="s">
        <v>1719</v>
      </c>
      <c r="D82" s="1211" t="s">
        <v>1720</v>
      </c>
      <c r="E82" s="1231">
        <v>0.2</v>
      </c>
      <c r="F82" s="1220">
        <v>30</v>
      </c>
    </row>
    <row r="83" spans="1:6" s="1161" customFormat="1" ht="60">
      <c r="A83" s="1220">
        <v>23</v>
      </c>
      <c r="B83" s="3405"/>
      <c r="C83" s="1211" t="s">
        <v>1721</v>
      </c>
      <c r="D83" s="1211" t="s">
        <v>1722</v>
      </c>
      <c r="E83" s="1231">
        <v>0.2</v>
      </c>
      <c r="F83" s="1220">
        <v>30</v>
      </c>
    </row>
    <row r="84" spans="1:6" s="1161" customFormat="1" ht="48">
      <c r="A84" s="1220">
        <v>24</v>
      </c>
      <c r="B84" s="3405"/>
      <c r="C84" s="1211" t="s">
        <v>1723</v>
      </c>
      <c r="D84" s="1211" t="s">
        <v>1724</v>
      </c>
      <c r="E84" s="1231">
        <v>0.2</v>
      </c>
      <c r="F84" s="1220">
        <v>30</v>
      </c>
    </row>
    <row r="85" spans="1:6" s="1161" customFormat="1" ht="36">
      <c r="A85" s="1220">
        <v>25</v>
      </c>
      <c r="B85" s="3405"/>
      <c r="C85" s="1211" t="s">
        <v>1725</v>
      </c>
      <c r="D85" s="1211" t="s">
        <v>1726</v>
      </c>
      <c r="E85" s="1231">
        <v>0.5</v>
      </c>
      <c r="F85" s="1220">
        <v>80</v>
      </c>
    </row>
    <row r="86" spans="1:6" s="1161" customFormat="1" ht="36">
      <c r="A86" s="1220">
        <v>26</v>
      </c>
      <c r="B86" s="3405"/>
      <c r="C86" s="1211" t="s">
        <v>1727</v>
      </c>
      <c r="D86" s="1211" t="s">
        <v>1728</v>
      </c>
      <c r="E86" s="1231">
        <v>0.2</v>
      </c>
      <c r="F86" s="1220">
        <v>30</v>
      </c>
    </row>
    <row r="87" spans="1:6" s="1161" customFormat="1" ht="36">
      <c r="A87" s="1220">
        <v>27</v>
      </c>
      <c r="B87" s="3405"/>
      <c r="C87" s="1211" t="s">
        <v>1729</v>
      </c>
      <c r="D87" s="1211" t="s">
        <v>1730</v>
      </c>
      <c r="E87" s="1231">
        <v>0.2</v>
      </c>
      <c r="F87" s="1220">
        <v>30</v>
      </c>
    </row>
    <row r="88" spans="1:6" s="1161" customFormat="1" ht="36">
      <c r="A88" s="1220">
        <v>28</v>
      </c>
      <c r="B88" s="3405"/>
      <c r="C88" s="1211" t="s">
        <v>1731</v>
      </c>
      <c r="D88" s="1211" t="s">
        <v>1732</v>
      </c>
      <c r="E88" s="1231">
        <v>0.2</v>
      </c>
      <c r="F88" s="1220">
        <v>30</v>
      </c>
    </row>
    <row r="89" spans="1:6" s="1161" customFormat="1" ht="36">
      <c r="A89" s="1220">
        <v>29</v>
      </c>
      <c r="B89" s="3405"/>
      <c r="C89" s="1211" t="s">
        <v>1733</v>
      </c>
      <c r="D89" s="1211" t="s">
        <v>1734</v>
      </c>
      <c r="E89" s="1231">
        <v>0.2</v>
      </c>
      <c r="F89" s="1220">
        <v>30</v>
      </c>
    </row>
    <row r="90" spans="1:6" s="1161" customFormat="1" ht="36">
      <c r="A90" s="1220">
        <v>30</v>
      </c>
      <c r="B90" s="3405"/>
      <c r="C90" s="1211" t="s">
        <v>1735</v>
      </c>
      <c r="D90" s="1211" t="s">
        <v>1736</v>
      </c>
      <c r="E90" s="1231">
        <v>0.2</v>
      </c>
      <c r="F90" s="1220">
        <v>30</v>
      </c>
    </row>
    <row r="91" spans="1:6" s="1161" customFormat="1" ht="48">
      <c r="A91" s="1220">
        <v>31</v>
      </c>
      <c r="B91" s="3405"/>
      <c r="C91" s="1211" t="s">
        <v>1737</v>
      </c>
      <c r="D91" s="1211" t="s">
        <v>1738</v>
      </c>
      <c r="E91" s="1231">
        <v>0.2</v>
      </c>
      <c r="F91" s="1220">
        <v>30</v>
      </c>
    </row>
    <row r="92" spans="1:6" s="1161" customFormat="1" ht="36">
      <c r="A92" s="1220">
        <v>32</v>
      </c>
      <c r="B92" s="3405" t="s">
        <v>1739</v>
      </c>
      <c r="C92" s="1220" t="s">
        <v>1740</v>
      </c>
      <c r="D92" s="1211" t="s">
        <v>1741</v>
      </c>
      <c r="E92" s="1231">
        <v>0.2</v>
      </c>
      <c r="F92" s="1220">
        <v>30</v>
      </c>
    </row>
    <row r="93" spans="1:6" s="1161" customFormat="1" ht="36">
      <c r="A93" s="1220">
        <v>33</v>
      </c>
      <c r="B93" s="3405"/>
      <c r="C93" s="1220" t="s">
        <v>1742</v>
      </c>
      <c r="D93" s="1211" t="s">
        <v>1743</v>
      </c>
      <c r="E93" s="1231">
        <v>0.2</v>
      </c>
      <c r="F93" s="1220">
        <v>30</v>
      </c>
    </row>
    <row r="94" spans="1:6" s="1161" customFormat="1" ht="60">
      <c r="A94" s="1220">
        <v>34</v>
      </c>
      <c r="B94" s="3405"/>
      <c r="C94" s="1220" t="s">
        <v>1744</v>
      </c>
      <c r="D94" s="1211" t="s">
        <v>1745</v>
      </c>
      <c r="E94" s="1231">
        <v>0.2</v>
      </c>
      <c r="F94" s="1220">
        <v>30</v>
      </c>
    </row>
    <row r="95" spans="1:6" s="1161" customFormat="1" ht="48">
      <c r="A95" s="1220">
        <v>35</v>
      </c>
      <c r="B95" s="3405"/>
      <c r="C95" s="1220" t="s">
        <v>1746</v>
      </c>
      <c r="D95" s="1211" t="s">
        <v>1747</v>
      </c>
      <c r="E95" s="1231">
        <v>0.2</v>
      </c>
      <c r="F95" s="1220">
        <v>30</v>
      </c>
    </row>
    <row r="96" spans="1:6" s="1161" customFormat="1" ht="72">
      <c r="A96" s="1220">
        <v>36</v>
      </c>
      <c r="B96" s="3405"/>
      <c r="C96" s="1211" t="s">
        <v>1748</v>
      </c>
      <c r="D96" s="1211" t="s">
        <v>1749</v>
      </c>
      <c r="E96" s="1231">
        <v>0.2</v>
      </c>
      <c r="F96" s="1220">
        <v>30</v>
      </c>
    </row>
    <row r="97" spans="1:6" s="1161" customFormat="1" ht="36">
      <c r="A97" s="1220">
        <v>37</v>
      </c>
      <c r="B97" s="3405"/>
      <c r="C97" s="1220" t="s">
        <v>1750</v>
      </c>
      <c r="D97" s="1211" t="s">
        <v>1751</v>
      </c>
      <c r="E97" s="1231">
        <v>0.2</v>
      </c>
      <c r="F97" s="1220">
        <v>30</v>
      </c>
    </row>
    <row r="98" spans="1:6" s="1161" customFormat="1" ht="36">
      <c r="A98" s="1220">
        <v>38</v>
      </c>
      <c r="B98" s="3405"/>
      <c r="C98" s="1220" t="s">
        <v>1752</v>
      </c>
      <c r="D98" s="1211" t="s">
        <v>1753</v>
      </c>
      <c r="E98" s="1231">
        <v>0.2</v>
      </c>
      <c r="F98" s="1220">
        <v>30</v>
      </c>
    </row>
    <row r="99" spans="1:6" s="1161" customFormat="1" ht="36">
      <c r="A99" s="1220">
        <v>39</v>
      </c>
      <c r="B99" s="3405" t="s">
        <v>1754</v>
      </c>
      <c r="C99" s="1220" t="s">
        <v>1755</v>
      </c>
      <c r="D99" s="1211" t="s">
        <v>1756</v>
      </c>
      <c r="E99" s="1231">
        <v>0.3</v>
      </c>
      <c r="F99" s="1220">
        <v>50</v>
      </c>
    </row>
    <row r="100" spans="1:6" s="1161" customFormat="1" ht="36">
      <c r="A100" s="1220">
        <v>40</v>
      </c>
      <c r="B100" s="3405"/>
      <c r="C100" s="1220" t="s">
        <v>1757</v>
      </c>
      <c r="D100" s="1211" t="s">
        <v>1758</v>
      </c>
      <c r="E100" s="1231">
        <v>0.2</v>
      </c>
      <c r="F100" s="1220">
        <v>30</v>
      </c>
    </row>
    <row r="101" spans="1:6" s="1161" customFormat="1" ht="36">
      <c r="A101" s="1220">
        <v>41</v>
      </c>
      <c r="B101" s="3405"/>
      <c r="C101" s="1220" t="s">
        <v>1759</v>
      </c>
      <c r="D101" s="1211" t="s">
        <v>1756</v>
      </c>
      <c r="E101" s="1231">
        <v>0.2</v>
      </c>
      <c r="F101" s="1220">
        <v>30</v>
      </c>
    </row>
    <row r="102" spans="1:6" s="1161" customFormat="1" ht="72">
      <c r="A102" s="1220">
        <v>42</v>
      </c>
      <c r="B102" s="1220" t="s">
        <v>1760</v>
      </c>
      <c r="C102" s="1211" t="s">
        <v>1761</v>
      </c>
      <c r="D102" s="1211" t="s">
        <v>1762</v>
      </c>
      <c r="E102" s="1231">
        <v>0.2</v>
      </c>
      <c r="F102" s="1220">
        <v>30</v>
      </c>
    </row>
    <row r="103" spans="1:6" s="1161" customFormat="1" ht="36">
      <c r="A103" s="1220">
        <v>43</v>
      </c>
      <c r="B103" s="1220" t="s">
        <v>1763</v>
      </c>
      <c r="C103" s="1220" t="s">
        <v>1764</v>
      </c>
      <c r="D103" s="1211" t="s">
        <v>1765</v>
      </c>
      <c r="E103" s="1231">
        <v>0.2</v>
      </c>
      <c r="F103" s="1220">
        <v>30</v>
      </c>
    </row>
    <row r="104" spans="1:6" s="1161" customFormat="1" ht="36">
      <c r="A104" s="1220">
        <v>44</v>
      </c>
      <c r="B104" s="1220" t="s">
        <v>1766</v>
      </c>
      <c r="C104" s="1220" t="s">
        <v>1767</v>
      </c>
      <c r="D104" s="1211" t="s">
        <v>1768</v>
      </c>
      <c r="E104" s="1231">
        <v>0.2</v>
      </c>
      <c r="F104" s="1220">
        <v>30</v>
      </c>
    </row>
    <row r="105" spans="1:6" s="1161" customFormat="1" ht="48">
      <c r="A105" s="1220">
        <v>45</v>
      </c>
      <c r="B105" s="3405" t="s">
        <v>1769</v>
      </c>
      <c r="C105" s="1220" t="s">
        <v>1770</v>
      </c>
      <c r="D105" s="1211" t="s">
        <v>1771</v>
      </c>
      <c r="E105" s="1231">
        <v>0.2</v>
      </c>
      <c r="F105" s="1220">
        <v>30</v>
      </c>
    </row>
    <row r="106" spans="1:6" s="1161" customFormat="1" ht="48">
      <c r="A106" s="1220">
        <v>46</v>
      </c>
      <c r="B106" s="3405"/>
      <c r="C106" s="1220" t="s">
        <v>1772</v>
      </c>
      <c r="D106" s="1211" t="s">
        <v>1773</v>
      </c>
      <c r="E106" s="1231">
        <v>0.2</v>
      </c>
      <c r="F106" s="1220">
        <v>30</v>
      </c>
    </row>
    <row r="107" spans="1:6" s="1161" customFormat="1" ht="36">
      <c r="A107" s="1220">
        <v>47</v>
      </c>
      <c r="B107" s="3405" t="s">
        <v>1774</v>
      </c>
      <c r="C107" s="1220" t="s">
        <v>1775</v>
      </c>
      <c r="D107" s="1211" t="s">
        <v>1776</v>
      </c>
      <c r="E107" s="1231">
        <v>0.3</v>
      </c>
      <c r="F107" s="1220">
        <v>50</v>
      </c>
    </row>
    <row r="108" spans="1:6" s="1161" customFormat="1" ht="48">
      <c r="A108" s="1220">
        <v>48</v>
      </c>
      <c r="B108" s="3405"/>
      <c r="C108" s="1220" t="s">
        <v>1777</v>
      </c>
      <c r="D108" s="1211" t="s">
        <v>1778</v>
      </c>
      <c r="E108" s="1231">
        <v>0.2</v>
      </c>
      <c r="F108" s="1220">
        <v>30</v>
      </c>
    </row>
    <row r="109" spans="1:6" s="1161" customFormat="1" ht="36">
      <c r="A109" s="1220">
        <v>49</v>
      </c>
      <c r="B109" s="1220" t="s">
        <v>1779</v>
      </c>
      <c r="C109" s="1220" t="s">
        <v>1780</v>
      </c>
      <c r="D109" s="1211" t="s">
        <v>1781</v>
      </c>
      <c r="E109" s="1231">
        <v>0.2</v>
      </c>
      <c r="F109" s="1220">
        <v>30</v>
      </c>
    </row>
    <row r="110" spans="1:6" s="1161" customFormat="1" ht="48">
      <c r="A110" s="1220">
        <v>50</v>
      </c>
      <c r="B110" s="1220" t="s">
        <v>1782</v>
      </c>
      <c r="C110" s="1220" t="s">
        <v>1783</v>
      </c>
      <c r="D110" s="1211" t="s">
        <v>1784</v>
      </c>
      <c r="E110" s="1231">
        <v>0.2</v>
      </c>
      <c r="F110" s="1220">
        <v>30</v>
      </c>
    </row>
    <row r="111" spans="1:6" s="1161" customFormat="1" ht="48">
      <c r="A111" s="1220">
        <v>51</v>
      </c>
      <c r="B111" s="3405" t="s">
        <v>1785</v>
      </c>
      <c r="C111" s="1220" t="s">
        <v>1786</v>
      </c>
      <c r="D111" s="1211" t="s">
        <v>1787</v>
      </c>
      <c r="E111" s="1231">
        <v>0.2</v>
      </c>
      <c r="F111" s="1220">
        <v>30</v>
      </c>
    </row>
    <row r="112" spans="1:6" s="1161" customFormat="1" ht="36">
      <c r="A112" s="1220">
        <v>52</v>
      </c>
      <c r="B112" s="3405"/>
      <c r="C112" s="1220" t="s">
        <v>1788</v>
      </c>
      <c r="D112" s="1211" t="s">
        <v>1789</v>
      </c>
      <c r="E112" s="1231">
        <v>0.2</v>
      </c>
      <c r="F112" s="1220">
        <v>30</v>
      </c>
    </row>
    <row r="113" spans="1:14" s="1161" customFormat="1" ht="36">
      <c r="A113" s="1220">
        <v>53</v>
      </c>
      <c r="B113" s="3405"/>
      <c r="C113" s="1220" t="s">
        <v>1790</v>
      </c>
      <c r="D113" s="1211" t="s">
        <v>1791</v>
      </c>
      <c r="E113" s="1231">
        <v>0.2</v>
      </c>
      <c r="F113" s="1220">
        <v>30</v>
      </c>
    </row>
    <row r="114" spans="1:14" ht="48">
      <c r="A114" s="1220">
        <v>54</v>
      </c>
      <c r="B114" s="1220" t="s">
        <v>1792</v>
      </c>
      <c r="C114" s="1220" t="s">
        <v>1793</v>
      </c>
      <c r="D114" s="1211" t="s">
        <v>1794</v>
      </c>
      <c r="E114" s="1231">
        <v>0.2</v>
      </c>
      <c r="F114" s="1220">
        <v>30</v>
      </c>
    </row>
    <row r="115" spans="1:14" ht="36">
      <c r="A115" s="1220">
        <v>55</v>
      </c>
      <c r="B115" s="1220" t="s">
        <v>1795</v>
      </c>
      <c r="C115" s="1220" t="s">
        <v>1796</v>
      </c>
      <c r="D115" s="1211" t="s">
        <v>1797</v>
      </c>
      <c r="E115" s="1231">
        <v>0.2</v>
      </c>
      <c r="F115" s="1220">
        <v>30</v>
      </c>
    </row>
    <row r="116" spans="1:14" ht="36">
      <c r="A116" s="1220">
        <v>56</v>
      </c>
      <c r="B116" s="3405" t="s">
        <v>1798</v>
      </c>
      <c r="C116" s="1220" t="s">
        <v>1799</v>
      </c>
      <c r="D116" s="1211" t="s">
        <v>1800</v>
      </c>
      <c r="E116" s="1231">
        <v>0.2</v>
      </c>
      <c r="F116" s="1220">
        <v>30</v>
      </c>
    </row>
    <row r="117" spans="1:14" ht="36">
      <c r="A117" s="1220">
        <v>57</v>
      </c>
      <c r="B117" s="3405"/>
      <c r="C117" s="1220" t="s">
        <v>1801</v>
      </c>
      <c r="D117" s="1211" t="s">
        <v>1802</v>
      </c>
      <c r="E117" s="1231">
        <v>0.2</v>
      </c>
      <c r="F117" s="1220">
        <v>30</v>
      </c>
    </row>
    <row r="118" spans="1:14" ht="36">
      <c r="A118" s="1220">
        <v>58</v>
      </c>
      <c r="B118" s="1220" t="s">
        <v>1803</v>
      </c>
      <c r="C118" s="1220" t="s">
        <v>1804</v>
      </c>
      <c r="D118" s="1211" t="s">
        <v>1805</v>
      </c>
      <c r="E118" s="1231">
        <v>0.2</v>
      </c>
      <c r="F118" s="1220">
        <v>30</v>
      </c>
    </row>
    <row r="119" spans="1:14" ht="14.4">
      <c r="A119" s="1220"/>
      <c r="B119" s="1220"/>
      <c r="C119" s="1220"/>
      <c r="D119" s="1220"/>
      <c r="E119" s="1231"/>
      <c r="F119" s="1220"/>
    </row>
    <row r="121" spans="1:14" ht="19.5" customHeight="1">
      <c r="A121" s="3396" t="s">
        <v>1255</v>
      </c>
      <c r="B121" s="3396"/>
      <c r="C121" s="3396"/>
      <c r="D121" s="3396"/>
      <c r="E121" s="3396"/>
      <c r="F121" s="3396"/>
      <c r="G121" s="3396"/>
      <c r="H121" s="3396"/>
      <c r="I121" s="3396"/>
      <c r="J121" s="3396"/>
      <c r="K121" s="1238"/>
      <c r="L121" s="1238"/>
      <c r="M121" s="1238"/>
      <c r="N121" s="123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18" customWidth="1"/>
    <col min="2" max="2" width="9" style="3118"/>
    <col min="3" max="4" width="9.6640625" style="3118" customWidth="1"/>
    <col min="5" max="16384" width="9" style="3118"/>
  </cols>
  <sheetData>
    <row r="1" spans="1:4" ht="22.2">
      <c r="A1" s="3119" t="s">
        <v>82</v>
      </c>
    </row>
    <row r="2" spans="1:4">
      <c r="A2" s="3120"/>
    </row>
    <row r="3" spans="1:4" ht="17.399999999999999">
      <c r="A3" s="3121" t="str">
        <f>项目基本情况!B5&amp;"："</f>
        <v>苏州国展商业广场开发有限公司：</v>
      </c>
    </row>
    <row r="4" spans="1:4" ht="34.799999999999997">
      <c r="A4" s="3122" t="str">
        <f>"受贵公司委托，我公司对"&amp;项目基本情况!K2&amp;项目基本情况!B9&amp;"进行了预评估。"</f>
        <v>受贵公司委托，我公司对江苏省苏州市姑苏区金门路100-1号（北）出让国有建设用地使用权抵押价格进行了预评估。</v>
      </c>
    </row>
    <row r="5" spans="1:4" ht="17.399999999999999">
      <c r="A5" s="3123" t="s">
        <v>83</v>
      </c>
    </row>
    <row r="6" spans="1:4" ht="87">
      <c r="A6" s="312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苏州国展商业广场开发有限公司使用的、位于江苏省苏州市姑苏区金门路100-1号（北）出让国有建设用地使用权。根据《国有土地使用证》[]，估价对象（分摊）出让国有建设用地使用权面积为10309.6平方米。根据《建设工程规划许可证》[]、《出让合同》[]，估价对象规划建筑面积为124721平方米。</v>
      </c>
    </row>
    <row r="7" spans="1:4" ht="52.2">
      <c r="A7" s="3134" t="s">
        <v>84</v>
      </c>
    </row>
    <row r="8" spans="1:4" ht="17.399999999999999">
      <c r="A8" s="3123" t="s">
        <v>85</v>
      </c>
    </row>
    <row r="9" spans="1:4" ht="69.599999999999994">
      <c r="A9" s="3125"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121" t="s">
        <v>86</v>
      </c>
    </row>
    <row r="11" spans="1:4" ht="17.399999999999999">
      <c r="A11" s="3126" t="str">
        <f>TEXT(项目基本情况!D3,"yyyy年m月d日;;")&amp;IF(项目基本情况!B3=项目基本情况!D3,"（评估专业人员勘察现场之日）","")</f>
        <v>2019年7月8日（评估专业人员勘察现场之日）</v>
      </c>
    </row>
    <row r="12" spans="1:4" ht="17.399999999999999">
      <c r="A12" s="3121" t="s">
        <v>87</v>
      </c>
    </row>
    <row r="13" spans="1:4" ht="17.399999999999999">
      <c r="A13" s="3122" t="s">
        <v>88</v>
      </c>
    </row>
    <row r="14" spans="1:4" ht="34.799999999999997">
      <c r="A14" s="3122" t="str">
        <f>"根据"&amp;项目基本情况!F12&amp;"，本次评估估价对象证载（地类）用途为"&amp;项目基本情况!B12&amp;"。"</f>
        <v>根据《不动产权证书》[苏（2016）苏州市不动产权第8030236号]，本次评估估价对象证载（地类）用途为城镇住宅用地、其他商服用地。</v>
      </c>
      <c r="C14" s="3127"/>
      <c r="D14" s="3128"/>
    </row>
    <row r="15" spans="1:4" ht="17.399999999999999">
      <c r="A15" s="31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7"/>
      <c r="D15" s="3128"/>
    </row>
    <row r="16" spans="1:4" ht="17.399999999999999">
      <c r="A16" s="3122" t="s">
        <v>89</v>
      </c>
    </row>
    <row r="17" spans="1:1" ht="52.2">
      <c r="A17" s="31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2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22" t="s">
        <v>90</v>
      </c>
    </row>
    <row r="20" spans="1:1" ht="52.2">
      <c r="A20" s="31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根据《国有土地使用证》[]，估价对象（分摊）出让国有建设用地使用权面积为10309.6平方米。根据《建设工程规划许可证》[]、《出让合同》[]，估价对象规划建筑面积为124721平方米。</v>
      </c>
    </row>
    <row r="21" spans="1:1" ht="17.399999999999999">
      <c r="A21" s="3122" t="s">
        <v>91</v>
      </c>
    </row>
    <row r="22" spans="1:1" ht="69.599999999999994">
      <c r="A22" s="312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8030236号]证载土地终止日期为住宅2084年3月24日、商业2054年3月24日、办公2054年3月24日、车库2054年3月24日。截至估价期日，出让国有建设用地使用权剩余土地使用年限为。</v>
      </c>
    </row>
    <row r="23" spans="1:1" ht="17.399999999999999">
      <c r="A23" s="3122" t="str">
        <f>IF(项目基本情况!B16="出让","本次评估设定估价对象剩余土地使用年限为"&amp;项目基本情况!D20&amp;"。","")</f>
        <v>本次评估设定估价对象剩余土地使用年限为。</v>
      </c>
    </row>
    <row r="24" spans="1:1" ht="17.399999999999999">
      <c r="A24" s="3122" t="s">
        <v>92</v>
      </c>
    </row>
    <row r="25" spans="1:1" ht="87">
      <c r="A25" s="3122"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52.2">
      <c r="A26" s="312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122" t="str">
        <f>IF(项目基本情况!B9="市场价格","——",IF(项目基本情况!E9="——","",定义!C57))</f>
        <v/>
      </c>
    </row>
    <row r="29" spans="1:1" ht="17.399999999999999">
      <c r="A29" s="3121" t="s">
        <v>93</v>
      </c>
    </row>
    <row r="30" spans="1:1" ht="69.599999999999994">
      <c r="A30" s="31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32"/>
    </row>
    <row r="32" spans="1:1" ht="17.399999999999999">
      <c r="A32" s="3133"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61" customWidth="1"/>
    <col min="2" max="5" width="10.21875" style="1162" customWidth="1"/>
    <col min="6" max="6" width="9" style="1162"/>
    <col min="7" max="7" width="9" style="1160"/>
    <col min="8" max="8" width="9" style="1162"/>
    <col min="9" max="9" width="9" style="1160"/>
    <col min="10" max="16384" width="9" style="1162"/>
  </cols>
  <sheetData>
    <row r="1" spans="1:20">
      <c r="A1" s="3430" t="s">
        <v>1806</v>
      </c>
      <c r="B1" s="3430"/>
      <c r="C1" s="3430"/>
      <c r="D1" s="3430"/>
      <c r="E1" s="3430"/>
      <c r="F1" s="3430"/>
      <c r="H1" s="1159"/>
      <c r="I1" s="1191" t="s">
        <v>242</v>
      </c>
      <c r="J1" s="1192" t="s">
        <v>255</v>
      </c>
      <c r="K1" s="1192" t="s">
        <v>267</v>
      </c>
      <c r="L1" s="1192" t="s">
        <v>277</v>
      </c>
      <c r="M1" s="1192" t="s">
        <v>286</v>
      </c>
      <c r="N1" s="1192" t="s">
        <v>294</v>
      </c>
      <c r="O1" s="1192" t="s">
        <v>299</v>
      </c>
      <c r="P1" s="1192" t="s">
        <v>304</v>
      </c>
      <c r="Q1" s="1192" t="s">
        <v>307</v>
      </c>
      <c r="R1" s="1192" t="s">
        <v>310</v>
      </c>
      <c r="S1" s="1192" t="s">
        <v>313</v>
      </c>
      <c r="T1" s="1194" t="s">
        <v>316</v>
      </c>
    </row>
    <row r="2" spans="1:20">
      <c r="A2" s="3431" t="s">
        <v>1807</v>
      </c>
      <c r="B2" s="3431"/>
      <c r="C2" s="3431"/>
      <c r="D2" s="3431"/>
      <c r="E2" s="3431"/>
      <c r="F2" s="3431"/>
      <c r="I2" s="1193" t="s">
        <v>1808</v>
      </c>
      <c r="J2" s="1173" t="s">
        <v>1809</v>
      </c>
      <c r="K2" s="1173" t="s">
        <v>1810</v>
      </c>
      <c r="L2" s="1173" t="s">
        <v>1811</v>
      </c>
      <c r="M2" s="1173" t="s">
        <v>1812</v>
      </c>
      <c r="N2" s="1173" t="s">
        <v>1813</v>
      </c>
      <c r="O2" s="1173" t="s">
        <v>1814</v>
      </c>
      <c r="P2" s="1173" t="s">
        <v>1815</v>
      </c>
      <c r="Q2" s="1173" t="s">
        <v>1816</v>
      </c>
      <c r="R2" s="1173" t="s">
        <v>1817</v>
      </c>
      <c r="S2" s="1173" t="s">
        <v>1818</v>
      </c>
      <c r="T2" s="1173" t="s">
        <v>1819</v>
      </c>
    </row>
    <row r="3" spans="1:20" s="1159" customFormat="1" ht="19.5" customHeight="1">
      <c r="A3" s="3432" t="s">
        <v>1820</v>
      </c>
      <c r="B3" s="1163"/>
      <c r="C3" s="1164" t="s">
        <v>380</v>
      </c>
      <c r="D3" s="1164" t="s">
        <v>381</v>
      </c>
      <c r="E3" s="1164" t="s">
        <v>379</v>
      </c>
      <c r="F3" s="1164" t="s">
        <v>164</v>
      </c>
      <c r="G3" s="1165"/>
      <c r="I3" s="1193" t="s">
        <v>1821</v>
      </c>
      <c r="J3" s="1173" t="s">
        <v>1822</v>
      </c>
      <c r="K3" s="1173" t="s">
        <v>1823</v>
      </c>
      <c r="L3" s="1173" t="s">
        <v>1824</v>
      </c>
      <c r="M3" s="1173" t="s">
        <v>1825</v>
      </c>
      <c r="N3" s="1173" t="s">
        <v>1826</v>
      </c>
      <c r="O3" s="1173" t="s">
        <v>1827</v>
      </c>
      <c r="P3" s="1173" t="s">
        <v>1828</v>
      </c>
      <c r="Q3" s="1173" t="s">
        <v>1829</v>
      </c>
      <c r="R3" s="1173" t="s">
        <v>1830</v>
      </c>
      <c r="S3" s="1173" t="s">
        <v>1831</v>
      </c>
      <c r="T3" s="1173" t="s">
        <v>1832</v>
      </c>
    </row>
    <row r="4" spans="1:20" s="1159" customFormat="1" ht="19.5" customHeight="1">
      <c r="A4" s="3433"/>
      <c r="B4" s="1166" t="s">
        <v>428</v>
      </c>
      <c r="C4" s="1166" t="s">
        <v>1833</v>
      </c>
      <c r="D4" s="1166" t="s">
        <v>1833</v>
      </c>
      <c r="E4" s="1166" t="s">
        <v>1833</v>
      </c>
      <c r="F4" s="1167" t="s">
        <v>1833</v>
      </c>
      <c r="G4" s="1165"/>
      <c r="I4" s="1193" t="s">
        <v>1834</v>
      </c>
      <c r="J4" s="1173" t="s">
        <v>1835</v>
      </c>
      <c r="K4" s="1173" t="s">
        <v>1836</v>
      </c>
      <c r="L4" s="1173" t="s">
        <v>1837</v>
      </c>
      <c r="M4" s="1173" t="s">
        <v>1838</v>
      </c>
      <c r="N4" s="1173" t="s">
        <v>1839</v>
      </c>
      <c r="O4" s="1173" t="s">
        <v>1840</v>
      </c>
      <c r="P4" s="1173" t="s">
        <v>1841</v>
      </c>
      <c r="Q4" s="1173" t="s">
        <v>1842</v>
      </c>
      <c r="R4" s="1173" t="s">
        <v>1843</v>
      </c>
      <c r="S4" s="1173" t="s">
        <v>1844</v>
      </c>
      <c r="T4" s="1173" t="s">
        <v>1845</v>
      </c>
    </row>
    <row r="5" spans="1:20" ht="14.25" customHeight="1">
      <c r="A5" s="1168" t="s">
        <v>242</v>
      </c>
      <c r="B5" s="1169" t="s">
        <v>1808</v>
      </c>
      <c r="C5" s="1169">
        <v>29530</v>
      </c>
      <c r="D5" s="1169">
        <v>28130</v>
      </c>
      <c r="E5" s="1169">
        <v>27930</v>
      </c>
      <c r="F5" s="1170">
        <v>11300</v>
      </c>
      <c r="G5" s="1171" t="s">
        <v>242</v>
      </c>
      <c r="H5" s="1172">
        <f>SUMPRODUCT((B5:B9=基准地价!I2)*(C3:F3=基准地价!E2)*(C5:F9))</f>
        <v>0</v>
      </c>
      <c r="I5" s="1193" t="s">
        <v>1846</v>
      </c>
      <c r="J5" s="1173" t="s">
        <v>1847</v>
      </c>
      <c r="K5" s="1173" t="s">
        <v>1848</v>
      </c>
      <c r="L5" s="1173" t="s">
        <v>1849</v>
      </c>
      <c r="M5" s="1173" t="s">
        <v>1850</v>
      </c>
      <c r="N5" s="1173" t="s">
        <v>1851</v>
      </c>
      <c r="O5" s="1173" t="s">
        <v>1852</v>
      </c>
      <c r="P5" s="1173" t="s">
        <v>1853</v>
      </c>
      <c r="Q5" s="1173" t="s">
        <v>1854</v>
      </c>
      <c r="R5" s="1173" t="s">
        <v>1855</v>
      </c>
      <c r="S5" s="1173" t="s">
        <v>1856</v>
      </c>
      <c r="T5" s="1173" t="s">
        <v>1857</v>
      </c>
    </row>
    <row r="6" spans="1:20" ht="14.25" customHeight="1">
      <c r="A6" s="1168" t="s">
        <v>242</v>
      </c>
      <c r="B6" s="1173" t="s">
        <v>1821</v>
      </c>
      <c r="C6" s="1173">
        <v>30290</v>
      </c>
      <c r="D6" s="1173">
        <v>29210</v>
      </c>
      <c r="E6" s="1173">
        <v>28860</v>
      </c>
      <c r="F6" s="1174">
        <v>12600</v>
      </c>
      <c r="G6" s="1175" t="s">
        <v>255</v>
      </c>
      <c r="H6" s="1176">
        <f>SUMPRODUCT((B10:B28=基准地价!I2)*(C3:F3=基准地价!E2)*(C10:F28))</f>
        <v>0</v>
      </c>
      <c r="I6" s="1193" t="s">
        <v>1858</v>
      </c>
      <c r="J6" s="1173" t="s">
        <v>1859</v>
      </c>
      <c r="K6" s="1173" t="s">
        <v>1860</v>
      </c>
      <c r="L6" s="1173" t="s">
        <v>1861</v>
      </c>
      <c r="M6" s="1173" t="s">
        <v>1862</v>
      </c>
      <c r="N6" s="1173" t="s">
        <v>1863</v>
      </c>
      <c r="O6" s="1173" t="s">
        <v>1864</v>
      </c>
      <c r="P6" s="1173" t="s">
        <v>1865</v>
      </c>
      <c r="Q6" s="1173" t="s">
        <v>1866</v>
      </c>
      <c r="R6" s="1173" t="s">
        <v>1867</v>
      </c>
      <c r="S6" s="1173" t="s">
        <v>1868</v>
      </c>
      <c r="T6" s="1173" t="s">
        <v>1869</v>
      </c>
    </row>
    <row r="7" spans="1:20" ht="14.25" customHeight="1">
      <c r="A7" s="1168" t="s">
        <v>242</v>
      </c>
      <c r="B7" s="1177" t="s">
        <v>1834</v>
      </c>
      <c r="C7" s="1173">
        <v>29350</v>
      </c>
      <c r="D7" s="1173">
        <v>28410</v>
      </c>
      <c r="E7" s="1173">
        <v>27990</v>
      </c>
      <c r="F7" s="1174">
        <v>12300</v>
      </c>
      <c r="G7" s="1175" t="s">
        <v>267</v>
      </c>
      <c r="H7" s="1176">
        <f>SUMPRODUCT((B29:B48=基准地价!I2)*(C3:F3=基准地价!E2)*(C29:F48))</f>
        <v>0</v>
      </c>
      <c r="J7" s="1173" t="s">
        <v>1870</v>
      </c>
      <c r="K7" s="1173" t="s">
        <v>1871</v>
      </c>
      <c r="L7" s="1173" t="s">
        <v>1872</v>
      </c>
      <c r="M7" s="1173" t="s">
        <v>1873</v>
      </c>
      <c r="N7" s="1173" t="s">
        <v>1874</v>
      </c>
      <c r="O7" s="1173" t="s">
        <v>1875</v>
      </c>
      <c r="P7" s="1173" t="s">
        <v>1876</v>
      </c>
      <c r="Q7" s="1173" t="s">
        <v>1877</v>
      </c>
      <c r="R7" s="1173" t="s">
        <v>1878</v>
      </c>
      <c r="S7" s="1173" t="s">
        <v>1879</v>
      </c>
      <c r="T7" s="1177" t="s">
        <v>1880</v>
      </c>
    </row>
    <row r="8" spans="1:20" ht="14.25" customHeight="1">
      <c r="A8" s="1168" t="s">
        <v>242</v>
      </c>
      <c r="B8" s="1173" t="s">
        <v>1846</v>
      </c>
      <c r="C8" s="1173">
        <v>30890</v>
      </c>
      <c r="D8" s="1173">
        <v>29780</v>
      </c>
      <c r="E8" s="1173">
        <v>29270</v>
      </c>
      <c r="F8" s="1174">
        <v>11600</v>
      </c>
      <c r="G8" s="1175" t="s">
        <v>277</v>
      </c>
      <c r="H8" s="1176">
        <f>SUMPRODUCT((B49:B75=基准地价!I2)*(C3:F3=基准地价!E2)*(C49:F75))</f>
        <v>0</v>
      </c>
      <c r="J8" s="1173" t="s">
        <v>1881</v>
      </c>
      <c r="K8" s="1173" t="s">
        <v>1882</v>
      </c>
      <c r="L8" s="1173" t="s">
        <v>1883</v>
      </c>
      <c r="M8" s="1173" t="s">
        <v>1884</v>
      </c>
      <c r="N8" s="1173" t="s">
        <v>1885</v>
      </c>
      <c r="O8" s="1173" t="s">
        <v>1886</v>
      </c>
      <c r="P8" s="1173" t="s">
        <v>1887</v>
      </c>
      <c r="Q8" s="1173" t="s">
        <v>1888</v>
      </c>
      <c r="R8" s="1173" t="s">
        <v>1889</v>
      </c>
      <c r="S8" s="1173" t="s">
        <v>1890</v>
      </c>
      <c r="T8" s="1173" t="s">
        <v>1891</v>
      </c>
    </row>
    <row r="9" spans="1:20" ht="14.25" customHeight="1">
      <c r="A9" s="1168" t="s">
        <v>242</v>
      </c>
      <c r="B9" s="1178" t="s">
        <v>1858</v>
      </c>
      <c r="C9" s="1179">
        <v>28140</v>
      </c>
      <c r="D9" s="1179"/>
      <c r="E9" s="1179"/>
      <c r="F9" s="1180"/>
      <c r="G9" s="1175" t="s">
        <v>286</v>
      </c>
      <c r="H9" s="1176">
        <f>SUMPRODUCT((B76:B109=基准地价!I2)*(C3:F3=基准地价!E2)*(C76:F109))</f>
        <v>0</v>
      </c>
      <c r="J9" s="1173" t="s">
        <v>1892</v>
      </c>
      <c r="K9" s="1173" t="s">
        <v>1893</v>
      </c>
      <c r="L9" s="1173" t="s">
        <v>1894</v>
      </c>
      <c r="M9" s="1173" t="s">
        <v>1895</v>
      </c>
      <c r="N9" s="1173" t="s">
        <v>1896</v>
      </c>
      <c r="O9" s="1173" t="s">
        <v>1897</v>
      </c>
      <c r="P9" s="1173" t="s">
        <v>1898</v>
      </c>
      <c r="Q9" s="1173" t="s">
        <v>1899</v>
      </c>
      <c r="R9" s="1173" t="s">
        <v>1900</v>
      </c>
      <c r="S9" s="1173" t="s">
        <v>1901</v>
      </c>
    </row>
    <row r="10" spans="1:20" ht="14.25" customHeight="1">
      <c r="A10" s="1168" t="s">
        <v>255</v>
      </c>
      <c r="B10" s="1169" t="s">
        <v>1809</v>
      </c>
      <c r="C10" s="1169">
        <v>27450</v>
      </c>
      <c r="D10" s="1169">
        <v>26180</v>
      </c>
      <c r="E10" s="1169">
        <v>25980</v>
      </c>
      <c r="F10" s="1170">
        <v>8910</v>
      </c>
      <c r="G10" s="1175" t="s">
        <v>294</v>
      </c>
      <c r="H10" s="1176">
        <f>SUMPRODUCT((B110:B157=基准地价!I2)*(C3:F3=基准地价!E2)*(C110:F157))</f>
        <v>0</v>
      </c>
      <c r="J10" s="1173" t="s">
        <v>1902</v>
      </c>
      <c r="K10" s="1173" t="s">
        <v>1903</v>
      </c>
      <c r="L10" s="1173" t="s">
        <v>1904</v>
      </c>
      <c r="M10" s="1173" t="s">
        <v>1905</v>
      </c>
      <c r="N10" s="1173" t="s">
        <v>1906</v>
      </c>
      <c r="O10" s="1173" t="s">
        <v>1907</v>
      </c>
      <c r="P10" s="1173" t="s">
        <v>1908</v>
      </c>
      <c r="Q10" s="1173" t="s">
        <v>1909</v>
      </c>
      <c r="R10" s="1173" t="s">
        <v>1910</v>
      </c>
      <c r="S10" s="1173" t="s">
        <v>1911</v>
      </c>
    </row>
    <row r="11" spans="1:20" ht="14.25" customHeight="1">
      <c r="A11" s="1168" t="s">
        <v>255</v>
      </c>
      <c r="B11" s="1177" t="s">
        <v>1822</v>
      </c>
      <c r="C11" s="1173">
        <v>22950</v>
      </c>
      <c r="D11" s="1173">
        <v>22630</v>
      </c>
      <c r="E11" s="1173">
        <v>22030</v>
      </c>
      <c r="F11" s="1181">
        <v>8330</v>
      </c>
      <c r="G11" s="1175" t="s">
        <v>299</v>
      </c>
      <c r="H11" s="1176">
        <f>SUMPRODUCT((B158:B205=基准地价!I2)*(C3:F3=基准地价!E2)*(C158:F205))</f>
        <v>0</v>
      </c>
      <c r="J11" s="1173" t="s">
        <v>1912</v>
      </c>
      <c r="K11" s="1173" t="s">
        <v>1913</v>
      </c>
      <c r="L11" s="1173" t="s">
        <v>1914</v>
      </c>
      <c r="M11" s="1173" t="s">
        <v>1915</v>
      </c>
      <c r="N11" s="1173" t="s">
        <v>1916</v>
      </c>
      <c r="O11" s="1173" t="s">
        <v>1917</v>
      </c>
      <c r="P11" s="1173" t="s">
        <v>1918</v>
      </c>
      <c r="Q11" s="1173" t="s">
        <v>1919</v>
      </c>
      <c r="R11" s="1173" t="s">
        <v>1920</v>
      </c>
      <c r="S11" s="1173" t="s">
        <v>1921</v>
      </c>
    </row>
    <row r="12" spans="1:20" ht="14.25" customHeight="1">
      <c r="A12" s="1168" t="s">
        <v>255</v>
      </c>
      <c r="B12" s="1177" t="s">
        <v>1835</v>
      </c>
      <c r="C12" s="1173">
        <v>24940</v>
      </c>
      <c r="D12" s="1173">
        <v>23180</v>
      </c>
      <c r="E12" s="1173">
        <v>22910</v>
      </c>
      <c r="F12" s="1181">
        <v>7180</v>
      </c>
      <c r="G12" s="1175" t="s">
        <v>304</v>
      </c>
      <c r="H12" s="1176">
        <f>SUMPRODUCT((B206:B244=基准地价!I2)*(C3:F3=基准地价!E2)*(C206:F244))</f>
        <v>0</v>
      </c>
      <c r="J12" s="1173" t="s">
        <v>1922</v>
      </c>
      <c r="K12" s="1173" t="s">
        <v>1923</v>
      </c>
      <c r="L12" s="1173" t="s">
        <v>1924</v>
      </c>
      <c r="M12" s="1173" t="s">
        <v>1925</v>
      </c>
      <c r="N12" s="1173" t="s">
        <v>1926</v>
      </c>
      <c r="O12" s="1173" t="s">
        <v>1927</v>
      </c>
      <c r="P12" s="1173" t="s">
        <v>1928</v>
      </c>
      <c r="Q12" s="1173" t="s">
        <v>1929</v>
      </c>
      <c r="R12" s="1173" t="s">
        <v>1930</v>
      </c>
      <c r="S12" s="1173" t="s">
        <v>1931</v>
      </c>
    </row>
    <row r="13" spans="1:20" ht="14.25" customHeight="1">
      <c r="A13" s="1168" t="s">
        <v>255</v>
      </c>
      <c r="B13" s="1177" t="s">
        <v>1847</v>
      </c>
      <c r="C13" s="1173">
        <v>24140</v>
      </c>
      <c r="D13" s="1173">
        <v>22270</v>
      </c>
      <c r="E13" s="1173">
        <v>21950</v>
      </c>
      <c r="F13" s="1181">
        <v>7600</v>
      </c>
      <c r="G13" s="1175" t="s">
        <v>307</v>
      </c>
      <c r="H13" s="1176">
        <f>SUMPRODUCT((B245:B289=基准地价!I2)*(C3:F3=基准地价!E2)*(C245:F289))</f>
        <v>0</v>
      </c>
      <c r="J13" s="1173" t="s">
        <v>1932</v>
      </c>
      <c r="K13" s="1173" t="s">
        <v>1933</v>
      </c>
      <c r="L13" s="1173" t="s">
        <v>1934</v>
      </c>
      <c r="M13" s="1173" t="s">
        <v>1935</v>
      </c>
      <c r="N13" s="1173" t="s">
        <v>1936</v>
      </c>
      <c r="O13" s="1173" t="s">
        <v>1937</v>
      </c>
      <c r="P13" s="1173" t="s">
        <v>1938</v>
      </c>
      <c r="Q13" s="1173" t="s">
        <v>1939</v>
      </c>
      <c r="R13" s="1173" t="s">
        <v>1940</v>
      </c>
      <c r="S13" s="1173" t="s">
        <v>1941</v>
      </c>
    </row>
    <row r="14" spans="1:20" ht="14.25" customHeight="1">
      <c r="A14" s="1168" t="s">
        <v>255</v>
      </c>
      <c r="B14" s="1177" t="s">
        <v>1859</v>
      </c>
      <c r="C14" s="1173">
        <v>25600</v>
      </c>
      <c r="D14" s="1173">
        <v>22260</v>
      </c>
      <c r="E14" s="1173">
        <v>22110</v>
      </c>
      <c r="F14" s="1181">
        <v>7630</v>
      </c>
      <c r="G14" s="1175" t="s">
        <v>310</v>
      </c>
      <c r="H14" s="1176">
        <f>SUMPRODUCT((B290:B316=基准地价!I2)*(C3:F3=基准地价!E2)*(C290:F316))</f>
        <v>0</v>
      </c>
      <c r="J14" s="1173" t="s">
        <v>1942</v>
      </c>
      <c r="K14" s="1173" t="s">
        <v>1943</v>
      </c>
      <c r="L14" s="1173" t="s">
        <v>1944</v>
      </c>
      <c r="M14" s="1173" t="s">
        <v>1945</v>
      </c>
      <c r="N14" s="1173" t="s">
        <v>1946</v>
      </c>
      <c r="O14" s="1173" t="s">
        <v>1947</v>
      </c>
      <c r="P14" s="1173" t="s">
        <v>1948</v>
      </c>
      <c r="Q14" s="1173" t="s">
        <v>1949</v>
      </c>
      <c r="R14" s="1173" t="s">
        <v>1950</v>
      </c>
      <c r="S14" s="1173" t="s">
        <v>1951</v>
      </c>
    </row>
    <row r="15" spans="1:20" ht="14.25" customHeight="1">
      <c r="A15" s="1168" t="s">
        <v>255</v>
      </c>
      <c r="B15" s="1177" t="s">
        <v>1870</v>
      </c>
      <c r="C15" s="1173">
        <v>24760</v>
      </c>
      <c r="D15" s="1173">
        <v>24440</v>
      </c>
      <c r="E15" s="1173">
        <v>24130</v>
      </c>
      <c r="F15" s="1181">
        <v>9480</v>
      </c>
      <c r="G15" s="1175" t="s">
        <v>313</v>
      </c>
      <c r="H15" s="1176">
        <f>SUMPRODUCT((B317:B337=基准地价!I2)*(C3:F3=基准地价!E2)*(C317:F337))</f>
        <v>0</v>
      </c>
      <c r="J15" s="1173" t="s">
        <v>1952</v>
      </c>
      <c r="K15" s="1173" t="s">
        <v>1953</v>
      </c>
      <c r="L15" s="1173" t="s">
        <v>1954</v>
      </c>
      <c r="M15" s="1173" t="s">
        <v>1955</v>
      </c>
      <c r="N15" s="1173" t="s">
        <v>1956</v>
      </c>
      <c r="O15" s="1173" t="s">
        <v>1957</v>
      </c>
      <c r="P15" s="1173" t="s">
        <v>1958</v>
      </c>
      <c r="Q15" s="1173" t="s">
        <v>1959</v>
      </c>
      <c r="R15" s="1173" t="s">
        <v>1960</v>
      </c>
      <c r="S15" s="1173" t="s">
        <v>1961</v>
      </c>
    </row>
    <row r="16" spans="1:20" ht="14.25" customHeight="1">
      <c r="A16" s="1168" t="s">
        <v>255</v>
      </c>
      <c r="B16" s="1177" t="s">
        <v>1881</v>
      </c>
      <c r="C16" s="1173">
        <v>22220</v>
      </c>
      <c r="D16" s="1173">
        <v>22310</v>
      </c>
      <c r="E16" s="1173">
        <v>22000</v>
      </c>
      <c r="F16" s="1181">
        <v>8900</v>
      </c>
      <c r="G16" s="1182" t="s">
        <v>316</v>
      </c>
      <c r="H16" s="1183">
        <f>SUMPRODUCT((B338:B344=基准地价!I2)*(C3:F3=基准地价!E2)*(C338:F344))</f>
        <v>0</v>
      </c>
      <c r="J16" s="1173" t="s">
        <v>1962</v>
      </c>
      <c r="K16" s="1173" t="s">
        <v>1963</v>
      </c>
      <c r="L16" s="1173" t="s">
        <v>1964</v>
      </c>
      <c r="M16" s="1173" t="s">
        <v>1965</v>
      </c>
      <c r="N16" s="1173" t="s">
        <v>1966</v>
      </c>
      <c r="O16" s="1173" t="s">
        <v>1967</v>
      </c>
      <c r="P16" s="1173" t="s">
        <v>1968</v>
      </c>
      <c r="Q16" s="1173" t="s">
        <v>1969</v>
      </c>
      <c r="R16" s="1173" t="s">
        <v>1970</v>
      </c>
      <c r="S16" s="1173" t="s">
        <v>1971</v>
      </c>
    </row>
    <row r="17" spans="1:19" ht="14.25" customHeight="1">
      <c r="A17" s="1168" t="s">
        <v>255</v>
      </c>
      <c r="B17" s="1177" t="s">
        <v>1892</v>
      </c>
      <c r="C17" s="1173">
        <v>24700</v>
      </c>
      <c r="D17" s="1173">
        <v>25150</v>
      </c>
      <c r="E17" s="1173">
        <v>24700</v>
      </c>
      <c r="F17" s="1184"/>
      <c r="H17" s="1185"/>
      <c r="J17" s="1173" t="s">
        <v>1972</v>
      </c>
      <c r="K17" s="1173" t="s">
        <v>1973</v>
      </c>
      <c r="L17" s="1173" t="s">
        <v>1974</v>
      </c>
      <c r="M17" s="1173" t="s">
        <v>1975</v>
      </c>
      <c r="N17" s="1173" t="s">
        <v>1976</v>
      </c>
      <c r="O17" s="1173" t="s">
        <v>1977</v>
      </c>
      <c r="P17" s="1173" t="s">
        <v>1978</v>
      </c>
      <c r="Q17" s="1173" t="s">
        <v>1979</v>
      </c>
      <c r="R17" s="1173" t="s">
        <v>1980</v>
      </c>
      <c r="S17" s="1173" t="s">
        <v>1981</v>
      </c>
    </row>
    <row r="18" spans="1:19" ht="14.25" customHeight="1">
      <c r="A18" s="1168" t="s">
        <v>255</v>
      </c>
      <c r="B18" s="1177" t="s">
        <v>1902</v>
      </c>
      <c r="C18" s="1173">
        <v>22350</v>
      </c>
      <c r="D18" s="1173">
        <v>24340</v>
      </c>
      <c r="E18" s="1173">
        <v>24100</v>
      </c>
      <c r="F18" s="1184"/>
      <c r="H18" s="1185"/>
      <c r="J18" s="1173" t="s">
        <v>1982</v>
      </c>
      <c r="K18" s="1173" t="s">
        <v>1983</v>
      </c>
      <c r="L18" s="1173" t="s">
        <v>1984</v>
      </c>
      <c r="M18" s="1173" t="s">
        <v>1985</v>
      </c>
      <c r="N18" s="1173" t="s">
        <v>1986</v>
      </c>
      <c r="O18" s="1173" t="s">
        <v>1987</v>
      </c>
      <c r="P18" s="1173" t="s">
        <v>1988</v>
      </c>
      <c r="Q18" s="1173" t="s">
        <v>1989</v>
      </c>
      <c r="R18" s="1173" t="s">
        <v>1990</v>
      </c>
      <c r="S18" s="1173" t="s">
        <v>1991</v>
      </c>
    </row>
    <row r="19" spans="1:19" ht="14.25" customHeight="1">
      <c r="A19" s="1168" t="s">
        <v>255</v>
      </c>
      <c r="B19" s="1177" t="s">
        <v>1912</v>
      </c>
      <c r="C19" s="1173">
        <v>23430</v>
      </c>
      <c r="D19" s="1173">
        <v>21580</v>
      </c>
      <c r="E19" s="1173">
        <v>21350</v>
      </c>
      <c r="F19" s="1184"/>
      <c r="H19" s="1185"/>
      <c r="J19" s="1173" t="s">
        <v>1992</v>
      </c>
      <c r="K19" s="1173" t="s">
        <v>1993</v>
      </c>
      <c r="L19" s="1173" t="s">
        <v>1994</v>
      </c>
      <c r="M19" s="1173" t="s">
        <v>1995</v>
      </c>
      <c r="N19" s="1173" t="s">
        <v>1996</v>
      </c>
      <c r="O19" s="1173" t="s">
        <v>1997</v>
      </c>
      <c r="P19" s="1173" t="s">
        <v>1998</v>
      </c>
      <c r="Q19" s="1173" t="s">
        <v>1999</v>
      </c>
      <c r="R19" s="1173" t="s">
        <v>2000</v>
      </c>
      <c r="S19" s="1173" t="s">
        <v>2001</v>
      </c>
    </row>
    <row r="20" spans="1:19" ht="14.25" customHeight="1">
      <c r="A20" s="1168" t="s">
        <v>255</v>
      </c>
      <c r="B20" s="1177" t="s">
        <v>1922</v>
      </c>
      <c r="C20" s="1173">
        <v>27660</v>
      </c>
      <c r="D20" s="1173">
        <v>24240</v>
      </c>
      <c r="E20" s="1173">
        <v>24020</v>
      </c>
      <c r="F20" s="1184"/>
      <c r="J20" s="1173" t="s">
        <v>2002</v>
      </c>
      <c r="K20" s="1173" t="s">
        <v>2003</v>
      </c>
      <c r="L20" s="1173" t="s">
        <v>2004</v>
      </c>
      <c r="M20" s="1173" t="s">
        <v>2005</v>
      </c>
      <c r="N20" s="1173" t="s">
        <v>2006</v>
      </c>
      <c r="O20" s="1173" t="s">
        <v>2007</v>
      </c>
      <c r="P20" s="1173" t="s">
        <v>2008</v>
      </c>
      <c r="Q20" s="1173" t="s">
        <v>2009</v>
      </c>
      <c r="R20" s="1173" t="s">
        <v>2010</v>
      </c>
      <c r="S20" s="1173" t="s">
        <v>2011</v>
      </c>
    </row>
    <row r="21" spans="1:19" ht="14.25" customHeight="1">
      <c r="A21" s="1168" t="s">
        <v>255</v>
      </c>
      <c r="B21" s="1177" t="s">
        <v>1932</v>
      </c>
      <c r="C21" s="1173">
        <v>24720</v>
      </c>
      <c r="D21" s="1173">
        <v>21670</v>
      </c>
      <c r="E21" s="1173">
        <v>21510</v>
      </c>
      <c r="F21" s="1184"/>
      <c r="K21" s="1173" t="s">
        <v>2012</v>
      </c>
      <c r="L21" s="1173" t="s">
        <v>2013</v>
      </c>
      <c r="M21" s="1173" t="s">
        <v>2014</v>
      </c>
      <c r="N21" s="1173" t="s">
        <v>2015</v>
      </c>
      <c r="O21" s="1173" t="s">
        <v>2016</v>
      </c>
      <c r="P21" s="1173" t="s">
        <v>2017</v>
      </c>
      <c r="Q21" s="1173" t="s">
        <v>2018</v>
      </c>
      <c r="R21" s="1173" t="s">
        <v>2019</v>
      </c>
      <c r="S21" s="1173" t="s">
        <v>2020</v>
      </c>
    </row>
    <row r="22" spans="1:19" ht="14.25" customHeight="1">
      <c r="A22" s="1168" t="s">
        <v>255</v>
      </c>
      <c r="B22" s="1177" t="s">
        <v>1942</v>
      </c>
      <c r="C22" s="1173">
        <v>26530</v>
      </c>
      <c r="D22" s="1173">
        <v>22980</v>
      </c>
      <c r="E22" s="1173">
        <v>22650</v>
      </c>
      <c r="F22" s="1184"/>
      <c r="L22" s="1173" t="s">
        <v>2021</v>
      </c>
      <c r="M22" s="1173" t="s">
        <v>2022</v>
      </c>
      <c r="N22" s="1173" t="s">
        <v>2023</v>
      </c>
      <c r="O22" s="1173" t="s">
        <v>2024</v>
      </c>
      <c r="P22" s="1173" t="s">
        <v>2025</v>
      </c>
      <c r="Q22" s="1173" t="s">
        <v>2026</v>
      </c>
      <c r="R22" s="1173" t="s">
        <v>2027</v>
      </c>
      <c r="S22" s="1177" t="s">
        <v>2028</v>
      </c>
    </row>
    <row r="23" spans="1:19" ht="14.25" customHeight="1">
      <c r="A23" s="1168" t="s">
        <v>255</v>
      </c>
      <c r="B23" s="1177" t="s">
        <v>1952</v>
      </c>
      <c r="C23" s="1173">
        <v>24700</v>
      </c>
      <c r="D23" s="1173">
        <v>27290</v>
      </c>
      <c r="E23" s="1173">
        <v>26710</v>
      </c>
      <c r="F23" s="1184"/>
      <c r="L23" s="1173" t="s">
        <v>2029</v>
      </c>
      <c r="M23" s="1173" t="s">
        <v>2030</v>
      </c>
      <c r="N23" s="1173" t="s">
        <v>2031</v>
      </c>
      <c r="O23" s="1173" t="s">
        <v>2032</v>
      </c>
      <c r="P23" s="1173" t="s">
        <v>2033</v>
      </c>
      <c r="Q23" s="1173" t="s">
        <v>2034</v>
      </c>
      <c r="R23" s="1173" t="s">
        <v>2035</v>
      </c>
    </row>
    <row r="24" spans="1:19" ht="14.25" customHeight="1">
      <c r="A24" s="1168" t="s">
        <v>255</v>
      </c>
      <c r="B24" s="1177" t="s">
        <v>1962</v>
      </c>
      <c r="C24" s="1173">
        <v>23070</v>
      </c>
      <c r="D24" s="1173">
        <v>24130</v>
      </c>
      <c r="E24" s="1173">
        <v>23860</v>
      </c>
      <c r="F24" s="1184"/>
      <c r="L24" s="1173" t="s">
        <v>2036</v>
      </c>
      <c r="M24" s="1173" t="s">
        <v>2037</v>
      </c>
      <c r="N24" s="1173" t="s">
        <v>2038</v>
      </c>
      <c r="O24" s="1173" t="s">
        <v>2039</v>
      </c>
      <c r="P24" s="1173" t="s">
        <v>2040</v>
      </c>
      <c r="Q24" s="1173" t="s">
        <v>2041</v>
      </c>
      <c r="R24" s="1173" t="s">
        <v>2042</v>
      </c>
    </row>
    <row r="25" spans="1:19" ht="14.25" customHeight="1">
      <c r="A25" s="1168" t="s">
        <v>255</v>
      </c>
      <c r="B25" s="1177" t="s">
        <v>1972</v>
      </c>
      <c r="C25" s="1173">
        <v>27550</v>
      </c>
      <c r="D25" s="1173">
        <v>25850</v>
      </c>
      <c r="E25" s="1173">
        <v>25340</v>
      </c>
      <c r="F25" s="1184"/>
      <c r="L25" s="1173" t="s">
        <v>2043</v>
      </c>
      <c r="M25" s="1173" t="s">
        <v>2044</v>
      </c>
      <c r="N25" s="1173" t="s">
        <v>2045</v>
      </c>
      <c r="O25" s="1173" t="s">
        <v>2046</v>
      </c>
      <c r="P25" s="1173" t="s">
        <v>2047</v>
      </c>
      <c r="Q25" s="1173" t="s">
        <v>2048</v>
      </c>
      <c r="R25" s="1173" t="s">
        <v>2049</v>
      </c>
    </row>
    <row r="26" spans="1:19" ht="14.25" customHeight="1">
      <c r="A26" s="1168" t="s">
        <v>255</v>
      </c>
      <c r="B26" s="1177" t="s">
        <v>1982</v>
      </c>
      <c r="C26" s="1173"/>
      <c r="D26" s="1173">
        <v>23900</v>
      </c>
      <c r="E26" s="1173">
        <v>23590</v>
      </c>
      <c r="F26" s="1184"/>
      <c r="L26" s="1173" t="s">
        <v>2050</v>
      </c>
      <c r="M26" s="1173" t="s">
        <v>2051</v>
      </c>
      <c r="N26" s="1173" t="s">
        <v>2052</v>
      </c>
      <c r="O26" s="1173" t="s">
        <v>2053</v>
      </c>
      <c r="P26" s="1173" t="s">
        <v>2054</v>
      </c>
      <c r="Q26" s="1173" t="s">
        <v>2055</v>
      </c>
      <c r="R26" s="1173" t="s">
        <v>2056</v>
      </c>
    </row>
    <row r="27" spans="1:19" ht="14.25" customHeight="1">
      <c r="A27" s="1168" t="s">
        <v>255</v>
      </c>
      <c r="B27" s="1177" t="s">
        <v>1992</v>
      </c>
      <c r="C27" s="1173"/>
      <c r="D27" s="1173">
        <v>22850</v>
      </c>
      <c r="E27" s="1173">
        <v>21920</v>
      </c>
      <c r="F27" s="1184"/>
      <c r="L27" s="1173" t="s">
        <v>2057</v>
      </c>
      <c r="M27" s="1173" t="s">
        <v>2058</v>
      </c>
      <c r="N27" s="1173" t="s">
        <v>2059</v>
      </c>
      <c r="O27" s="1173" t="s">
        <v>2060</v>
      </c>
      <c r="P27" s="1173" t="s">
        <v>2061</v>
      </c>
      <c r="Q27" s="1173" t="s">
        <v>2062</v>
      </c>
      <c r="R27" s="1173" t="s">
        <v>2063</v>
      </c>
    </row>
    <row r="28" spans="1:19" ht="14.25" customHeight="1">
      <c r="A28" s="1186" t="s">
        <v>255</v>
      </c>
      <c r="B28" s="1178" t="s">
        <v>2002</v>
      </c>
      <c r="C28" s="1179"/>
      <c r="D28" s="1179">
        <v>26610</v>
      </c>
      <c r="E28" s="1179">
        <v>26370</v>
      </c>
      <c r="F28" s="1180"/>
      <c r="L28" s="1173" t="s">
        <v>2064</v>
      </c>
      <c r="M28" s="1173" t="s">
        <v>2065</v>
      </c>
      <c r="N28" s="1173" t="s">
        <v>2066</v>
      </c>
      <c r="O28" s="1173" t="s">
        <v>2067</v>
      </c>
      <c r="P28" s="1173" t="s">
        <v>2068</v>
      </c>
      <c r="Q28" s="1173" t="s">
        <v>2069</v>
      </c>
    </row>
    <row r="29" spans="1:19" ht="14.25" customHeight="1">
      <c r="A29" s="1168" t="s">
        <v>267</v>
      </c>
      <c r="B29" s="1169" t="s">
        <v>1810</v>
      </c>
      <c r="C29" s="1169">
        <v>22090</v>
      </c>
      <c r="D29" s="1169">
        <v>21860</v>
      </c>
      <c r="E29" s="1169">
        <v>19380</v>
      </c>
      <c r="F29" s="1170">
        <v>6610</v>
      </c>
      <c r="M29" s="1173" t="s">
        <v>2070</v>
      </c>
      <c r="N29" s="1173" t="s">
        <v>2071</v>
      </c>
      <c r="O29" s="1173" t="s">
        <v>2072</v>
      </c>
      <c r="P29" s="1173" t="s">
        <v>2073</v>
      </c>
      <c r="Q29" s="1173" t="s">
        <v>2074</v>
      </c>
    </row>
    <row r="30" spans="1:19" ht="14.25" customHeight="1">
      <c r="A30" s="1168" t="s">
        <v>267</v>
      </c>
      <c r="B30" s="1177" t="s">
        <v>1823</v>
      </c>
      <c r="C30" s="1173">
        <v>21380</v>
      </c>
      <c r="D30" s="1173">
        <v>19930</v>
      </c>
      <c r="E30" s="1173">
        <v>19860</v>
      </c>
      <c r="F30" s="1181">
        <v>6010</v>
      </c>
      <c r="H30" s="1185"/>
      <c r="M30" s="1173" t="s">
        <v>2075</v>
      </c>
      <c r="N30" s="1173" t="s">
        <v>2076</v>
      </c>
      <c r="O30" s="1173" t="s">
        <v>2077</v>
      </c>
      <c r="P30" s="1173" t="s">
        <v>2078</v>
      </c>
      <c r="Q30" s="1173" t="s">
        <v>2079</v>
      </c>
    </row>
    <row r="31" spans="1:19" ht="14.25" customHeight="1">
      <c r="A31" s="1168" t="s">
        <v>267</v>
      </c>
      <c r="B31" s="1177" t="s">
        <v>1836</v>
      </c>
      <c r="C31" s="1173">
        <v>21670</v>
      </c>
      <c r="D31" s="1173">
        <v>20660</v>
      </c>
      <c r="E31" s="1173">
        <v>20290</v>
      </c>
      <c r="F31" s="1181">
        <v>5840</v>
      </c>
      <c r="H31" s="1185"/>
      <c r="M31" s="1173" t="s">
        <v>2080</v>
      </c>
      <c r="N31" s="1173" t="s">
        <v>2081</v>
      </c>
      <c r="O31" s="1173" t="s">
        <v>2082</v>
      </c>
      <c r="P31" s="1173" t="s">
        <v>2083</v>
      </c>
      <c r="Q31" s="1173" t="s">
        <v>2084</v>
      </c>
    </row>
    <row r="32" spans="1:19" ht="14.25" customHeight="1">
      <c r="A32" s="1168" t="s">
        <v>267</v>
      </c>
      <c r="B32" s="1177" t="s">
        <v>1848</v>
      </c>
      <c r="C32" s="1173">
        <v>22280</v>
      </c>
      <c r="D32" s="1173">
        <v>21800</v>
      </c>
      <c r="E32" s="1173">
        <v>17650</v>
      </c>
      <c r="F32" s="1181">
        <v>4690</v>
      </c>
      <c r="H32" s="1185"/>
      <c r="M32" s="1173" t="s">
        <v>2085</v>
      </c>
      <c r="N32" s="1173" t="s">
        <v>2086</v>
      </c>
      <c r="O32" s="1173" t="s">
        <v>2087</v>
      </c>
      <c r="P32" s="1173" t="s">
        <v>2088</v>
      </c>
      <c r="Q32" s="1173" t="s">
        <v>2089</v>
      </c>
    </row>
    <row r="33" spans="1:17" ht="14.25" customHeight="1">
      <c r="A33" s="1168" t="s">
        <v>267</v>
      </c>
      <c r="B33" s="1177" t="s">
        <v>1860</v>
      </c>
      <c r="C33" s="1173">
        <v>22130</v>
      </c>
      <c r="D33" s="1173">
        <v>20460</v>
      </c>
      <c r="E33" s="1173">
        <v>18500</v>
      </c>
      <c r="F33" s="1181">
        <v>5340</v>
      </c>
      <c r="H33" s="1185"/>
      <c r="M33" s="1173" t="s">
        <v>2090</v>
      </c>
      <c r="N33" s="1173" t="s">
        <v>2091</v>
      </c>
      <c r="O33" s="1173" t="s">
        <v>2092</v>
      </c>
      <c r="P33" s="1173" t="s">
        <v>2093</v>
      </c>
      <c r="Q33" s="1173" t="s">
        <v>2094</v>
      </c>
    </row>
    <row r="34" spans="1:17" ht="14.25" customHeight="1">
      <c r="A34" s="1168" t="s">
        <v>267</v>
      </c>
      <c r="B34" s="1177" t="s">
        <v>1871</v>
      </c>
      <c r="C34" s="1173">
        <v>22070</v>
      </c>
      <c r="D34" s="1173">
        <v>20110</v>
      </c>
      <c r="E34" s="1173">
        <v>18830</v>
      </c>
      <c r="F34" s="1181">
        <v>5190</v>
      </c>
      <c r="H34" s="1185"/>
      <c r="M34" s="1173" t="s">
        <v>2095</v>
      </c>
      <c r="N34" s="1173" t="s">
        <v>2096</v>
      </c>
      <c r="O34" s="1173" t="s">
        <v>2097</v>
      </c>
      <c r="P34" s="1173" t="s">
        <v>2098</v>
      </c>
      <c r="Q34" s="1173" t="s">
        <v>2099</v>
      </c>
    </row>
    <row r="35" spans="1:17" ht="14.25" customHeight="1">
      <c r="A35" s="1168" t="s">
        <v>267</v>
      </c>
      <c r="B35" s="1177" t="s">
        <v>1882</v>
      </c>
      <c r="C35" s="1173">
        <v>22240</v>
      </c>
      <c r="D35" s="1173">
        <v>19550</v>
      </c>
      <c r="E35" s="1173">
        <v>19220</v>
      </c>
      <c r="F35" s="1181">
        <v>5800</v>
      </c>
      <c r="H35" s="1185"/>
      <c r="M35" s="1173" t="s">
        <v>2100</v>
      </c>
      <c r="N35" s="1173" t="s">
        <v>2101</v>
      </c>
      <c r="O35" s="1173" t="s">
        <v>2102</v>
      </c>
      <c r="P35" s="1173" t="s">
        <v>2103</v>
      </c>
      <c r="Q35" s="1173" t="s">
        <v>2104</v>
      </c>
    </row>
    <row r="36" spans="1:17" ht="14.25" customHeight="1">
      <c r="A36" s="1168" t="s">
        <v>267</v>
      </c>
      <c r="B36" s="1177" t="s">
        <v>1893</v>
      </c>
      <c r="C36" s="1173">
        <v>19750</v>
      </c>
      <c r="D36" s="1173">
        <v>19790</v>
      </c>
      <c r="E36" s="1173">
        <v>18510</v>
      </c>
      <c r="F36" s="1181">
        <v>6520</v>
      </c>
      <c r="H36" s="1185"/>
      <c r="N36" s="1173" t="s">
        <v>2105</v>
      </c>
      <c r="O36" s="1173" t="s">
        <v>2106</v>
      </c>
      <c r="P36" s="1173" t="s">
        <v>2107</v>
      </c>
      <c r="Q36" s="1173" t="s">
        <v>2108</v>
      </c>
    </row>
    <row r="37" spans="1:17" ht="14.25" customHeight="1">
      <c r="A37" s="1168" t="s">
        <v>267</v>
      </c>
      <c r="B37" s="1177" t="s">
        <v>1903</v>
      </c>
      <c r="C37" s="1173">
        <v>22380</v>
      </c>
      <c r="D37" s="1173">
        <v>18530</v>
      </c>
      <c r="E37" s="1173">
        <v>17930</v>
      </c>
      <c r="F37" s="1181">
        <v>6270</v>
      </c>
      <c r="H37" s="1187"/>
      <c r="N37" s="1173" t="s">
        <v>2109</v>
      </c>
      <c r="O37" s="1173" t="s">
        <v>2110</v>
      </c>
      <c r="P37" s="1173" t="s">
        <v>2111</v>
      </c>
      <c r="Q37" s="1173" t="s">
        <v>2112</v>
      </c>
    </row>
    <row r="38" spans="1:17" ht="14.25" customHeight="1">
      <c r="A38" s="1168" t="s">
        <v>267</v>
      </c>
      <c r="B38" s="1177" t="s">
        <v>1913</v>
      </c>
      <c r="C38" s="1173">
        <v>20200</v>
      </c>
      <c r="D38" s="1173">
        <v>20070</v>
      </c>
      <c r="E38" s="1173">
        <v>19950</v>
      </c>
      <c r="F38" s="1181"/>
      <c r="H38" s="1188"/>
      <c r="N38" s="1173" t="s">
        <v>2113</v>
      </c>
      <c r="O38" s="1173" t="s">
        <v>2114</v>
      </c>
      <c r="P38" s="1173" t="s">
        <v>2115</v>
      </c>
      <c r="Q38" s="1173" t="s">
        <v>2116</v>
      </c>
    </row>
    <row r="39" spans="1:17" ht="14.25" customHeight="1">
      <c r="A39" s="1168" t="s">
        <v>267</v>
      </c>
      <c r="B39" s="1177" t="s">
        <v>1923</v>
      </c>
      <c r="C39" s="1173">
        <v>19300</v>
      </c>
      <c r="D39" s="1173">
        <v>20360</v>
      </c>
      <c r="E39" s="1173">
        <v>20230</v>
      </c>
      <c r="F39" s="1181"/>
      <c r="H39" s="1188"/>
      <c r="N39" s="1173" t="s">
        <v>2117</v>
      </c>
      <c r="O39" s="1173" t="s">
        <v>2118</v>
      </c>
      <c r="P39" s="1173" t="s">
        <v>2119</v>
      </c>
      <c r="Q39" s="1173" t="s">
        <v>2120</v>
      </c>
    </row>
    <row r="40" spans="1:17" ht="14.25" customHeight="1">
      <c r="A40" s="1168" t="s">
        <v>267</v>
      </c>
      <c r="B40" s="1177" t="s">
        <v>1933</v>
      </c>
      <c r="C40" s="1173">
        <v>20210</v>
      </c>
      <c r="D40" s="1173">
        <v>19060</v>
      </c>
      <c r="E40" s="1173">
        <v>18890</v>
      </c>
      <c r="F40" s="1181"/>
      <c r="H40" s="1188"/>
      <c r="N40" s="1173" t="s">
        <v>2121</v>
      </c>
      <c r="O40" s="1173" t="s">
        <v>2122</v>
      </c>
      <c r="P40" s="1173" t="s">
        <v>2123</v>
      </c>
      <c r="Q40" s="1173" t="s">
        <v>2124</v>
      </c>
    </row>
    <row r="41" spans="1:17" ht="14.25" customHeight="1">
      <c r="A41" s="1168" t="s">
        <v>267</v>
      </c>
      <c r="B41" s="1177" t="s">
        <v>1943</v>
      </c>
      <c r="C41" s="1173">
        <v>20560</v>
      </c>
      <c r="D41" s="1173">
        <v>21040</v>
      </c>
      <c r="E41" s="1173">
        <v>20740</v>
      </c>
      <c r="F41" s="1181"/>
      <c r="H41" s="1188"/>
      <c r="N41" s="1177" t="s">
        <v>2125</v>
      </c>
      <c r="O41" s="1177" t="s">
        <v>2126</v>
      </c>
      <c r="Q41" s="1177" t="s">
        <v>2127</v>
      </c>
    </row>
    <row r="42" spans="1:17" ht="14.25" customHeight="1">
      <c r="A42" s="1168" t="s">
        <v>267</v>
      </c>
      <c r="B42" s="1177" t="s">
        <v>1953</v>
      </c>
      <c r="C42" s="1173">
        <v>19280</v>
      </c>
      <c r="D42" s="1173">
        <v>22940</v>
      </c>
      <c r="E42" s="1173">
        <v>22500</v>
      </c>
      <c r="F42" s="1181"/>
      <c r="H42" s="1188"/>
      <c r="N42" s="1173" t="s">
        <v>2128</v>
      </c>
      <c r="O42" s="1173" t="s">
        <v>2129</v>
      </c>
      <c r="Q42" s="1173" t="s">
        <v>2130</v>
      </c>
    </row>
    <row r="43" spans="1:17" ht="14.25" customHeight="1">
      <c r="A43" s="1168" t="s">
        <v>267</v>
      </c>
      <c r="B43" s="1177" t="s">
        <v>1963</v>
      </c>
      <c r="C43" s="1173">
        <v>21520</v>
      </c>
      <c r="D43" s="1173">
        <v>19230</v>
      </c>
      <c r="E43" s="1173">
        <v>18540</v>
      </c>
      <c r="F43" s="1181"/>
      <c r="H43" s="1188"/>
      <c r="N43" s="1173" t="s">
        <v>2131</v>
      </c>
      <c r="O43" s="1173" t="s">
        <v>2132</v>
      </c>
      <c r="Q43" s="1173" t="s">
        <v>2133</v>
      </c>
    </row>
    <row r="44" spans="1:17" ht="14.25" customHeight="1">
      <c r="A44" s="1168" t="s">
        <v>267</v>
      </c>
      <c r="B44" s="1177" t="s">
        <v>1973</v>
      </c>
      <c r="C44" s="1173">
        <v>23260</v>
      </c>
      <c r="D44" s="1173">
        <v>21180</v>
      </c>
      <c r="E44" s="1173">
        <v>20730</v>
      </c>
      <c r="F44" s="1181"/>
      <c r="H44" s="1188"/>
      <c r="N44" s="1173" t="s">
        <v>2134</v>
      </c>
      <c r="O44" s="1173" t="s">
        <v>2135</v>
      </c>
      <c r="Q44" s="1173" t="s">
        <v>2136</v>
      </c>
    </row>
    <row r="45" spans="1:17" ht="14.25" customHeight="1">
      <c r="A45" s="1168" t="s">
        <v>267</v>
      </c>
      <c r="B45" s="1177" t="s">
        <v>1983</v>
      </c>
      <c r="C45" s="1173">
        <v>19610</v>
      </c>
      <c r="D45" s="1173">
        <v>18090</v>
      </c>
      <c r="E45" s="1173">
        <v>17970</v>
      </c>
      <c r="F45" s="1181"/>
      <c r="H45" s="1185"/>
      <c r="N45" s="1173" t="s">
        <v>2137</v>
      </c>
      <c r="O45" s="1173" t="s">
        <v>2138</v>
      </c>
      <c r="Q45" s="1173" t="s">
        <v>2139</v>
      </c>
    </row>
    <row r="46" spans="1:17" ht="14.25" customHeight="1">
      <c r="A46" s="1168" t="s">
        <v>267</v>
      </c>
      <c r="B46" s="1177" t="s">
        <v>1993</v>
      </c>
      <c r="C46" s="1173">
        <v>21660</v>
      </c>
      <c r="D46" s="1173">
        <v>19190</v>
      </c>
      <c r="E46" s="1173">
        <v>19790</v>
      </c>
      <c r="F46" s="1181"/>
      <c r="H46" s="1188"/>
      <c r="N46" s="1173" t="s">
        <v>2140</v>
      </c>
      <c r="O46" s="1173" t="s">
        <v>2141</v>
      </c>
      <c r="Q46" s="1173" t="s">
        <v>2142</v>
      </c>
    </row>
    <row r="47" spans="1:17" ht="14.25" customHeight="1">
      <c r="A47" s="1168" t="s">
        <v>267</v>
      </c>
      <c r="B47" s="1177" t="s">
        <v>2003</v>
      </c>
      <c r="C47" s="1173">
        <v>18220</v>
      </c>
      <c r="D47" s="1173"/>
      <c r="E47" s="1173">
        <v>17220</v>
      </c>
      <c r="F47" s="1181"/>
      <c r="H47" s="1188"/>
      <c r="N47" s="1173" t="s">
        <v>2143</v>
      </c>
      <c r="O47" s="1173" t="s">
        <v>2144</v>
      </c>
    </row>
    <row r="48" spans="1:17" ht="14.25" customHeight="1">
      <c r="A48" s="1168" t="s">
        <v>267</v>
      </c>
      <c r="B48" s="1178" t="s">
        <v>2012</v>
      </c>
      <c r="C48" s="1179">
        <v>19430</v>
      </c>
      <c r="D48" s="1179"/>
      <c r="E48" s="1179">
        <v>17830</v>
      </c>
      <c r="F48" s="1189"/>
      <c r="H48" s="1185"/>
      <c r="N48" s="1173" t="s">
        <v>2145</v>
      </c>
      <c r="O48" s="1173" t="s">
        <v>2146</v>
      </c>
    </row>
    <row r="49" spans="1:15" ht="14.25" customHeight="1">
      <c r="A49" s="1168" t="s">
        <v>277</v>
      </c>
      <c r="B49" s="1169" t="s">
        <v>1811</v>
      </c>
      <c r="C49" s="1169">
        <v>17090</v>
      </c>
      <c r="D49" s="1169">
        <v>16950</v>
      </c>
      <c r="E49" s="1169">
        <v>16310</v>
      </c>
      <c r="F49" s="1170">
        <v>4540</v>
      </c>
      <c r="H49" s="1188"/>
      <c r="N49" s="1173" t="s">
        <v>2147</v>
      </c>
      <c r="O49" s="1173" t="s">
        <v>2148</v>
      </c>
    </row>
    <row r="50" spans="1:15" ht="14.25" customHeight="1">
      <c r="A50" s="1168" t="s">
        <v>277</v>
      </c>
      <c r="B50" s="1173" t="s">
        <v>1824</v>
      </c>
      <c r="C50" s="1173">
        <v>19040</v>
      </c>
      <c r="D50" s="1173">
        <v>16960</v>
      </c>
      <c r="E50" s="1173">
        <v>14800</v>
      </c>
      <c r="F50" s="1181">
        <v>3940</v>
      </c>
      <c r="H50" s="1188"/>
    </row>
    <row r="51" spans="1:15" ht="14.25" customHeight="1">
      <c r="A51" s="1168" t="s">
        <v>277</v>
      </c>
      <c r="B51" s="1173" t="s">
        <v>1837</v>
      </c>
      <c r="C51" s="1173">
        <v>17040</v>
      </c>
      <c r="D51" s="1173">
        <v>16930</v>
      </c>
      <c r="E51" s="1173">
        <v>15030</v>
      </c>
      <c r="F51" s="1181">
        <v>4120</v>
      </c>
      <c r="H51" s="1188"/>
    </row>
    <row r="52" spans="1:15" ht="14.25" customHeight="1">
      <c r="A52" s="1168" t="s">
        <v>277</v>
      </c>
      <c r="B52" s="1173" t="s">
        <v>1849</v>
      </c>
      <c r="C52" s="1173">
        <v>17110</v>
      </c>
      <c r="D52" s="1173">
        <v>17750</v>
      </c>
      <c r="E52" s="1173">
        <v>17310</v>
      </c>
      <c r="F52" s="1181">
        <v>3220</v>
      </c>
      <c r="H52" s="1188"/>
    </row>
    <row r="53" spans="1:15" ht="14.25" customHeight="1">
      <c r="A53" s="1168" t="s">
        <v>277</v>
      </c>
      <c r="B53" s="1173" t="s">
        <v>1861</v>
      </c>
      <c r="C53" s="1173">
        <v>17810</v>
      </c>
      <c r="D53" s="1173">
        <v>17260</v>
      </c>
      <c r="E53" s="1173">
        <v>17090</v>
      </c>
      <c r="F53" s="1181">
        <v>3520</v>
      </c>
      <c r="H53" s="1188"/>
    </row>
    <row r="54" spans="1:15" ht="14.25" customHeight="1">
      <c r="A54" s="1168" t="s">
        <v>277</v>
      </c>
      <c r="B54" s="1173" t="s">
        <v>1872</v>
      </c>
      <c r="C54" s="1173">
        <v>17410</v>
      </c>
      <c r="D54" s="1173">
        <v>16780</v>
      </c>
      <c r="E54" s="1173">
        <v>16370</v>
      </c>
      <c r="F54" s="1181">
        <v>3410</v>
      </c>
      <c r="H54" s="1188"/>
    </row>
    <row r="55" spans="1:15" ht="14.25" customHeight="1">
      <c r="A55" s="1168" t="s">
        <v>277</v>
      </c>
      <c r="B55" s="1173" t="s">
        <v>1883</v>
      </c>
      <c r="C55" s="1173">
        <v>16930</v>
      </c>
      <c r="D55" s="1173">
        <v>14720</v>
      </c>
      <c r="E55" s="1173">
        <v>15000</v>
      </c>
      <c r="F55" s="1181">
        <v>3710</v>
      </c>
      <c r="H55" s="1188"/>
    </row>
    <row r="56" spans="1:15" ht="14.25" customHeight="1">
      <c r="A56" s="1168" t="s">
        <v>277</v>
      </c>
      <c r="B56" s="1173" t="s">
        <v>1894</v>
      </c>
      <c r="C56" s="1173">
        <v>14930</v>
      </c>
      <c r="D56" s="1173">
        <v>15850</v>
      </c>
      <c r="E56" s="1173">
        <v>14320</v>
      </c>
      <c r="F56" s="1181">
        <v>3960</v>
      </c>
      <c r="H56" s="1188"/>
    </row>
    <row r="57" spans="1:15" ht="14.25" customHeight="1">
      <c r="A57" s="1168" t="s">
        <v>277</v>
      </c>
      <c r="B57" s="1173" t="s">
        <v>1904</v>
      </c>
      <c r="C57" s="1173">
        <v>16160</v>
      </c>
      <c r="D57" s="1173">
        <v>16190</v>
      </c>
      <c r="E57" s="1173">
        <v>15650</v>
      </c>
      <c r="F57" s="1181">
        <v>4200</v>
      </c>
      <c r="H57" s="1188"/>
    </row>
    <row r="58" spans="1:15" ht="14.25" customHeight="1">
      <c r="A58" s="1168" t="s">
        <v>277</v>
      </c>
      <c r="B58" s="1173" t="s">
        <v>1914</v>
      </c>
      <c r="C58" s="1173">
        <v>16360</v>
      </c>
      <c r="D58" s="1173">
        <v>14050</v>
      </c>
      <c r="E58" s="1173">
        <v>16070</v>
      </c>
      <c r="F58" s="1181">
        <v>3990</v>
      </c>
      <c r="H58" s="1188"/>
    </row>
    <row r="59" spans="1:15" ht="14.25" customHeight="1">
      <c r="A59" s="1168" t="s">
        <v>277</v>
      </c>
      <c r="B59" s="1173" t="s">
        <v>1924</v>
      </c>
      <c r="C59" s="1173">
        <v>14160</v>
      </c>
      <c r="D59" s="1173">
        <v>16620</v>
      </c>
      <c r="E59" s="1173">
        <v>13940</v>
      </c>
      <c r="F59" s="1181">
        <v>4260</v>
      </c>
      <c r="H59" s="1188"/>
    </row>
    <row r="60" spans="1:15" ht="14.25" customHeight="1">
      <c r="A60" s="1168" t="s">
        <v>277</v>
      </c>
      <c r="B60" s="1173" t="s">
        <v>1934</v>
      </c>
      <c r="C60" s="1173">
        <v>16750</v>
      </c>
      <c r="D60" s="1173">
        <v>13910</v>
      </c>
      <c r="E60" s="1173">
        <v>16550</v>
      </c>
      <c r="F60" s="1181">
        <v>4550</v>
      </c>
      <c r="H60" s="1188"/>
    </row>
    <row r="61" spans="1:15" ht="14.25" customHeight="1">
      <c r="A61" s="1168" t="s">
        <v>277</v>
      </c>
      <c r="B61" s="1173" t="s">
        <v>1944</v>
      </c>
      <c r="C61" s="1173">
        <v>14000</v>
      </c>
      <c r="D61" s="1173">
        <v>14550</v>
      </c>
      <c r="E61" s="1173">
        <v>13860</v>
      </c>
      <c r="F61" s="1190"/>
      <c r="H61" s="1188"/>
    </row>
    <row r="62" spans="1:15" ht="14.25" customHeight="1">
      <c r="A62" s="1168" t="s">
        <v>277</v>
      </c>
      <c r="B62" s="1173" t="s">
        <v>1954</v>
      </c>
      <c r="C62" s="1173">
        <v>14660</v>
      </c>
      <c r="D62" s="1173">
        <v>17450</v>
      </c>
      <c r="E62" s="1173">
        <v>14470</v>
      </c>
      <c r="F62" s="1190"/>
      <c r="H62" s="1188"/>
    </row>
    <row r="63" spans="1:15" ht="14.25" customHeight="1">
      <c r="A63" s="1168" t="s">
        <v>277</v>
      </c>
      <c r="B63" s="1173" t="s">
        <v>1964</v>
      </c>
      <c r="C63" s="1173">
        <v>17610</v>
      </c>
      <c r="D63" s="1173">
        <v>16500</v>
      </c>
      <c r="E63" s="1173">
        <v>17330</v>
      </c>
      <c r="F63" s="1190"/>
      <c r="H63" s="1188"/>
    </row>
    <row r="64" spans="1:15" ht="14.25" customHeight="1">
      <c r="A64" s="1168" t="s">
        <v>277</v>
      </c>
      <c r="B64" s="1173" t="s">
        <v>1974</v>
      </c>
      <c r="C64" s="1173">
        <v>16590</v>
      </c>
      <c r="D64" s="1173">
        <v>15130</v>
      </c>
      <c r="E64" s="1173">
        <v>16420</v>
      </c>
      <c r="F64" s="1190"/>
      <c r="H64" s="1188"/>
    </row>
    <row r="65" spans="1:8" s="1160" customFormat="1" ht="14.25" customHeight="1">
      <c r="A65" s="1168" t="s">
        <v>277</v>
      </c>
      <c r="B65" s="1173" t="s">
        <v>1984</v>
      </c>
      <c r="C65" s="1173">
        <v>15220</v>
      </c>
      <c r="D65" s="1173">
        <v>14660</v>
      </c>
      <c r="E65" s="1173">
        <v>15060</v>
      </c>
      <c r="F65" s="1181"/>
      <c r="H65" s="1188"/>
    </row>
    <row r="66" spans="1:8" s="1160" customFormat="1" ht="14.25" customHeight="1">
      <c r="A66" s="1168" t="s">
        <v>277</v>
      </c>
      <c r="B66" s="1173" t="s">
        <v>1994</v>
      </c>
      <c r="C66" s="1173">
        <v>14720</v>
      </c>
      <c r="D66" s="1173">
        <v>15970</v>
      </c>
      <c r="E66" s="1173">
        <v>14610</v>
      </c>
      <c r="F66" s="1181"/>
      <c r="H66" s="1188"/>
    </row>
    <row r="67" spans="1:8" s="1160" customFormat="1" ht="14.25" customHeight="1">
      <c r="A67" s="1168" t="s">
        <v>277</v>
      </c>
      <c r="B67" s="1173" t="s">
        <v>2004</v>
      </c>
      <c r="C67" s="1173">
        <v>16080</v>
      </c>
      <c r="D67" s="1173">
        <v>14840</v>
      </c>
      <c r="E67" s="1173">
        <v>15630</v>
      </c>
      <c r="F67" s="1181"/>
      <c r="H67" s="1188"/>
    </row>
    <row r="68" spans="1:8" s="1160" customFormat="1" ht="14.25" customHeight="1">
      <c r="A68" s="1168" t="s">
        <v>277</v>
      </c>
      <c r="B68" s="1173" t="s">
        <v>2013</v>
      </c>
      <c r="C68" s="1173">
        <v>14940</v>
      </c>
      <c r="D68" s="1173">
        <v>18000</v>
      </c>
      <c r="E68" s="1173">
        <v>14040</v>
      </c>
      <c r="F68" s="1181"/>
      <c r="H68" s="1188"/>
    </row>
    <row r="69" spans="1:8" s="1160" customFormat="1" ht="14.25" customHeight="1">
      <c r="A69" s="1168" t="s">
        <v>277</v>
      </c>
      <c r="B69" s="1173" t="s">
        <v>2021</v>
      </c>
      <c r="C69" s="1173">
        <v>18810</v>
      </c>
      <c r="D69" s="1173">
        <v>15100</v>
      </c>
      <c r="E69" s="1173">
        <v>14710</v>
      </c>
      <c r="F69" s="1181"/>
      <c r="H69" s="1188"/>
    </row>
    <row r="70" spans="1:8" s="1160" customFormat="1" ht="14.25" customHeight="1">
      <c r="A70" s="1168" t="s">
        <v>277</v>
      </c>
      <c r="B70" s="1173" t="s">
        <v>2029</v>
      </c>
      <c r="C70" s="1173">
        <v>18270</v>
      </c>
      <c r="D70" s="1173"/>
      <c r="E70" s="1173"/>
      <c r="F70" s="1181"/>
      <c r="H70" s="1188"/>
    </row>
    <row r="71" spans="1:8" s="1160" customFormat="1" ht="14.25" customHeight="1">
      <c r="A71" s="1168" t="s">
        <v>277</v>
      </c>
      <c r="B71" s="1173" t="s">
        <v>2036</v>
      </c>
      <c r="C71" s="1173">
        <v>15230</v>
      </c>
      <c r="D71" s="1173"/>
      <c r="E71" s="1173"/>
      <c r="F71" s="1181"/>
      <c r="H71" s="1188"/>
    </row>
    <row r="72" spans="1:8" s="1160" customFormat="1" ht="14.25" customHeight="1">
      <c r="A72" s="1168" t="s">
        <v>277</v>
      </c>
      <c r="B72" s="1173" t="s">
        <v>2043</v>
      </c>
      <c r="C72" s="1173"/>
      <c r="D72" s="1173"/>
      <c r="E72" s="1173"/>
      <c r="F72" s="1181">
        <v>4120</v>
      </c>
      <c r="H72" s="1188"/>
    </row>
    <row r="73" spans="1:8" s="1160" customFormat="1" ht="14.25" customHeight="1">
      <c r="A73" s="1168" t="s">
        <v>277</v>
      </c>
      <c r="B73" s="1173" t="s">
        <v>2050</v>
      </c>
      <c r="C73" s="1173"/>
      <c r="D73" s="1173"/>
      <c r="E73" s="1173"/>
      <c r="F73" s="1181">
        <v>3930</v>
      </c>
      <c r="H73" s="1188"/>
    </row>
    <row r="74" spans="1:8" s="1160" customFormat="1" ht="14.25" customHeight="1">
      <c r="A74" s="1168" t="s">
        <v>277</v>
      </c>
      <c r="B74" s="1173" t="s">
        <v>2057</v>
      </c>
      <c r="C74" s="1173"/>
      <c r="D74" s="1173"/>
      <c r="E74" s="1173"/>
      <c r="F74" s="1181">
        <v>4060</v>
      </c>
      <c r="H74" s="1188"/>
    </row>
    <row r="75" spans="1:8" s="1160" customFormat="1" ht="14.25" customHeight="1">
      <c r="A75" s="1168" t="s">
        <v>277</v>
      </c>
      <c r="B75" s="1179" t="s">
        <v>2064</v>
      </c>
      <c r="C75" s="1179"/>
      <c r="D75" s="1179"/>
      <c r="E75" s="1179"/>
      <c r="F75" s="1189">
        <v>3750</v>
      </c>
      <c r="H75" s="1188"/>
    </row>
    <row r="76" spans="1:8" s="1160" customFormat="1" ht="14.25" customHeight="1">
      <c r="A76" s="1168" t="s">
        <v>286</v>
      </c>
      <c r="B76" s="1169" t="s">
        <v>1812</v>
      </c>
      <c r="C76" s="1169">
        <v>14690</v>
      </c>
      <c r="D76" s="1169">
        <v>14640</v>
      </c>
      <c r="E76" s="1169">
        <v>14590</v>
      </c>
      <c r="F76" s="1170">
        <v>3060</v>
      </c>
      <c r="H76" s="1188"/>
    </row>
    <row r="77" spans="1:8" s="1160" customFormat="1" ht="14.25" customHeight="1">
      <c r="A77" s="1168" t="s">
        <v>286</v>
      </c>
      <c r="B77" s="1173" t="s">
        <v>1825</v>
      </c>
      <c r="C77" s="1173">
        <v>12550</v>
      </c>
      <c r="D77" s="1173">
        <v>12480</v>
      </c>
      <c r="E77" s="1173">
        <v>12450</v>
      </c>
      <c r="F77" s="1181">
        <v>2590</v>
      </c>
      <c r="H77" s="1188"/>
    </row>
    <row r="78" spans="1:8" s="1160" customFormat="1" ht="14.25" customHeight="1">
      <c r="A78" s="1168" t="s">
        <v>286</v>
      </c>
      <c r="B78" s="1173" t="s">
        <v>1838</v>
      </c>
      <c r="C78" s="1173">
        <v>14360</v>
      </c>
      <c r="D78" s="1173">
        <v>14320</v>
      </c>
      <c r="E78" s="1173">
        <v>12510</v>
      </c>
      <c r="F78" s="1181">
        <v>2700</v>
      </c>
      <c r="H78" s="1188"/>
    </row>
    <row r="79" spans="1:8" s="1160" customFormat="1" ht="14.25" customHeight="1">
      <c r="A79" s="1168" t="s">
        <v>286</v>
      </c>
      <c r="B79" s="1173" t="s">
        <v>1850</v>
      </c>
      <c r="C79" s="1173">
        <v>12590</v>
      </c>
      <c r="D79" s="1173">
        <v>12540</v>
      </c>
      <c r="E79" s="1173">
        <v>12350</v>
      </c>
      <c r="F79" s="1181">
        <v>2740</v>
      </c>
      <c r="H79" s="1188"/>
    </row>
    <row r="80" spans="1:8" s="1160" customFormat="1" ht="14.25" customHeight="1">
      <c r="A80" s="1168" t="s">
        <v>286</v>
      </c>
      <c r="B80" s="1173" t="s">
        <v>1862</v>
      </c>
      <c r="C80" s="1173">
        <v>12450</v>
      </c>
      <c r="D80" s="1173">
        <v>12370</v>
      </c>
      <c r="E80" s="1173">
        <v>10790</v>
      </c>
      <c r="F80" s="1181">
        <v>2290</v>
      </c>
      <c r="H80" s="1188"/>
    </row>
    <row r="81" spans="1:8" s="1160" customFormat="1" ht="14.25" customHeight="1">
      <c r="A81" s="1168" t="s">
        <v>286</v>
      </c>
      <c r="B81" s="1173" t="s">
        <v>1873</v>
      </c>
      <c r="C81" s="1173">
        <v>14210</v>
      </c>
      <c r="D81" s="1173">
        <v>14150</v>
      </c>
      <c r="E81" s="1173">
        <v>12730</v>
      </c>
      <c r="F81" s="1181">
        <v>2240</v>
      </c>
      <c r="H81" s="1188"/>
    </row>
    <row r="82" spans="1:8" s="1160" customFormat="1" ht="14.25" customHeight="1">
      <c r="A82" s="1168" t="s">
        <v>286</v>
      </c>
      <c r="B82" s="1173" t="s">
        <v>1884</v>
      </c>
      <c r="C82" s="1173">
        <v>10860</v>
      </c>
      <c r="D82" s="1173">
        <v>10820</v>
      </c>
      <c r="E82" s="1173">
        <v>14720</v>
      </c>
      <c r="F82" s="1181">
        <v>2490</v>
      </c>
      <c r="H82" s="1188"/>
    </row>
    <row r="83" spans="1:8" s="1160" customFormat="1" ht="14.25" customHeight="1">
      <c r="A83" s="1168" t="s">
        <v>286</v>
      </c>
      <c r="B83" s="1173" t="s">
        <v>1895</v>
      </c>
      <c r="C83" s="1173">
        <v>12810</v>
      </c>
      <c r="D83" s="1173">
        <v>12760</v>
      </c>
      <c r="E83" s="1173">
        <v>14830</v>
      </c>
      <c r="F83" s="1181">
        <v>2450</v>
      </c>
      <c r="H83" s="1188"/>
    </row>
    <row r="84" spans="1:8" s="1160" customFormat="1" ht="14.25" customHeight="1">
      <c r="A84" s="1168" t="s">
        <v>286</v>
      </c>
      <c r="B84" s="1173" t="s">
        <v>1905</v>
      </c>
      <c r="C84" s="1173">
        <v>14950</v>
      </c>
      <c r="D84" s="1173">
        <v>14810</v>
      </c>
      <c r="E84" s="1173">
        <v>12590</v>
      </c>
      <c r="F84" s="1181">
        <v>2540</v>
      </c>
      <c r="H84" s="1188"/>
    </row>
    <row r="85" spans="1:8" s="1160" customFormat="1" ht="14.25" customHeight="1">
      <c r="A85" s="1168" t="s">
        <v>286</v>
      </c>
      <c r="B85" s="1173" t="s">
        <v>1915</v>
      </c>
      <c r="C85" s="1173">
        <v>14960</v>
      </c>
      <c r="D85" s="1173">
        <v>14890</v>
      </c>
      <c r="E85" s="1173">
        <v>12840</v>
      </c>
      <c r="F85" s="1181">
        <v>2840</v>
      </c>
      <c r="H85" s="1188"/>
    </row>
    <row r="86" spans="1:8" s="1160" customFormat="1" ht="14.25" customHeight="1">
      <c r="A86" s="1168" t="s">
        <v>286</v>
      </c>
      <c r="B86" s="1173" t="s">
        <v>1925</v>
      </c>
      <c r="C86" s="1173">
        <v>12730</v>
      </c>
      <c r="D86" s="1173">
        <v>12660</v>
      </c>
      <c r="E86" s="1173">
        <v>13310</v>
      </c>
      <c r="F86" s="1181">
        <v>3140</v>
      </c>
      <c r="H86" s="1188"/>
    </row>
    <row r="87" spans="1:8" s="1160" customFormat="1" ht="14.25" customHeight="1">
      <c r="A87" s="1168" t="s">
        <v>286</v>
      </c>
      <c r="B87" s="1173" t="s">
        <v>1935</v>
      </c>
      <c r="C87" s="1173">
        <v>12940</v>
      </c>
      <c r="D87" s="1173">
        <v>12890</v>
      </c>
      <c r="E87" s="1173">
        <v>11580</v>
      </c>
      <c r="F87" s="1190"/>
      <c r="H87" s="1188"/>
    </row>
    <row r="88" spans="1:8" s="1160" customFormat="1" ht="14.25" customHeight="1">
      <c r="A88" s="1168" t="s">
        <v>286</v>
      </c>
      <c r="B88" s="1173" t="s">
        <v>1945</v>
      </c>
      <c r="C88" s="1173">
        <v>13430</v>
      </c>
      <c r="D88" s="1173">
        <v>13360</v>
      </c>
      <c r="E88" s="1173">
        <v>12790</v>
      </c>
      <c r="F88" s="1190"/>
      <c r="H88" s="1188"/>
    </row>
    <row r="89" spans="1:8" s="1160" customFormat="1" ht="14.25" customHeight="1">
      <c r="A89" s="1168" t="s">
        <v>286</v>
      </c>
      <c r="B89" s="1173" t="s">
        <v>1955</v>
      </c>
      <c r="C89" s="1173">
        <v>11680</v>
      </c>
      <c r="D89" s="1173">
        <v>11630</v>
      </c>
      <c r="E89" s="1173">
        <v>11320</v>
      </c>
      <c r="F89" s="1190"/>
      <c r="H89" s="1188"/>
    </row>
    <row r="90" spans="1:8" s="1160" customFormat="1" ht="14.25" customHeight="1">
      <c r="A90" s="1168" t="s">
        <v>286</v>
      </c>
      <c r="B90" s="1173" t="s">
        <v>1965</v>
      </c>
      <c r="C90" s="1173">
        <v>12890</v>
      </c>
      <c r="D90" s="1173">
        <v>12820</v>
      </c>
      <c r="E90" s="1173">
        <v>12710</v>
      </c>
      <c r="F90" s="1190"/>
      <c r="H90" s="1188"/>
    </row>
    <row r="91" spans="1:8" s="1160" customFormat="1" ht="14.25" customHeight="1">
      <c r="A91" s="1168" t="s">
        <v>286</v>
      </c>
      <c r="B91" s="1173" t="s">
        <v>1975</v>
      </c>
      <c r="C91" s="1173">
        <v>11410</v>
      </c>
      <c r="D91" s="1173">
        <v>11360</v>
      </c>
      <c r="E91" s="1173">
        <v>12670</v>
      </c>
      <c r="F91" s="1190"/>
      <c r="H91" s="1188"/>
    </row>
    <row r="92" spans="1:8" s="1160" customFormat="1" ht="14.25" customHeight="1">
      <c r="A92" s="1168" t="s">
        <v>286</v>
      </c>
      <c r="B92" s="1173" t="s">
        <v>1985</v>
      </c>
      <c r="C92" s="1173">
        <v>12770</v>
      </c>
      <c r="D92" s="1173">
        <v>12740</v>
      </c>
      <c r="E92" s="1173">
        <v>11970</v>
      </c>
      <c r="F92" s="1190"/>
      <c r="H92" s="1188"/>
    </row>
    <row r="93" spans="1:8" s="1160" customFormat="1" ht="14.25" customHeight="1">
      <c r="A93" s="1168" t="s">
        <v>286</v>
      </c>
      <c r="B93" s="1173" t="s">
        <v>1995</v>
      </c>
      <c r="C93" s="1173">
        <v>12740</v>
      </c>
      <c r="D93" s="1173">
        <v>12700</v>
      </c>
      <c r="E93" s="1173">
        <v>12540</v>
      </c>
      <c r="F93" s="1190"/>
      <c r="H93" s="1188"/>
    </row>
    <row r="94" spans="1:8" s="1160" customFormat="1" ht="14.25" customHeight="1">
      <c r="A94" s="1168" t="s">
        <v>286</v>
      </c>
      <c r="B94" s="1173" t="s">
        <v>2005</v>
      </c>
      <c r="C94" s="1173">
        <v>12020</v>
      </c>
      <c r="D94" s="1173">
        <v>11990</v>
      </c>
      <c r="E94" s="1173">
        <v>13110</v>
      </c>
      <c r="F94" s="1190"/>
      <c r="H94" s="1188"/>
    </row>
    <row r="95" spans="1:8" s="1160" customFormat="1" ht="14.25" customHeight="1">
      <c r="A95" s="1168" t="s">
        <v>286</v>
      </c>
      <c r="B95" s="1173" t="s">
        <v>2014</v>
      </c>
      <c r="C95" s="1173">
        <v>12620</v>
      </c>
      <c r="D95" s="1173">
        <v>12580</v>
      </c>
      <c r="E95" s="1173">
        <v>13160</v>
      </c>
      <c r="F95" s="1181"/>
      <c r="H95" s="1188"/>
    </row>
    <row r="96" spans="1:8" s="1160" customFormat="1" ht="14.25" customHeight="1">
      <c r="A96" s="1168" t="s">
        <v>286</v>
      </c>
      <c r="B96" s="1173" t="s">
        <v>2022</v>
      </c>
      <c r="C96" s="1173">
        <v>13200</v>
      </c>
      <c r="D96" s="1173">
        <v>13150</v>
      </c>
      <c r="E96" s="1173">
        <v>12900</v>
      </c>
      <c r="F96" s="1181"/>
      <c r="H96" s="1188"/>
    </row>
    <row r="97" spans="1:8" s="1160" customFormat="1" ht="14.25" customHeight="1">
      <c r="A97" s="1168" t="s">
        <v>286</v>
      </c>
      <c r="B97" s="1173" t="s">
        <v>2030</v>
      </c>
      <c r="C97" s="1173">
        <v>13270</v>
      </c>
      <c r="D97" s="1173">
        <v>13210</v>
      </c>
      <c r="E97" s="1173">
        <v>11080</v>
      </c>
      <c r="F97" s="1181"/>
      <c r="H97" s="1188"/>
    </row>
    <row r="98" spans="1:8" s="1160" customFormat="1" ht="14.25" customHeight="1">
      <c r="A98" s="1168" t="s">
        <v>286</v>
      </c>
      <c r="B98" s="1173" t="s">
        <v>2037</v>
      </c>
      <c r="C98" s="1173">
        <v>13010</v>
      </c>
      <c r="D98" s="1173">
        <v>12930</v>
      </c>
      <c r="E98" s="1173">
        <v>12840</v>
      </c>
      <c r="F98" s="1181"/>
      <c r="H98" s="1188"/>
    </row>
    <row r="99" spans="1:8" s="1160" customFormat="1" ht="14.25" customHeight="1">
      <c r="A99" s="1168" t="s">
        <v>286</v>
      </c>
      <c r="B99" s="1173" t="s">
        <v>2044</v>
      </c>
      <c r="C99" s="1173">
        <v>11190</v>
      </c>
      <c r="D99" s="1173">
        <v>11130</v>
      </c>
      <c r="E99" s="1173"/>
      <c r="F99" s="1181"/>
      <c r="H99" s="1188"/>
    </row>
    <row r="100" spans="1:8" s="1160" customFormat="1" ht="14.25" customHeight="1">
      <c r="A100" s="1168" t="s">
        <v>286</v>
      </c>
      <c r="B100" s="1173" t="s">
        <v>2051</v>
      </c>
      <c r="C100" s="1173">
        <v>14280</v>
      </c>
      <c r="D100" s="1173">
        <v>14180</v>
      </c>
      <c r="E100" s="1173"/>
      <c r="F100" s="1181"/>
      <c r="H100" s="1188"/>
    </row>
    <row r="101" spans="1:8" s="1160" customFormat="1" ht="14.25" customHeight="1">
      <c r="A101" s="1168" t="s">
        <v>286</v>
      </c>
      <c r="B101" s="1173" t="s">
        <v>2058</v>
      </c>
      <c r="C101" s="1173">
        <v>12960</v>
      </c>
      <c r="D101" s="1173">
        <v>12890</v>
      </c>
      <c r="E101" s="1173"/>
      <c r="F101" s="1181"/>
      <c r="H101" s="1188"/>
    </row>
    <row r="102" spans="1:8" s="1160" customFormat="1" ht="14.25" customHeight="1">
      <c r="A102" s="1168" t="s">
        <v>286</v>
      </c>
      <c r="B102" s="1173" t="s">
        <v>2065</v>
      </c>
      <c r="C102" s="1173"/>
      <c r="D102" s="1173"/>
      <c r="E102" s="1173"/>
      <c r="F102" s="1181">
        <v>3100</v>
      </c>
      <c r="H102" s="1188"/>
    </row>
    <row r="103" spans="1:8" s="1160" customFormat="1" ht="14.25" customHeight="1">
      <c r="A103" s="1168" t="s">
        <v>286</v>
      </c>
      <c r="B103" s="1173" t="s">
        <v>2070</v>
      </c>
      <c r="C103" s="1173"/>
      <c r="D103" s="1173"/>
      <c r="E103" s="1173"/>
      <c r="F103" s="1181">
        <v>2320</v>
      </c>
      <c r="H103" s="1188"/>
    </row>
    <row r="104" spans="1:8" s="1160" customFormat="1" ht="14.25" customHeight="1">
      <c r="A104" s="1168" t="s">
        <v>286</v>
      </c>
      <c r="B104" s="1173" t="s">
        <v>2075</v>
      </c>
      <c r="C104" s="1173"/>
      <c r="D104" s="1173"/>
      <c r="E104" s="1173"/>
      <c r="F104" s="1181">
        <v>2320</v>
      </c>
      <c r="H104" s="1188"/>
    </row>
    <row r="105" spans="1:8" s="1160" customFormat="1" ht="14.25" customHeight="1">
      <c r="A105" s="1168" t="s">
        <v>286</v>
      </c>
      <c r="B105" s="1173" t="s">
        <v>2080</v>
      </c>
      <c r="C105" s="1173"/>
      <c r="D105" s="1173"/>
      <c r="E105" s="1173"/>
      <c r="F105" s="1181">
        <v>2320</v>
      </c>
      <c r="H105" s="1188"/>
    </row>
    <row r="106" spans="1:8" s="1160" customFormat="1" ht="14.25" customHeight="1">
      <c r="A106" s="1168" t="s">
        <v>286</v>
      </c>
      <c r="B106" s="1173" t="s">
        <v>2085</v>
      </c>
      <c r="C106" s="1173"/>
      <c r="D106" s="1173"/>
      <c r="E106" s="1173"/>
      <c r="F106" s="1181">
        <v>2320</v>
      </c>
      <c r="H106" s="1188"/>
    </row>
    <row r="107" spans="1:8" s="1160" customFormat="1" ht="14.25" customHeight="1">
      <c r="A107" s="1168" t="s">
        <v>286</v>
      </c>
      <c r="B107" s="1173" t="s">
        <v>2090</v>
      </c>
      <c r="C107" s="1173"/>
      <c r="D107" s="1173"/>
      <c r="E107" s="1173"/>
      <c r="F107" s="1181">
        <v>2280</v>
      </c>
      <c r="H107" s="1188"/>
    </row>
    <row r="108" spans="1:8" s="1160" customFormat="1" ht="14.25" customHeight="1">
      <c r="A108" s="1168" t="s">
        <v>286</v>
      </c>
      <c r="B108" s="1173" t="s">
        <v>2095</v>
      </c>
      <c r="C108" s="1173"/>
      <c r="D108" s="1173"/>
      <c r="E108" s="1173"/>
      <c r="F108" s="1181">
        <v>2280</v>
      </c>
      <c r="H108" s="1188"/>
    </row>
    <row r="109" spans="1:8" s="1160" customFormat="1" ht="14.25" customHeight="1">
      <c r="A109" s="1168" t="s">
        <v>286</v>
      </c>
      <c r="B109" s="1179" t="s">
        <v>2100</v>
      </c>
      <c r="C109" s="1179"/>
      <c r="D109" s="1179"/>
      <c r="E109" s="1179"/>
      <c r="F109" s="1189">
        <v>2280</v>
      </c>
      <c r="H109" s="1188"/>
    </row>
    <row r="110" spans="1:8" s="1160" customFormat="1" ht="14.25" customHeight="1">
      <c r="A110" s="1168" t="s">
        <v>294</v>
      </c>
      <c r="B110" s="1169" t="s">
        <v>1813</v>
      </c>
      <c r="C110" s="1169">
        <v>10520</v>
      </c>
      <c r="D110" s="1169">
        <v>10490</v>
      </c>
      <c r="E110" s="1169">
        <v>10760</v>
      </c>
      <c r="F110" s="1170">
        <v>2160</v>
      </c>
      <c r="H110" s="1188"/>
    </row>
    <row r="111" spans="1:8" s="1160" customFormat="1" ht="14.25" customHeight="1">
      <c r="A111" s="1168" t="s">
        <v>294</v>
      </c>
      <c r="B111" s="1173" t="s">
        <v>1826</v>
      </c>
      <c r="C111" s="1173">
        <v>10090</v>
      </c>
      <c r="D111" s="1173">
        <v>10060</v>
      </c>
      <c r="E111" s="1173">
        <v>10300</v>
      </c>
      <c r="F111" s="1181">
        <v>2010</v>
      </c>
      <c r="H111" s="1188"/>
    </row>
    <row r="112" spans="1:8" s="1160" customFormat="1" ht="14.25" customHeight="1">
      <c r="A112" s="1168" t="s">
        <v>294</v>
      </c>
      <c r="B112" s="1173" t="s">
        <v>1839</v>
      </c>
      <c r="C112" s="1173">
        <v>9910</v>
      </c>
      <c r="D112" s="1173">
        <v>9850</v>
      </c>
      <c r="E112" s="1173">
        <v>9960</v>
      </c>
      <c r="F112" s="1181">
        <v>2090</v>
      </c>
      <c r="H112" s="1188"/>
    </row>
    <row r="113" spans="1:8" s="1160" customFormat="1" ht="14.25" customHeight="1">
      <c r="A113" s="1168" t="s">
        <v>294</v>
      </c>
      <c r="B113" s="1173" t="s">
        <v>1851</v>
      </c>
      <c r="C113" s="1173">
        <v>11430</v>
      </c>
      <c r="D113" s="1173">
        <v>11400</v>
      </c>
      <c r="E113" s="1173">
        <v>11710</v>
      </c>
      <c r="F113" s="1181">
        <v>2050</v>
      </c>
      <c r="H113" s="1188"/>
    </row>
    <row r="114" spans="1:8" s="1160" customFormat="1" ht="14.25" customHeight="1">
      <c r="A114" s="1168" t="s">
        <v>294</v>
      </c>
      <c r="B114" s="1173" t="s">
        <v>1863</v>
      </c>
      <c r="C114" s="1173">
        <v>11390</v>
      </c>
      <c r="D114" s="1173">
        <v>11350</v>
      </c>
      <c r="E114" s="1173">
        <v>11640</v>
      </c>
      <c r="F114" s="1181">
        <v>1620</v>
      </c>
      <c r="H114" s="1188"/>
    </row>
    <row r="115" spans="1:8" s="1160" customFormat="1" ht="14.25" customHeight="1">
      <c r="A115" s="1168" t="s">
        <v>294</v>
      </c>
      <c r="B115" s="1173" t="s">
        <v>1874</v>
      </c>
      <c r="C115" s="1173">
        <v>9930</v>
      </c>
      <c r="D115" s="1173">
        <v>9900</v>
      </c>
      <c r="E115" s="1173">
        <v>10160</v>
      </c>
      <c r="F115" s="1181">
        <v>1580</v>
      </c>
      <c r="H115" s="1188"/>
    </row>
    <row r="116" spans="1:8" s="1160" customFormat="1" ht="14.25" customHeight="1">
      <c r="A116" s="1168" t="s">
        <v>294</v>
      </c>
      <c r="B116" s="1173" t="s">
        <v>1885</v>
      </c>
      <c r="C116" s="1173">
        <v>9150</v>
      </c>
      <c r="D116" s="1173">
        <v>9120</v>
      </c>
      <c r="E116" s="1173">
        <v>9380</v>
      </c>
      <c r="F116" s="1181">
        <v>1750</v>
      </c>
      <c r="H116" s="1188"/>
    </row>
    <row r="117" spans="1:8" s="1160" customFormat="1" ht="14.25" customHeight="1">
      <c r="A117" s="1168" t="s">
        <v>294</v>
      </c>
      <c r="B117" s="1173" t="s">
        <v>1896</v>
      </c>
      <c r="C117" s="1173">
        <v>10680</v>
      </c>
      <c r="D117" s="1173">
        <v>10650</v>
      </c>
      <c r="E117" s="1173">
        <v>10970</v>
      </c>
      <c r="F117" s="1181">
        <v>1730</v>
      </c>
      <c r="H117" s="1188"/>
    </row>
    <row r="118" spans="1:8" s="1160" customFormat="1" ht="14.25" customHeight="1">
      <c r="A118" s="1168" t="s">
        <v>294</v>
      </c>
      <c r="B118" s="1173" t="s">
        <v>1906</v>
      </c>
      <c r="C118" s="1173">
        <v>10080</v>
      </c>
      <c r="D118" s="1173">
        <v>10050</v>
      </c>
      <c r="E118" s="1173">
        <v>10350</v>
      </c>
      <c r="F118" s="1181">
        <v>1920</v>
      </c>
      <c r="H118" s="1188"/>
    </row>
    <row r="119" spans="1:8" s="1160" customFormat="1" ht="14.25" customHeight="1">
      <c r="A119" s="1168" t="s">
        <v>294</v>
      </c>
      <c r="B119" s="1173" t="s">
        <v>1916</v>
      </c>
      <c r="C119" s="1173">
        <v>9450</v>
      </c>
      <c r="D119" s="1173">
        <v>9410</v>
      </c>
      <c r="E119" s="1173">
        <v>9680</v>
      </c>
      <c r="F119" s="1181">
        <v>1880</v>
      </c>
      <c r="H119" s="1188"/>
    </row>
    <row r="120" spans="1:8" s="1160" customFormat="1" ht="14.25" customHeight="1">
      <c r="A120" s="1168" t="s">
        <v>294</v>
      </c>
      <c r="B120" s="1173" t="s">
        <v>1926</v>
      </c>
      <c r="C120" s="1173">
        <v>8730</v>
      </c>
      <c r="D120" s="1173">
        <v>8700</v>
      </c>
      <c r="E120" s="1173">
        <v>8950</v>
      </c>
      <c r="F120" s="1181">
        <v>1830</v>
      </c>
      <c r="H120" s="1188"/>
    </row>
    <row r="121" spans="1:8" s="1160" customFormat="1" ht="14.25" customHeight="1">
      <c r="A121" s="1168" t="s">
        <v>294</v>
      </c>
      <c r="B121" s="1173" t="s">
        <v>1936</v>
      </c>
      <c r="C121" s="1173">
        <v>10070</v>
      </c>
      <c r="D121" s="1173">
        <v>10040</v>
      </c>
      <c r="E121" s="1173">
        <v>10270</v>
      </c>
      <c r="F121" s="1181">
        <v>1960</v>
      </c>
      <c r="H121" s="1188"/>
    </row>
    <row r="122" spans="1:8" s="1160" customFormat="1" ht="14.25" customHeight="1">
      <c r="A122" s="1168" t="s">
        <v>294</v>
      </c>
      <c r="B122" s="1173" t="s">
        <v>1946</v>
      </c>
      <c r="C122" s="1173">
        <v>10500</v>
      </c>
      <c r="D122" s="1173">
        <v>10470</v>
      </c>
      <c r="E122" s="1173">
        <v>10780</v>
      </c>
      <c r="F122" s="1181">
        <v>2180</v>
      </c>
      <c r="H122" s="1188"/>
    </row>
    <row r="123" spans="1:8" s="1160" customFormat="1" ht="14.25" customHeight="1">
      <c r="A123" s="1168" t="s">
        <v>294</v>
      </c>
      <c r="B123" s="1173" t="s">
        <v>1956</v>
      </c>
      <c r="C123" s="1173">
        <v>10390</v>
      </c>
      <c r="D123" s="1173">
        <v>10360</v>
      </c>
      <c r="E123" s="1173">
        <v>10660</v>
      </c>
      <c r="F123" s="1181">
        <v>2040</v>
      </c>
      <c r="H123" s="1188"/>
    </row>
    <row r="124" spans="1:8" s="1160" customFormat="1" ht="14.25" customHeight="1">
      <c r="A124" s="1168" t="s">
        <v>294</v>
      </c>
      <c r="B124" s="1173" t="s">
        <v>1966</v>
      </c>
      <c r="C124" s="1173">
        <v>10390</v>
      </c>
      <c r="D124" s="1173">
        <v>10360</v>
      </c>
      <c r="E124" s="1173">
        <v>10680</v>
      </c>
      <c r="F124" s="1190"/>
      <c r="H124" s="1188"/>
    </row>
    <row r="125" spans="1:8" s="1160" customFormat="1" ht="14.25" customHeight="1">
      <c r="A125" s="1168" t="s">
        <v>294</v>
      </c>
      <c r="B125" s="1173" t="s">
        <v>1976</v>
      </c>
      <c r="C125" s="1173">
        <v>10440</v>
      </c>
      <c r="D125" s="1173">
        <v>10410</v>
      </c>
      <c r="E125" s="1173">
        <v>10710</v>
      </c>
      <c r="F125" s="1190"/>
      <c r="H125" s="1188"/>
    </row>
    <row r="126" spans="1:8" s="1160" customFormat="1" ht="14.25" customHeight="1">
      <c r="A126" s="1168" t="s">
        <v>294</v>
      </c>
      <c r="B126" s="1173" t="s">
        <v>1986</v>
      </c>
      <c r="C126" s="1173">
        <v>10780</v>
      </c>
      <c r="D126" s="1173">
        <v>10750</v>
      </c>
      <c r="E126" s="1173">
        <v>11080</v>
      </c>
      <c r="F126" s="1190"/>
      <c r="H126" s="1188"/>
    </row>
    <row r="127" spans="1:8" s="1160" customFormat="1" ht="14.25" customHeight="1">
      <c r="A127" s="1168" t="s">
        <v>294</v>
      </c>
      <c r="B127" s="1173" t="s">
        <v>1996</v>
      </c>
      <c r="C127" s="1173">
        <v>10100</v>
      </c>
      <c r="D127" s="1173">
        <v>10070</v>
      </c>
      <c r="E127" s="1173">
        <v>10350</v>
      </c>
      <c r="F127" s="1190"/>
      <c r="H127" s="1188"/>
    </row>
    <row r="128" spans="1:8" s="1160" customFormat="1" ht="14.25" customHeight="1">
      <c r="A128" s="1168" t="s">
        <v>294</v>
      </c>
      <c r="B128" s="1173" t="s">
        <v>2006</v>
      </c>
      <c r="C128" s="1173">
        <v>9200</v>
      </c>
      <c r="D128" s="1173">
        <v>9160</v>
      </c>
      <c r="E128" s="1173">
        <v>9660</v>
      </c>
      <c r="F128" s="1190"/>
      <c r="H128" s="1188"/>
    </row>
    <row r="129" spans="1:8" s="1160" customFormat="1" ht="14.25" customHeight="1">
      <c r="A129" s="1168" t="s">
        <v>294</v>
      </c>
      <c r="B129" s="1173" t="s">
        <v>2015</v>
      </c>
      <c r="C129" s="1173">
        <v>10340</v>
      </c>
      <c r="D129" s="1173">
        <v>10310</v>
      </c>
      <c r="E129" s="1173">
        <v>10580</v>
      </c>
      <c r="F129" s="1190"/>
      <c r="H129" s="1188"/>
    </row>
    <row r="130" spans="1:8" s="1160" customFormat="1" ht="14.25" customHeight="1">
      <c r="A130" s="1168" t="s">
        <v>294</v>
      </c>
      <c r="B130" s="1173" t="s">
        <v>2023</v>
      </c>
      <c r="C130" s="1173">
        <v>9680</v>
      </c>
      <c r="D130" s="1173">
        <v>9660</v>
      </c>
      <c r="E130" s="1173">
        <v>9950</v>
      </c>
      <c r="F130" s="1190"/>
      <c r="H130" s="1188"/>
    </row>
    <row r="131" spans="1:8" s="1160" customFormat="1" ht="14.25" customHeight="1">
      <c r="A131" s="1168" t="s">
        <v>294</v>
      </c>
      <c r="B131" s="1173" t="s">
        <v>2031</v>
      </c>
      <c r="C131" s="1173">
        <v>9540</v>
      </c>
      <c r="D131" s="1173">
        <v>9510</v>
      </c>
      <c r="E131" s="1173">
        <v>9790</v>
      </c>
      <c r="F131" s="1190"/>
      <c r="H131" s="1188"/>
    </row>
    <row r="132" spans="1:8" s="1160" customFormat="1" ht="14.25" customHeight="1">
      <c r="A132" s="1168" t="s">
        <v>294</v>
      </c>
      <c r="B132" s="1173" t="s">
        <v>2038</v>
      </c>
      <c r="C132" s="1173">
        <v>9320</v>
      </c>
      <c r="D132" s="1173">
        <v>9290</v>
      </c>
      <c r="E132" s="1173">
        <v>9570</v>
      </c>
      <c r="F132" s="1190"/>
      <c r="H132" s="1188"/>
    </row>
    <row r="133" spans="1:8" s="1160" customFormat="1" ht="14.25" customHeight="1">
      <c r="A133" s="1168" t="s">
        <v>294</v>
      </c>
      <c r="B133" s="1173" t="s">
        <v>2045</v>
      </c>
      <c r="C133" s="1173">
        <v>10310</v>
      </c>
      <c r="D133" s="1173">
        <v>10280</v>
      </c>
      <c r="E133" s="1173">
        <v>10530</v>
      </c>
      <c r="F133" s="1190"/>
      <c r="H133" s="1188"/>
    </row>
    <row r="134" spans="1:8" s="1160" customFormat="1" ht="14.25" customHeight="1">
      <c r="A134" s="1168" t="s">
        <v>294</v>
      </c>
      <c r="B134" s="1173" t="s">
        <v>2052</v>
      </c>
      <c r="C134" s="1173">
        <v>10370</v>
      </c>
      <c r="D134" s="1173">
        <v>10310</v>
      </c>
      <c r="E134" s="1173">
        <v>10240</v>
      </c>
      <c r="F134" s="1181">
        <v>2060</v>
      </c>
      <c r="H134" s="1188"/>
    </row>
    <row r="135" spans="1:8" s="1160" customFormat="1" ht="14.25" customHeight="1">
      <c r="A135" s="1168" t="s">
        <v>294</v>
      </c>
      <c r="B135" s="1173" t="s">
        <v>2059</v>
      </c>
      <c r="C135" s="1173">
        <v>9300</v>
      </c>
      <c r="D135" s="1173">
        <v>9270</v>
      </c>
      <c r="E135" s="1173">
        <v>9350</v>
      </c>
      <c r="F135" s="1190"/>
      <c r="H135" s="1188"/>
    </row>
    <row r="136" spans="1:8" s="1160" customFormat="1" ht="14.25" customHeight="1">
      <c r="A136" s="1168" t="s">
        <v>294</v>
      </c>
      <c r="B136" s="1173" t="s">
        <v>2066</v>
      </c>
      <c r="C136" s="1173">
        <v>10160</v>
      </c>
      <c r="D136" s="1173">
        <v>10110</v>
      </c>
      <c r="E136" s="1173">
        <v>10080</v>
      </c>
      <c r="F136" s="1190"/>
      <c r="H136" s="1188"/>
    </row>
    <row r="137" spans="1:8" s="1160" customFormat="1" ht="14.25" customHeight="1">
      <c r="A137" s="1168" t="s">
        <v>294</v>
      </c>
      <c r="B137" s="1173" t="s">
        <v>2071</v>
      </c>
      <c r="C137" s="1173">
        <v>9200</v>
      </c>
      <c r="D137" s="1173">
        <v>9170</v>
      </c>
      <c r="E137" s="1173">
        <v>9450</v>
      </c>
      <c r="F137" s="1190"/>
      <c r="H137" s="1188"/>
    </row>
    <row r="138" spans="1:8" s="1160" customFormat="1" ht="14.25" customHeight="1">
      <c r="A138" s="1168" t="s">
        <v>294</v>
      </c>
      <c r="B138" s="1173" t="s">
        <v>2076</v>
      </c>
      <c r="C138" s="1173">
        <v>9690</v>
      </c>
      <c r="D138" s="1173">
        <v>9660</v>
      </c>
      <c r="E138" s="1173">
        <v>9840</v>
      </c>
      <c r="F138" s="1190"/>
      <c r="H138" s="1188"/>
    </row>
    <row r="139" spans="1:8" s="1160" customFormat="1" ht="14.25" customHeight="1">
      <c r="A139" s="1168" t="s">
        <v>294</v>
      </c>
      <c r="B139" s="1173" t="s">
        <v>2081</v>
      </c>
      <c r="C139" s="1173">
        <v>10290</v>
      </c>
      <c r="D139" s="1173">
        <v>10260</v>
      </c>
      <c r="E139" s="1173">
        <v>10550</v>
      </c>
      <c r="F139" s="1181">
        <v>1700</v>
      </c>
      <c r="H139" s="1188"/>
    </row>
    <row r="140" spans="1:8" s="1160" customFormat="1" ht="14.25" customHeight="1">
      <c r="A140" s="1168" t="s">
        <v>294</v>
      </c>
      <c r="B140" s="1173" t="s">
        <v>2086</v>
      </c>
      <c r="C140" s="1173">
        <v>9740</v>
      </c>
      <c r="D140" s="1173">
        <v>9710</v>
      </c>
      <c r="E140" s="1173">
        <v>10000</v>
      </c>
      <c r="F140" s="1181">
        <v>2000</v>
      </c>
      <c r="H140" s="1188"/>
    </row>
    <row r="141" spans="1:8" s="1160" customFormat="1" ht="14.25" customHeight="1">
      <c r="A141" s="1168" t="s">
        <v>294</v>
      </c>
      <c r="B141" s="1173" t="s">
        <v>2091</v>
      </c>
      <c r="C141" s="1173">
        <v>9810</v>
      </c>
      <c r="D141" s="1173">
        <v>9770</v>
      </c>
      <c r="E141" s="1173">
        <v>10060</v>
      </c>
      <c r="F141" s="1190"/>
      <c r="H141" s="1188"/>
    </row>
    <row r="142" spans="1:8" s="1160" customFormat="1" ht="14.25" customHeight="1">
      <c r="A142" s="1168" t="s">
        <v>294</v>
      </c>
      <c r="B142" s="1173" t="s">
        <v>2096</v>
      </c>
      <c r="C142" s="1173">
        <v>9300</v>
      </c>
      <c r="D142" s="1173">
        <v>9270</v>
      </c>
      <c r="E142" s="1173">
        <v>9530</v>
      </c>
      <c r="F142" s="1190"/>
      <c r="H142" s="1188"/>
    </row>
    <row r="143" spans="1:8" s="1160" customFormat="1" ht="14.25" customHeight="1">
      <c r="A143" s="1168" t="s">
        <v>294</v>
      </c>
      <c r="B143" s="1173" t="s">
        <v>2101</v>
      </c>
      <c r="C143" s="1173">
        <v>10080</v>
      </c>
      <c r="D143" s="1173">
        <v>10050</v>
      </c>
      <c r="E143" s="1173">
        <v>10340</v>
      </c>
      <c r="F143" s="1190"/>
      <c r="H143" s="1188"/>
    </row>
    <row r="144" spans="1:8" s="1160" customFormat="1" ht="14.25" customHeight="1">
      <c r="A144" s="1168" t="s">
        <v>294</v>
      </c>
      <c r="B144" s="1173" t="s">
        <v>2105</v>
      </c>
      <c r="C144" s="1173">
        <v>9820</v>
      </c>
      <c r="D144" s="1173">
        <v>9750</v>
      </c>
      <c r="E144" s="1173">
        <v>9900</v>
      </c>
      <c r="F144" s="1190"/>
      <c r="H144" s="1188"/>
    </row>
    <row r="145" spans="1:8" s="1160" customFormat="1" ht="14.25" customHeight="1">
      <c r="A145" s="1168" t="s">
        <v>294</v>
      </c>
      <c r="B145" s="1173" t="s">
        <v>2109</v>
      </c>
      <c r="C145" s="1173"/>
      <c r="D145" s="1173"/>
      <c r="E145" s="1173"/>
      <c r="F145" s="1181">
        <v>1740</v>
      </c>
      <c r="H145" s="1188"/>
    </row>
    <row r="146" spans="1:8" s="1160" customFormat="1" ht="14.25" customHeight="1">
      <c r="A146" s="1168" t="s">
        <v>294</v>
      </c>
      <c r="B146" s="1173" t="s">
        <v>2113</v>
      </c>
      <c r="C146" s="1173"/>
      <c r="D146" s="1173"/>
      <c r="E146" s="1173"/>
      <c r="F146" s="1181">
        <v>1740</v>
      </c>
      <c r="H146" s="1188"/>
    </row>
    <row r="147" spans="1:8" s="1160" customFormat="1" ht="14.25" customHeight="1">
      <c r="A147" s="1168" t="s">
        <v>294</v>
      </c>
      <c r="B147" s="1173" t="s">
        <v>2117</v>
      </c>
      <c r="C147" s="1173"/>
      <c r="D147" s="1173"/>
      <c r="E147" s="1173"/>
      <c r="F147" s="1181">
        <v>1740</v>
      </c>
      <c r="H147" s="1188"/>
    </row>
    <row r="148" spans="1:8" s="1160" customFormat="1" ht="14.25" customHeight="1">
      <c r="A148" s="1168" t="s">
        <v>294</v>
      </c>
      <c r="B148" s="1173" t="s">
        <v>2121</v>
      </c>
      <c r="C148" s="1173"/>
      <c r="D148" s="1173"/>
      <c r="E148" s="1173"/>
      <c r="F148" s="1181">
        <v>1740</v>
      </c>
      <c r="H148" s="1188"/>
    </row>
    <row r="149" spans="1:8" s="1160" customFormat="1" ht="14.25" customHeight="1">
      <c r="A149" s="1168" t="s">
        <v>294</v>
      </c>
      <c r="B149" s="1173" t="s">
        <v>2125</v>
      </c>
      <c r="C149" s="1173"/>
      <c r="D149" s="1173"/>
      <c r="E149" s="1173"/>
      <c r="F149" s="1181">
        <v>1740</v>
      </c>
      <c r="H149" s="1188"/>
    </row>
    <row r="150" spans="1:8" s="1160" customFormat="1" ht="14.25" customHeight="1">
      <c r="A150" s="1168" t="s">
        <v>294</v>
      </c>
      <c r="B150" s="1173" t="s">
        <v>2128</v>
      </c>
      <c r="C150" s="1173"/>
      <c r="D150" s="1173"/>
      <c r="E150" s="1173"/>
      <c r="F150" s="1181">
        <v>1610</v>
      </c>
      <c r="H150" s="1188"/>
    </row>
    <row r="151" spans="1:8" s="1160" customFormat="1" ht="14.25" customHeight="1">
      <c r="A151" s="1168" t="s">
        <v>294</v>
      </c>
      <c r="B151" s="1173" t="s">
        <v>2131</v>
      </c>
      <c r="C151" s="1173"/>
      <c r="D151" s="1173"/>
      <c r="E151" s="1173"/>
      <c r="F151" s="1181">
        <v>1610</v>
      </c>
      <c r="H151" s="1188"/>
    </row>
    <row r="152" spans="1:8" s="1160" customFormat="1" ht="14.25" customHeight="1">
      <c r="A152" s="1168" t="s">
        <v>294</v>
      </c>
      <c r="B152" s="1173" t="s">
        <v>2134</v>
      </c>
      <c r="C152" s="1173"/>
      <c r="D152" s="1173"/>
      <c r="E152" s="1173"/>
      <c r="F152" s="1181">
        <v>1610</v>
      </c>
      <c r="H152" s="1188"/>
    </row>
    <row r="153" spans="1:8" s="1160" customFormat="1" ht="14.25" customHeight="1">
      <c r="A153" s="1168" t="s">
        <v>294</v>
      </c>
      <c r="B153" s="1173" t="s">
        <v>2137</v>
      </c>
      <c r="C153" s="1173"/>
      <c r="D153" s="1173"/>
      <c r="E153" s="1173"/>
      <c r="F153" s="1181">
        <v>1610</v>
      </c>
      <c r="H153" s="1188"/>
    </row>
    <row r="154" spans="1:8" s="1160" customFormat="1" ht="14.25" customHeight="1">
      <c r="A154" s="1168" t="s">
        <v>294</v>
      </c>
      <c r="B154" s="1173" t="s">
        <v>2140</v>
      </c>
      <c r="C154" s="1173"/>
      <c r="D154" s="1173"/>
      <c r="E154" s="1173"/>
      <c r="F154" s="1181">
        <v>1610</v>
      </c>
      <c r="H154" s="1188"/>
    </row>
    <row r="155" spans="1:8" s="1160" customFormat="1" ht="14.25" customHeight="1">
      <c r="A155" s="1168" t="s">
        <v>294</v>
      </c>
      <c r="B155" s="1173" t="s">
        <v>2143</v>
      </c>
      <c r="C155" s="1173"/>
      <c r="D155" s="1173"/>
      <c r="E155" s="1173"/>
      <c r="F155" s="1181">
        <v>1800</v>
      </c>
      <c r="H155" s="1188"/>
    </row>
    <row r="156" spans="1:8" s="1160" customFormat="1" ht="14.25" customHeight="1">
      <c r="A156" s="1168" t="s">
        <v>294</v>
      </c>
      <c r="B156" s="1173" t="s">
        <v>2145</v>
      </c>
      <c r="C156" s="1173"/>
      <c r="D156" s="1173"/>
      <c r="E156" s="1173"/>
      <c r="F156" s="1181">
        <v>1910</v>
      </c>
      <c r="H156" s="1188"/>
    </row>
    <row r="157" spans="1:8" s="1160" customFormat="1" ht="14.25" customHeight="1">
      <c r="A157" s="1168" t="s">
        <v>294</v>
      </c>
      <c r="B157" s="1179" t="s">
        <v>2147</v>
      </c>
      <c r="C157" s="1179"/>
      <c r="D157" s="1179"/>
      <c r="E157" s="1179"/>
      <c r="F157" s="1189">
        <v>1500</v>
      </c>
      <c r="H157" s="1188"/>
    </row>
    <row r="158" spans="1:8" s="1160" customFormat="1" ht="14.25" customHeight="1">
      <c r="A158" s="1168" t="s">
        <v>299</v>
      </c>
      <c r="B158" s="1169" t="s">
        <v>1814</v>
      </c>
      <c r="C158" s="1169">
        <v>8170</v>
      </c>
      <c r="D158" s="1169">
        <v>8140</v>
      </c>
      <c r="E158" s="1169">
        <v>8590</v>
      </c>
      <c r="F158" s="1170">
        <v>1450</v>
      </c>
      <c r="H158" s="1188"/>
    </row>
    <row r="159" spans="1:8" s="1160" customFormat="1" ht="14.25" customHeight="1">
      <c r="A159" s="1168" t="s">
        <v>299</v>
      </c>
      <c r="B159" s="1173" t="s">
        <v>1827</v>
      </c>
      <c r="C159" s="1173">
        <v>7410</v>
      </c>
      <c r="D159" s="1173">
        <v>7370</v>
      </c>
      <c r="E159" s="1173">
        <v>8030</v>
      </c>
      <c r="F159" s="1181">
        <v>1510</v>
      </c>
      <c r="H159" s="1188"/>
    </row>
    <row r="160" spans="1:8" s="1160" customFormat="1" ht="14.25" customHeight="1">
      <c r="A160" s="1168" t="s">
        <v>299</v>
      </c>
      <c r="B160" s="1173" t="s">
        <v>1840</v>
      </c>
      <c r="C160" s="1173">
        <v>7240</v>
      </c>
      <c r="D160" s="1173">
        <v>7210</v>
      </c>
      <c r="E160" s="1173">
        <v>7860</v>
      </c>
      <c r="F160" s="1181">
        <v>1370</v>
      </c>
      <c r="H160" s="1188"/>
    </row>
    <row r="161" spans="1:8" s="1160" customFormat="1" ht="14.25" customHeight="1">
      <c r="A161" s="1168" t="s">
        <v>299</v>
      </c>
      <c r="B161" s="1173" t="s">
        <v>1852</v>
      </c>
      <c r="C161" s="1173">
        <v>7720</v>
      </c>
      <c r="D161" s="1173">
        <v>7690</v>
      </c>
      <c r="E161" s="1173">
        <v>8200</v>
      </c>
      <c r="F161" s="1181">
        <v>1190</v>
      </c>
      <c r="H161" s="1188"/>
    </row>
    <row r="162" spans="1:8" s="1160" customFormat="1" ht="14.25" customHeight="1">
      <c r="A162" s="1168" t="s">
        <v>299</v>
      </c>
      <c r="B162" s="1173" t="s">
        <v>1864</v>
      </c>
      <c r="C162" s="1173">
        <v>6900</v>
      </c>
      <c r="D162" s="1173">
        <v>6870</v>
      </c>
      <c r="E162" s="1173">
        <v>7500</v>
      </c>
      <c r="F162" s="1181">
        <v>1390</v>
      </c>
      <c r="H162" s="1188"/>
    </row>
    <row r="163" spans="1:8" s="1160" customFormat="1" ht="14.25" customHeight="1">
      <c r="A163" s="1168" t="s">
        <v>299</v>
      </c>
      <c r="B163" s="1173" t="s">
        <v>1875</v>
      </c>
      <c r="C163" s="1173">
        <v>7120</v>
      </c>
      <c r="D163" s="1173">
        <v>7090</v>
      </c>
      <c r="E163" s="1173">
        <v>7690</v>
      </c>
      <c r="F163" s="1181">
        <v>1230</v>
      </c>
      <c r="H163" s="1188"/>
    </row>
    <row r="164" spans="1:8" s="1160" customFormat="1" ht="14.25" customHeight="1">
      <c r="A164" s="1168" t="s">
        <v>299</v>
      </c>
      <c r="B164" s="1173" t="s">
        <v>1886</v>
      </c>
      <c r="C164" s="1173">
        <v>6560</v>
      </c>
      <c r="D164" s="1173">
        <v>6530</v>
      </c>
      <c r="E164" s="1173">
        <v>7110</v>
      </c>
      <c r="F164" s="1181">
        <v>1340</v>
      </c>
      <c r="H164" s="1188"/>
    </row>
    <row r="165" spans="1:8" s="1160" customFormat="1" ht="14.25" customHeight="1">
      <c r="A165" s="1168" t="s">
        <v>299</v>
      </c>
      <c r="B165" s="1173" t="s">
        <v>1897</v>
      </c>
      <c r="C165" s="1173">
        <v>7450</v>
      </c>
      <c r="D165" s="1173">
        <v>7430</v>
      </c>
      <c r="E165" s="1173">
        <v>8110</v>
      </c>
      <c r="F165" s="1181">
        <v>1290</v>
      </c>
      <c r="H165" s="1188"/>
    </row>
    <row r="166" spans="1:8" s="1160" customFormat="1" ht="14.25" customHeight="1">
      <c r="A166" s="1168" t="s">
        <v>299</v>
      </c>
      <c r="B166" s="1173" t="s">
        <v>1907</v>
      </c>
      <c r="C166" s="1173">
        <v>7490</v>
      </c>
      <c r="D166" s="1173">
        <v>7460</v>
      </c>
      <c r="E166" s="1173">
        <v>8150</v>
      </c>
      <c r="F166" s="1181">
        <v>1350</v>
      </c>
      <c r="H166" s="1188"/>
    </row>
    <row r="167" spans="1:8" s="1160" customFormat="1" ht="14.25" customHeight="1">
      <c r="A167" s="1168" t="s">
        <v>299</v>
      </c>
      <c r="B167" s="1173" t="s">
        <v>1917</v>
      </c>
      <c r="C167" s="1173">
        <v>7540</v>
      </c>
      <c r="D167" s="1173">
        <v>7510</v>
      </c>
      <c r="E167" s="1173">
        <v>8030</v>
      </c>
      <c r="F167" s="1190"/>
      <c r="H167" s="1188"/>
    </row>
    <row r="168" spans="1:8" s="1160" customFormat="1" ht="14.25" customHeight="1">
      <c r="A168" s="1168" t="s">
        <v>299</v>
      </c>
      <c r="B168" s="1173" t="s">
        <v>1927</v>
      </c>
      <c r="C168" s="1173">
        <v>7210</v>
      </c>
      <c r="D168" s="1173">
        <v>7180</v>
      </c>
      <c r="E168" s="1173">
        <v>7830</v>
      </c>
      <c r="F168" s="1190"/>
      <c r="H168" s="1188"/>
    </row>
    <row r="169" spans="1:8" s="1160" customFormat="1" ht="14.25" customHeight="1">
      <c r="A169" s="1168" t="s">
        <v>299</v>
      </c>
      <c r="B169" s="1173" t="s">
        <v>1937</v>
      </c>
      <c r="C169" s="1173">
        <v>7040</v>
      </c>
      <c r="D169" s="1173">
        <v>7020</v>
      </c>
      <c r="E169" s="1173">
        <v>7670</v>
      </c>
      <c r="F169" s="1190"/>
      <c r="H169" s="1188"/>
    </row>
    <row r="170" spans="1:8" s="1160" customFormat="1" ht="14.25" customHeight="1">
      <c r="A170" s="1168" t="s">
        <v>299</v>
      </c>
      <c r="B170" s="1173" t="s">
        <v>1947</v>
      </c>
      <c r="C170" s="1173">
        <v>8040</v>
      </c>
      <c r="D170" s="1173">
        <v>7190</v>
      </c>
      <c r="E170" s="1173">
        <v>7850</v>
      </c>
      <c r="F170" s="1190"/>
      <c r="H170" s="1188"/>
    </row>
    <row r="171" spans="1:8" s="1160" customFormat="1" ht="14.25" customHeight="1">
      <c r="A171" s="1168" t="s">
        <v>299</v>
      </c>
      <c r="B171" s="1173" t="s">
        <v>1957</v>
      </c>
      <c r="C171" s="1173">
        <v>7860</v>
      </c>
      <c r="D171" s="1173">
        <v>7720</v>
      </c>
      <c r="E171" s="1173">
        <v>8150</v>
      </c>
      <c r="F171" s="1181">
        <v>1110</v>
      </c>
      <c r="H171" s="1188"/>
    </row>
    <row r="172" spans="1:8" s="1160" customFormat="1" ht="14.25" customHeight="1">
      <c r="A172" s="1168" t="s">
        <v>299</v>
      </c>
      <c r="B172" s="1173" t="s">
        <v>1967</v>
      </c>
      <c r="C172" s="1173">
        <v>7210</v>
      </c>
      <c r="D172" s="1173">
        <v>7170</v>
      </c>
      <c r="E172" s="1173">
        <v>7320</v>
      </c>
      <c r="F172" s="1190"/>
      <c r="H172" s="1188"/>
    </row>
    <row r="173" spans="1:8" s="1160" customFormat="1" ht="14.25" customHeight="1">
      <c r="A173" s="1168" t="s">
        <v>299</v>
      </c>
      <c r="B173" s="1173" t="s">
        <v>1977</v>
      </c>
      <c r="C173" s="1173">
        <v>6860</v>
      </c>
      <c r="D173" s="1173">
        <v>6810</v>
      </c>
      <c r="E173" s="1173">
        <v>7440</v>
      </c>
      <c r="F173" s="1190"/>
      <c r="H173" s="1188"/>
    </row>
    <row r="174" spans="1:8" s="1160" customFormat="1" ht="14.25" customHeight="1">
      <c r="A174" s="1168" t="s">
        <v>299</v>
      </c>
      <c r="B174" s="1173" t="s">
        <v>1987</v>
      </c>
      <c r="C174" s="1173">
        <v>7120</v>
      </c>
      <c r="D174" s="1173">
        <v>7090</v>
      </c>
      <c r="E174" s="1173">
        <v>7500</v>
      </c>
      <c r="F174" s="1181">
        <v>1490</v>
      </c>
      <c r="H174" s="1188"/>
    </row>
    <row r="175" spans="1:8" s="1160" customFormat="1" ht="14.25" customHeight="1">
      <c r="A175" s="1168" t="s">
        <v>299</v>
      </c>
      <c r="B175" s="1173" t="s">
        <v>1997</v>
      </c>
      <c r="C175" s="1173">
        <v>7850</v>
      </c>
      <c r="D175" s="1173">
        <v>7820</v>
      </c>
      <c r="E175" s="1173">
        <v>8120</v>
      </c>
      <c r="F175" s="1181">
        <v>1530</v>
      </c>
      <c r="H175" s="1188"/>
    </row>
    <row r="176" spans="1:8" s="1160" customFormat="1" ht="14.25" customHeight="1">
      <c r="A176" s="1168" t="s">
        <v>299</v>
      </c>
      <c r="B176" s="1173" t="s">
        <v>2007</v>
      </c>
      <c r="C176" s="1173">
        <v>7620</v>
      </c>
      <c r="D176" s="1173">
        <v>7570</v>
      </c>
      <c r="E176" s="1173">
        <v>7990</v>
      </c>
      <c r="F176" s="1181">
        <v>1480</v>
      </c>
      <c r="H176" s="1188"/>
    </row>
    <row r="177" spans="1:8" s="1160" customFormat="1" ht="14.25" customHeight="1">
      <c r="A177" s="1168" t="s">
        <v>299</v>
      </c>
      <c r="B177" s="1173" t="s">
        <v>2016</v>
      </c>
      <c r="C177" s="1173">
        <v>8590</v>
      </c>
      <c r="D177" s="1173">
        <v>8570</v>
      </c>
      <c r="E177" s="1173">
        <v>8740</v>
      </c>
      <c r="F177" s="1181">
        <v>1540</v>
      </c>
      <c r="H177" s="1188"/>
    </row>
    <row r="178" spans="1:8" s="1160" customFormat="1" ht="14.25" customHeight="1">
      <c r="A178" s="1168" t="s">
        <v>299</v>
      </c>
      <c r="B178" s="1173" t="s">
        <v>2024</v>
      </c>
      <c r="C178" s="1173">
        <v>7510</v>
      </c>
      <c r="D178" s="1173">
        <v>7470</v>
      </c>
      <c r="E178" s="1173">
        <v>8090</v>
      </c>
      <c r="F178" s="1181">
        <v>1320</v>
      </c>
      <c r="H178" s="1188"/>
    </row>
    <row r="179" spans="1:8" s="1160" customFormat="1" ht="14.25" customHeight="1">
      <c r="A179" s="1168" t="s">
        <v>299</v>
      </c>
      <c r="B179" s="1173" t="s">
        <v>2032</v>
      </c>
      <c r="C179" s="1173">
        <v>6380</v>
      </c>
      <c r="D179" s="1173">
        <v>6340</v>
      </c>
      <c r="E179" s="1173">
        <v>6810</v>
      </c>
      <c r="F179" s="1190"/>
      <c r="H179" s="1188"/>
    </row>
    <row r="180" spans="1:8" s="1160" customFormat="1" ht="14.25" customHeight="1">
      <c r="A180" s="1168" t="s">
        <v>299</v>
      </c>
      <c r="B180" s="1173" t="s">
        <v>2039</v>
      </c>
      <c r="C180" s="1173">
        <v>7830</v>
      </c>
      <c r="D180" s="1173">
        <v>7800</v>
      </c>
      <c r="E180" s="1173">
        <v>7780</v>
      </c>
      <c r="F180" s="1181">
        <v>1440</v>
      </c>
      <c r="H180" s="1188"/>
    </row>
    <row r="181" spans="1:8" s="1160" customFormat="1" ht="14.25" customHeight="1">
      <c r="A181" s="1168" t="s">
        <v>299</v>
      </c>
      <c r="B181" s="1173" t="s">
        <v>2046</v>
      </c>
      <c r="C181" s="1173">
        <v>7110</v>
      </c>
      <c r="D181" s="1173">
        <v>7080</v>
      </c>
      <c r="E181" s="1173">
        <v>7730</v>
      </c>
      <c r="F181" s="1181">
        <v>1350</v>
      </c>
      <c r="H181" s="1188"/>
    </row>
    <row r="182" spans="1:8" s="1160" customFormat="1" ht="14.25" customHeight="1">
      <c r="A182" s="1168" t="s">
        <v>299</v>
      </c>
      <c r="B182" s="1173" t="s">
        <v>2053</v>
      </c>
      <c r="C182" s="1173">
        <v>7310</v>
      </c>
      <c r="D182" s="1173">
        <v>7280</v>
      </c>
      <c r="E182" s="1173">
        <v>7950</v>
      </c>
      <c r="F182" s="1181">
        <v>1220</v>
      </c>
      <c r="H182" s="1188"/>
    </row>
    <row r="183" spans="1:8" s="1160" customFormat="1" ht="14.25" customHeight="1">
      <c r="A183" s="1168" t="s">
        <v>299</v>
      </c>
      <c r="B183" s="1173" t="s">
        <v>2060</v>
      </c>
      <c r="C183" s="1173">
        <v>7470</v>
      </c>
      <c r="D183" s="1173">
        <v>7440</v>
      </c>
      <c r="E183" s="1173">
        <v>7880</v>
      </c>
      <c r="F183" s="1190"/>
      <c r="H183" s="1188"/>
    </row>
    <row r="184" spans="1:8" s="1160" customFormat="1" ht="14.25" customHeight="1">
      <c r="A184" s="1168" t="s">
        <v>299</v>
      </c>
      <c r="B184" s="1173" t="s">
        <v>2067</v>
      </c>
      <c r="C184" s="1173">
        <v>6960</v>
      </c>
      <c r="D184" s="1173">
        <v>6930</v>
      </c>
      <c r="E184" s="1173">
        <v>7570</v>
      </c>
      <c r="F184" s="1190"/>
      <c r="H184" s="1188"/>
    </row>
    <row r="185" spans="1:8" s="1160" customFormat="1" ht="14.25" customHeight="1">
      <c r="A185" s="1168" t="s">
        <v>299</v>
      </c>
      <c r="B185" s="1173" t="s">
        <v>2072</v>
      </c>
      <c r="C185" s="1173">
        <v>7260</v>
      </c>
      <c r="D185" s="1173">
        <v>7230</v>
      </c>
      <c r="E185" s="1173">
        <v>7710</v>
      </c>
      <c r="F185" s="1181">
        <v>1360</v>
      </c>
      <c r="H185" s="1188"/>
    </row>
    <row r="186" spans="1:8" s="1160" customFormat="1" ht="14.25" customHeight="1">
      <c r="A186" s="1168" t="s">
        <v>299</v>
      </c>
      <c r="B186" s="1173" t="s">
        <v>2077</v>
      </c>
      <c r="C186" s="1173"/>
      <c r="D186" s="1173"/>
      <c r="E186" s="1173"/>
      <c r="F186" s="1181">
        <v>1560</v>
      </c>
      <c r="H186" s="1188"/>
    </row>
    <row r="187" spans="1:8" s="1160" customFormat="1" ht="14.25" customHeight="1">
      <c r="A187" s="1168" t="s">
        <v>299</v>
      </c>
      <c r="B187" s="1173" t="s">
        <v>2082</v>
      </c>
      <c r="C187" s="1173"/>
      <c r="D187" s="1173"/>
      <c r="E187" s="1173"/>
      <c r="F187" s="1181">
        <v>1560</v>
      </c>
      <c r="H187" s="1188"/>
    </row>
    <row r="188" spans="1:8" s="1160" customFormat="1" ht="14.25" customHeight="1">
      <c r="A188" s="1168" t="s">
        <v>299</v>
      </c>
      <c r="B188" s="1173" t="s">
        <v>2087</v>
      </c>
      <c r="C188" s="1173"/>
      <c r="D188" s="1173"/>
      <c r="E188" s="1173"/>
      <c r="F188" s="1181">
        <v>1560</v>
      </c>
      <c r="H188" s="1188"/>
    </row>
    <row r="189" spans="1:8" s="1160" customFormat="1" ht="14.25" customHeight="1">
      <c r="A189" s="1168" t="s">
        <v>299</v>
      </c>
      <c r="B189" s="1173" t="s">
        <v>2092</v>
      </c>
      <c r="C189" s="1173"/>
      <c r="D189" s="1173"/>
      <c r="E189" s="1173"/>
      <c r="F189" s="1181">
        <v>1320</v>
      </c>
      <c r="H189" s="1188"/>
    </row>
    <row r="190" spans="1:8" s="1160" customFormat="1" ht="14.25" customHeight="1">
      <c r="A190" s="1168" t="s">
        <v>299</v>
      </c>
      <c r="B190" s="1173" t="s">
        <v>2097</v>
      </c>
      <c r="C190" s="1173"/>
      <c r="D190" s="1173"/>
      <c r="E190" s="1173"/>
      <c r="F190" s="1181">
        <v>1320</v>
      </c>
      <c r="H190" s="1188"/>
    </row>
    <row r="191" spans="1:8" s="1160" customFormat="1" ht="14.25" customHeight="1">
      <c r="A191" s="1168" t="s">
        <v>299</v>
      </c>
      <c r="B191" s="1173" t="s">
        <v>2102</v>
      </c>
      <c r="C191" s="1173"/>
      <c r="D191" s="1173"/>
      <c r="E191" s="1173"/>
      <c r="F191" s="1181">
        <v>1320</v>
      </c>
      <c r="H191" s="1188"/>
    </row>
    <row r="192" spans="1:8" s="1160" customFormat="1" ht="14.25" customHeight="1">
      <c r="A192" s="1168" t="s">
        <v>299</v>
      </c>
      <c r="B192" s="1173" t="s">
        <v>2106</v>
      </c>
      <c r="C192" s="1173"/>
      <c r="D192" s="1173"/>
      <c r="E192" s="1173"/>
      <c r="F192" s="1181">
        <v>1100</v>
      </c>
      <c r="H192" s="1188"/>
    </row>
    <row r="193" spans="1:8" s="1160" customFormat="1" ht="14.25" customHeight="1">
      <c r="A193" s="1168" t="s">
        <v>299</v>
      </c>
      <c r="B193" s="1173" t="s">
        <v>2110</v>
      </c>
      <c r="C193" s="1173"/>
      <c r="D193" s="1173"/>
      <c r="E193" s="1173"/>
      <c r="F193" s="1181">
        <v>1100</v>
      </c>
      <c r="H193" s="1188"/>
    </row>
    <row r="194" spans="1:8" s="1160" customFormat="1" ht="14.25" customHeight="1">
      <c r="A194" s="1168" t="s">
        <v>299</v>
      </c>
      <c r="B194" s="1173" t="s">
        <v>2114</v>
      </c>
      <c r="C194" s="1173"/>
      <c r="D194" s="1173"/>
      <c r="E194" s="1173"/>
      <c r="F194" s="1181">
        <v>1080</v>
      </c>
      <c r="H194" s="1188"/>
    </row>
    <row r="195" spans="1:8" s="1160" customFormat="1" ht="14.25" customHeight="1">
      <c r="A195" s="1168" t="s">
        <v>299</v>
      </c>
      <c r="B195" s="1173" t="s">
        <v>2118</v>
      </c>
      <c r="C195" s="1173"/>
      <c r="D195" s="1173"/>
      <c r="E195" s="1173"/>
      <c r="F195" s="1181">
        <v>1270</v>
      </c>
      <c r="H195" s="1188"/>
    </row>
    <row r="196" spans="1:8" s="1160" customFormat="1" ht="14.25" customHeight="1">
      <c r="A196" s="1168" t="s">
        <v>299</v>
      </c>
      <c r="B196" s="1173" t="s">
        <v>2122</v>
      </c>
      <c r="C196" s="1173"/>
      <c r="D196" s="1173"/>
      <c r="E196" s="1173"/>
      <c r="F196" s="1181">
        <v>1150</v>
      </c>
      <c r="H196" s="1188"/>
    </row>
    <row r="197" spans="1:8" s="1160" customFormat="1" ht="14.25" customHeight="1">
      <c r="A197" s="1168" t="s">
        <v>299</v>
      </c>
      <c r="B197" s="1173" t="s">
        <v>2126</v>
      </c>
      <c r="C197" s="1173"/>
      <c r="D197" s="1173"/>
      <c r="E197" s="1173"/>
      <c r="F197" s="1181">
        <v>1330</v>
      </c>
      <c r="H197" s="1188"/>
    </row>
    <row r="198" spans="1:8" s="1160" customFormat="1" ht="14.25" customHeight="1">
      <c r="A198" s="1168" t="s">
        <v>299</v>
      </c>
      <c r="B198" s="1173" t="s">
        <v>2129</v>
      </c>
      <c r="C198" s="1173"/>
      <c r="D198" s="1173"/>
      <c r="E198" s="1173"/>
      <c r="F198" s="1181">
        <v>1170</v>
      </c>
      <c r="H198" s="1188"/>
    </row>
    <row r="199" spans="1:8" s="1160" customFormat="1" ht="14.25" customHeight="1">
      <c r="A199" s="1168" t="s">
        <v>299</v>
      </c>
      <c r="B199" s="1173" t="s">
        <v>2132</v>
      </c>
      <c r="C199" s="1173"/>
      <c r="D199" s="1173"/>
      <c r="E199" s="1173"/>
      <c r="F199" s="1181">
        <v>1120</v>
      </c>
      <c r="H199" s="1188"/>
    </row>
    <row r="200" spans="1:8" s="1160" customFormat="1" ht="14.25" customHeight="1">
      <c r="A200" s="1168" t="s">
        <v>299</v>
      </c>
      <c r="B200" s="1173" t="s">
        <v>2135</v>
      </c>
      <c r="C200" s="1173"/>
      <c r="D200" s="1173"/>
      <c r="E200" s="1173"/>
      <c r="F200" s="1181">
        <v>1120</v>
      </c>
      <c r="H200" s="1188"/>
    </row>
    <row r="201" spans="1:8" s="1160" customFormat="1" ht="14.25" customHeight="1">
      <c r="A201" s="1168" t="s">
        <v>299</v>
      </c>
      <c r="B201" s="1173" t="s">
        <v>2138</v>
      </c>
      <c r="C201" s="1173"/>
      <c r="D201" s="1173"/>
      <c r="E201" s="1173"/>
      <c r="F201" s="1181">
        <v>1540</v>
      </c>
      <c r="H201" s="1188"/>
    </row>
    <row r="202" spans="1:8" s="1160" customFormat="1" ht="14.25" customHeight="1">
      <c r="A202" s="1168" t="s">
        <v>299</v>
      </c>
      <c r="B202" s="1173" t="s">
        <v>2141</v>
      </c>
      <c r="C202" s="1173"/>
      <c r="D202" s="1173"/>
      <c r="E202" s="1173"/>
      <c r="F202" s="1181">
        <v>1310</v>
      </c>
      <c r="H202" s="1188"/>
    </row>
    <row r="203" spans="1:8" s="1160" customFormat="1" ht="14.25" customHeight="1">
      <c r="A203" s="1168" t="s">
        <v>299</v>
      </c>
      <c r="B203" s="1173" t="s">
        <v>2144</v>
      </c>
      <c r="C203" s="1173"/>
      <c r="D203" s="1173"/>
      <c r="E203" s="1173"/>
      <c r="F203" s="1181">
        <v>1310</v>
      </c>
      <c r="H203" s="1188"/>
    </row>
    <row r="204" spans="1:8" s="1160" customFormat="1" ht="14.25" customHeight="1">
      <c r="A204" s="1168" t="s">
        <v>299</v>
      </c>
      <c r="B204" s="1173" t="s">
        <v>2146</v>
      </c>
      <c r="C204" s="1173"/>
      <c r="D204" s="1173"/>
      <c r="E204" s="1173"/>
      <c r="F204" s="1181">
        <v>1080</v>
      </c>
      <c r="H204" s="1188"/>
    </row>
    <row r="205" spans="1:8" s="1160" customFormat="1" ht="14.25" customHeight="1">
      <c r="A205" s="1168" t="s">
        <v>299</v>
      </c>
      <c r="B205" s="1173" t="s">
        <v>2148</v>
      </c>
      <c r="C205" s="1173"/>
      <c r="D205" s="1173"/>
      <c r="E205" s="1173"/>
      <c r="F205" s="1181">
        <v>1080</v>
      </c>
      <c r="H205" s="1188"/>
    </row>
    <row r="206" spans="1:8" s="1160" customFormat="1" ht="14.25" customHeight="1">
      <c r="A206" s="1168" t="s">
        <v>304</v>
      </c>
      <c r="B206" s="1169" t="s">
        <v>1815</v>
      </c>
      <c r="C206" s="1169">
        <v>5450</v>
      </c>
      <c r="D206" s="1169">
        <v>5430</v>
      </c>
      <c r="E206" s="1169">
        <v>5700</v>
      </c>
      <c r="F206" s="1170">
        <v>1020</v>
      </c>
      <c r="H206" s="1188"/>
    </row>
    <row r="207" spans="1:8" s="1160" customFormat="1" ht="14.25" customHeight="1">
      <c r="A207" s="1168" t="s">
        <v>304</v>
      </c>
      <c r="B207" s="1173" t="s">
        <v>1828</v>
      </c>
      <c r="C207" s="1173">
        <v>5860</v>
      </c>
      <c r="D207" s="1173">
        <v>5820</v>
      </c>
      <c r="E207" s="1173">
        <v>6050</v>
      </c>
      <c r="F207" s="1181">
        <v>1080</v>
      </c>
      <c r="H207" s="1188"/>
    </row>
    <row r="208" spans="1:8" s="1160" customFormat="1" ht="14.25" customHeight="1">
      <c r="A208" s="1168" t="s">
        <v>304</v>
      </c>
      <c r="B208" s="1173" t="s">
        <v>1841</v>
      </c>
      <c r="C208" s="1173">
        <v>4630</v>
      </c>
      <c r="D208" s="1173">
        <v>4600</v>
      </c>
      <c r="E208" s="1173">
        <v>4840</v>
      </c>
      <c r="F208" s="1181">
        <v>900</v>
      </c>
      <c r="H208" s="1188"/>
    </row>
    <row r="209" spans="1:8" s="1160" customFormat="1" ht="14.25" customHeight="1">
      <c r="A209" s="1168" t="s">
        <v>304</v>
      </c>
      <c r="B209" s="1173" t="s">
        <v>1853</v>
      </c>
      <c r="C209" s="1173">
        <v>5320</v>
      </c>
      <c r="D209" s="1173">
        <v>5270</v>
      </c>
      <c r="E209" s="1173">
        <v>5540</v>
      </c>
      <c r="F209" s="1181">
        <v>980</v>
      </c>
      <c r="H209" s="1188"/>
    </row>
    <row r="210" spans="1:8" s="1160" customFormat="1" ht="14.25" customHeight="1">
      <c r="A210" s="1168" t="s">
        <v>304</v>
      </c>
      <c r="B210" s="1173" t="s">
        <v>1865</v>
      </c>
      <c r="C210" s="1173">
        <v>5760</v>
      </c>
      <c r="D210" s="1173">
        <v>5710</v>
      </c>
      <c r="E210" s="1173">
        <v>6010</v>
      </c>
      <c r="F210" s="1181">
        <v>870</v>
      </c>
      <c r="H210" s="1188"/>
    </row>
    <row r="211" spans="1:8" s="1160" customFormat="1" ht="14.25" customHeight="1">
      <c r="A211" s="1168" t="s">
        <v>304</v>
      </c>
      <c r="B211" s="1173" t="s">
        <v>1876</v>
      </c>
      <c r="C211" s="1173">
        <v>4160</v>
      </c>
      <c r="D211" s="1173">
        <v>4100</v>
      </c>
      <c r="E211" s="1173">
        <v>4270</v>
      </c>
      <c r="F211" s="1181">
        <v>790</v>
      </c>
      <c r="H211" s="1188"/>
    </row>
    <row r="212" spans="1:8" s="1160" customFormat="1" ht="14.25" customHeight="1">
      <c r="A212" s="1168" t="s">
        <v>304</v>
      </c>
      <c r="B212" s="1173" t="s">
        <v>1887</v>
      </c>
      <c r="C212" s="1173">
        <v>4880</v>
      </c>
      <c r="D212" s="1173">
        <v>4850</v>
      </c>
      <c r="E212" s="1173">
        <v>5110</v>
      </c>
      <c r="F212" s="1181">
        <v>940</v>
      </c>
      <c r="H212" s="1188"/>
    </row>
    <row r="213" spans="1:8" s="1160" customFormat="1" ht="14.25" customHeight="1">
      <c r="A213" s="1168" t="s">
        <v>304</v>
      </c>
      <c r="B213" s="1173" t="s">
        <v>1898</v>
      </c>
      <c r="C213" s="1173">
        <v>4640</v>
      </c>
      <c r="D213" s="1173">
        <v>4590</v>
      </c>
      <c r="E213" s="1173">
        <v>4700</v>
      </c>
      <c r="F213" s="1181">
        <v>1030</v>
      </c>
      <c r="H213" s="1188"/>
    </row>
    <row r="214" spans="1:8" s="1160" customFormat="1" ht="14.25" customHeight="1">
      <c r="A214" s="1168" t="s">
        <v>304</v>
      </c>
      <c r="B214" s="1173" t="s">
        <v>1908</v>
      </c>
      <c r="C214" s="1173">
        <v>4540</v>
      </c>
      <c r="D214" s="1173">
        <v>4490</v>
      </c>
      <c r="E214" s="1173">
        <v>4610</v>
      </c>
      <c r="F214" s="1190"/>
      <c r="H214" s="1188"/>
    </row>
    <row r="215" spans="1:8" s="1160" customFormat="1" ht="14.25" customHeight="1">
      <c r="A215" s="1168" t="s">
        <v>304</v>
      </c>
      <c r="B215" s="1173" t="s">
        <v>1918</v>
      </c>
      <c r="C215" s="1173">
        <v>5280</v>
      </c>
      <c r="D215" s="1173">
        <v>5250</v>
      </c>
      <c r="E215" s="1173">
        <v>5520</v>
      </c>
      <c r="F215" s="1181">
        <v>1000</v>
      </c>
      <c r="H215" s="1188"/>
    </row>
    <row r="216" spans="1:8" s="1160" customFormat="1" ht="14.25" customHeight="1">
      <c r="A216" s="1168" t="s">
        <v>304</v>
      </c>
      <c r="B216" s="1173" t="s">
        <v>1928</v>
      </c>
      <c r="C216" s="1173">
        <v>5100</v>
      </c>
      <c r="D216" s="1173">
        <v>5050</v>
      </c>
      <c r="E216" s="1173">
        <v>5300</v>
      </c>
      <c r="F216" s="1181">
        <v>950</v>
      </c>
      <c r="H216" s="1188"/>
    </row>
    <row r="217" spans="1:8" s="1160" customFormat="1" ht="14.25" customHeight="1">
      <c r="A217" s="1168" t="s">
        <v>304</v>
      </c>
      <c r="B217" s="1173" t="s">
        <v>1938</v>
      </c>
      <c r="C217" s="1173">
        <v>5370</v>
      </c>
      <c r="D217" s="1173">
        <v>5320</v>
      </c>
      <c r="E217" s="1173">
        <v>5410</v>
      </c>
      <c r="F217" s="1181">
        <v>950</v>
      </c>
      <c r="H217" s="1188"/>
    </row>
    <row r="218" spans="1:8" s="1160" customFormat="1" ht="14.25" customHeight="1">
      <c r="A218" s="1168" t="s">
        <v>304</v>
      </c>
      <c r="B218" s="1173" t="s">
        <v>1948</v>
      </c>
      <c r="C218" s="1173">
        <v>5540</v>
      </c>
      <c r="D218" s="1173">
        <v>5480</v>
      </c>
      <c r="E218" s="1173">
        <v>5740</v>
      </c>
      <c r="F218" s="1181">
        <v>1020</v>
      </c>
      <c r="H218" s="1188"/>
    </row>
    <row r="219" spans="1:8" s="1160" customFormat="1" ht="14.25" customHeight="1">
      <c r="A219" s="1168" t="s">
        <v>304</v>
      </c>
      <c r="B219" s="1173" t="s">
        <v>1958</v>
      </c>
      <c r="C219" s="1173">
        <v>5140</v>
      </c>
      <c r="D219" s="1173">
        <v>5100</v>
      </c>
      <c r="E219" s="1173">
        <v>5350</v>
      </c>
      <c r="F219" s="1181">
        <v>1120</v>
      </c>
      <c r="H219" s="1188"/>
    </row>
    <row r="220" spans="1:8" s="1160" customFormat="1" ht="14.25" customHeight="1">
      <c r="A220" s="1168" t="s">
        <v>304</v>
      </c>
      <c r="B220" s="1173" t="s">
        <v>1968</v>
      </c>
      <c r="C220" s="1173">
        <v>5040</v>
      </c>
      <c r="D220" s="1173">
        <v>5000</v>
      </c>
      <c r="E220" s="1173">
        <v>5240</v>
      </c>
      <c r="F220" s="1181">
        <v>980</v>
      </c>
      <c r="H220" s="1188"/>
    </row>
    <row r="221" spans="1:8" s="1160" customFormat="1" ht="14.25" customHeight="1">
      <c r="A221" s="1168" t="s">
        <v>304</v>
      </c>
      <c r="B221" s="1173" t="s">
        <v>1978</v>
      </c>
      <c r="C221" s="1195"/>
      <c r="D221" s="1195"/>
      <c r="E221" s="1195"/>
      <c r="F221" s="1181">
        <v>1070</v>
      </c>
      <c r="H221" s="1188"/>
    </row>
    <row r="222" spans="1:8" s="1160" customFormat="1" ht="14.25" customHeight="1">
      <c r="A222" s="1168" t="s">
        <v>304</v>
      </c>
      <c r="B222" s="1173" t="s">
        <v>1988</v>
      </c>
      <c r="C222" s="1195"/>
      <c r="D222" s="1195"/>
      <c r="E222" s="1195"/>
      <c r="F222" s="1181">
        <v>870</v>
      </c>
      <c r="H222" s="1188"/>
    </row>
    <row r="223" spans="1:8" s="1160" customFormat="1" ht="14.25" customHeight="1">
      <c r="A223" s="1168" t="s">
        <v>304</v>
      </c>
      <c r="B223" s="1173" t="s">
        <v>1998</v>
      </c>
      <c r="C223" s="1195"/>
      <c r="D223" s="1195"/>
      <c r="E223" s="1195"/>
      <c r="F223" s="1181">
        <v>940</v>
      </c>
      <c r="H223" s="1188"/>
    </row>
    <row r="224" spans="1:8" s="1160" customFormat="1" ht="14.25" customHeight="1">
      <c r="A224" s="1168" t="s">
        <v>304</v>
      </c>
      <c r="B224" s="1173" t="s">
        <v>2008</v>
      </c>
      <c r="C224" s="1195"/>
      <c r="D224" s="1195"/>
      <c r="E224" s="1195"/>
      <c r="F224" s="1181">
        <v>990</v>
      </c>
      <c r="H224" s="1188"/>
    </row>
    <row r="225" spans="1:8" s="1160" customFormat="1" ht="14.25" customHeight="1">
      <c r="A225" s="1168" t="s">
        <v>304</v>
      </c>
      <c r="B225" s="1173" t="s">
        <v>2017</v>
      </c>
      <c r="C225" s="1173">
        <v>5730</v>
      </c>
      <c r="D225" s="1173">
        <v>5680</v>
      </c>
      <c r="E225" s="1173">
        <v>6020</v>
      </c>
      <c r="F225" s="1181">
        <v>1000</v>
      </c>
      <c r="H225" s="1188"/>
    </row>
    <row r="226" spans="1:8" s="1160" customFormat="1" ht="14.25" customHeight="1">
      <c r="A226" s="1168" t="s">
        <v>304</v>
      </c>
      <c r="B226" s="1173" t="s">
        <v>2025</v>
      </c>
      <c r="C226" s="1173">
        <v>4970</v>
      </c>
      <c r="D226" s="1173">
        <v>4940</v>
      </c>
      <c r="E226" s="1173">
        <v>5180</v>
      </c>
      <c r="F226" s="1181">
        <v>960</v>
      </c>
      <c r="H226" s="1188"/>
    </row>
    <row r="227" spans="1:8" s="1160" customFormat="1" ht="14.25" customHeight="1">
      <c r="A227" s="1168" t="s">
        <v>304</v>
      </c>
      <c r="B227" s="1173" t="s">
        <v>2033</v>
      </c>
      <c r="C227" s="1173">
        <v>5550</v>
      </c>
      <c r="D227" s="1173">
        <v>5500</v>
      </c>
      <c r="E227" s="1173">
        <v>5780</v>
      </c>
      <c r="F227" s="1181">
        <v>940</v>
      </c>
      <c r="H227" s="1188"/>
    </row>
    <row r="228" spans="1:8" s="1160" customFormat="1" ht="14.25" customHeight="1">
      <c r="A228" s="1168" t="s">
        <v>304</v>
      </c>
      <c r="B228" s="1173" t="s">
        <v>2040</v>
      </c>
      <c r="C228" s="1173">
        <v>5460</v>
      </c>
      <c r="D228" s="1173">
        <v>5420</v>
      </c>
      <c r="E228" s="1173">
        <v>5690</v>
      </c>
      <c r="F228" s="1181">
        <v>910</v>
      </c>
      <c r="H228" s="1188"/>
    </row>
    <row r="229" spans="1:8" s="1160" customFormat="1" ht="14.25" customHeight="1">
      <c r="A229" s="1168" t="s">
        <v>304</v>
      </c>
      <c r="B229" s="1173" t="s">
        <v>2047</v>
      </c>
      <c r="C229" s="1173">
        <v>5310</v>
      </c>
      <c r="D229" s="1173">
        <v>5270</v>
      </c>
      <c r="E229" s="1173">
        <v>5510</v>
      </c>
      <c r="F229" s="1190"/>
      <c r="H229" s="1188"/>
    </row>
    <row r="230" spans="1:8" s="1160" customFormat="1" ht="14.25" customHeight="1">
      <c r="A230" s="1168" t="s">
        <v>304</v>
      </c>
      <c r="B230" s="1173" t="s">
        <v>2054</v>
      </c>
      <c r="C230" s="1173">
        <v>4540</v>
      </c>
      <c r="D230" s="1173">
        <v>4500</v>
      </c>
      <c r="E230" s="1173">
        <v>4730</v>
      </c>
      <c r="F230" s="1190"/>
      <c r="H230" s="1188"/>
    </row>
    <row r="231" spans="1:8" s="1160" customFormat="1" ht="14.25" customHeight="1">
      <c r="A231" s="1168" t="s">
        <v>304</v>
      </c>
      <c r="B231" s="1173" t="s">
        <v>2061</v>
      </c>
      <c r="C231" s="1173">
        <v>4480</v>
      </c>
      <c r="D231" s="1173">
        <v>4410</v>
      </c>
      <c r="E231" s="1173">
        <v>4640</v>
      </c>
      <c r="F231" s="1190"/>
      <c r="H231" s="1188"/>
    </row>
    <row r="232" spans="1:8" s="1160" customFormat="1" ht="14.25" customHeight="1">
      <c r="A232" s="1168" t="s">
        <v>304</v>
      </c>
      <c r="B232" s="1173" t="s">
        <v>2068</v>
      </c>
      <c r="C232" s="1173">
        <v>5670</v>
      </c>
      <c r="D232" s="1173">
        <v>5600</v>
      </c>
      <c r="E232" s="1173">
        <v>5890</v>
      </c>
      <c r="F232" s="1181">
        <v>1150</v>
      </c>
      <c r="H232" s="1188"/>
    </row>
    <row r="233" spans="1:8" s="1160" customFormat="1" ht="14.25" customHeight="1">
      <c r="A233" s="1168" t="s">
        <v>304</v>
      </c>
      <c r="B233" s="1173" t="s">
        <v>2073</v>
      </c>
      <c r="C233" s="1173">
        <v>4590</v>
      </c>
      <c r="D233" s="1173">
        <v>4500</v>
      </c>
      <c r="E233" s="1173">
        <v>4600</v>
      </c>
      <c r="F233" s="1190"/>
      <c r="H233" s="1188"/>
    </row>
    <row r="234" spans="1:8" s="1160" customFormat="1" ht="14.25" customHeight="1">
      <c r="A234" s="1168" t="s">
        <v>304</v>
      </c>
      <c r="B234" s="1173" t="s">
        <v>2078</v>
      </c>
      <c r="C234" s="1173">
        <v>3990</v>
      </c>
      <c r="D234" s="1173">
        <v>3950</v>
      </c>
      <c r="E234" s="1173">
        <v>4180</v>
      </c>
      <c r="F234" s="1190"/>
      <c r="H234" s="1188"/>
    </row>
    <row r="235" spans="1:8" s="1160" customFormat="1" ht="14.25" customHeight="1">
      <c r="A235" s="1168" t="s">
        <v>304</v>
      </c>
      <c r="B235" s="1173" t="s">
        <v>2083</v>
      </c>
      <c r="C235" s="1173">
        <v>5590</v>
      </c>
      <c r="D235" s="1173">
        <v>5540</v>
      </c>
      <c r="E235" s="1173">
        <v>5810</v>
      </c>
      <c r="F235" s="1181">
        <v>970</v>
      </c>
      <c r="H235" s="1188"/>
    </row>
    <row r="236" spans="1:8" s="1160" customFormat="1" ht="14.25" customHeight="1">
      <c r="A236" s="1168" t="s">
        <v>304</v>
      </c>
      <c r="B236" s="1173" t="s">
        <v>2088</v>
      </c>
      <c r="C236" s="1173"/>
      <c r="D236" s="1173"/>
      <c r="E236" s="1173"/>
      <c r="F236" s="1181">
        <v>1020</v>
      </c>
      <c r="H236" s="1188"/>
    </row>
    <row r="237" spans="1:8" s="1160" customFormat="1" ht="14.25" customHeight="1">
      <c r="A237" s="1168" t="s">
        <v>304</v>
      </c>
      <c r="B237" s="1173" t="s">
        <v>2093</v>
      </c>
      <c r="C237" s="1173"/>
      <c r="D237" s="1173"/>
      <c r="E237" s="1173"/>
      <c r="F237" s="1181">
        <v>960</v>
      </c>
      <c r="H237" s="1188"/>
    </row>
    <row r="238" spans="1:8" s="1160" customFormat="1" ht="14.25" customHeight="1">
      <c r="A238" s="1168" t="s">
        <v>304</v>
      </c>
      <c r="B238" s="1173" t="s">
        <v>2098</v>
      </c>
      <c r="C238" s="1173"/>
      <c r="D238" s="1173"/>
      <c r="E238" s="1173"/>
      <c r="F238" s="1181">
        <v>960</v>
      </c>
      <c r="H238" s="1188"/>
    </row>
    <row r="239" spans="1:8" s="1160" customFormat="1" ht="14.25" customHeight="1">
      <c r="A239" s="1168" t="s">
        <v>304</v>
      </c>
      <c r="B239" s="1173" t="s">
        <v>2103</v>
      </c>
      <c r="C239" s="1173"/>
      <c r="D239" s="1173"/>
      <c r="E239" s="1173"/>
      <c r="F239" s="1181">
        <v>960</v>
      </c>
      <c r="H239" s="1188"/>
    </row>
    <row r="240" spans="1:8" s="1160" customFormat="1" ht="14.25" customHeight="1">
      <c r="A240" s="1168" t="s">
        <v>304</v>
      </c>
      <c r="B240" s="1173" t="s">
        <v>2107</v>
      </c>
      <c r="C240" s="1173"/>
      <c r="D240" s="1173"/>
      <c r="E240" s="1173"/>
      <c r="F240" s="1181">
        <v>990</v>
      </c>
      <c r="H240" s="1188"/>
    </row>
    <row r="241" spans="1:8" s="1160" customFormat="1" ht="14.25" customHeight="1">
      <c r="A241" s="1168" t="s">
        <v>304</v>
      </c>
      <c r="B241" s="1173" t="s">
        <v>2111</v>
      </c>
      <c r="C241" s="1173"/>
      <c r="D241" s="1173"/>
      <c r="E241" s="1173"/>
      <c r="F241" s="1181">
        <v>1000</v>
      </c>
      <c r="H241" s="1188"/>
    </row>
    <row r="242" spans="1:8" s="1160" customFormat="1" ht="14.25" customHeight="1">
      <c r="A242" s="1168" t="s">
        <v>304</v>
      </c>
      <c r="B242" s="1173" t="s">
        <v>2115</v>
      </c>
      <c r="C242" s="1173"/>
      <c r="D242" s="1173"/>
      <c r="E242" s="1173"/>
      <c r="F242" s="1181">
        <v>980</v>
      </c>
      <c r="H242" s="1188"/>
    </row>
    <row r="243" spans="1:8" s="1160" customFormat="1" ht="14.25" customHeight="1">
      <c r="A243" s="1168" t="s">
        <v>304</v>
      </c>
      <c r="B243" s="1173" t="s">
        <v>2119</v>
      </c>
      <c r="C243" s="1173"/>
      <c r="D243" s="1173"/>
      <c r="E243" s="1173"/>
      <c r="F243" s="1181">
        <v>970</v>
      </c>
      <c r="H243" s="1188"/>
    </row>
    <row r="244" spans="1:8" s="1160" customFormat="1" ht="14.25" customHeight="1">
      <c r="A244" s="1168" t="s">
        <v>304</v>
      </c>
      <c r="B244" s="1179" t="s">
        <v>2123</v>
      </c>
      <c r="C244" s="1179"/>
      <c r="D244" s="1179"/>
      <c r="E244" s="1179"/>
      <c r="F244" s="1189">
        <v>970</v>
      </c>
      <c r="H244" s="1188"/>
    </row>
    <row r="245" spans="1:8" s="1160" customFormat="1" ht="14.25" customHeight="1">
      <c r="A245" s="1168" t="s">
        <v>307</v>
      </c>
      <c r="B245" s="1169" t="s">
        <v>1816</v>
      </c>
      <c r="C245" s="1169">
        <v>4050</v>
      </c>
      <c r="D245" s="1169">
        <v>4020</v>
      </c>
      <c r="E245" s="1169">
        <v>4160</v>
      </c>
      <c r="F245" s="1170">
        <v>840</v>
      </c>
      <c r="H245" s="1188"/>
    </row>
    <row r="246" spans="1:8" s="1160" customFormat="1" ht="14.25" customHeight="1">
      <c r="A246" s="1168" t="s">
        <v>307</v>
      </c>
      <c r="B246" s="1173" t="s">
        <v>1829</v>
      </c>
      <c r="C246" s="1173">
        <v>4010</v>
      </c>
      <c r="D246" s="1173">
        <v>3960</v>
      </c>
      <c r="E246" s="1173">
        <v>4130</v>
      </c>
      <c r="F246" s="1181">
        <v>840</v>
      </c>
      <c r="H246" s="1188"/>
    </row>
    <row r="247" spans="1:8" s="1160" customFormat="1" ht="14.25" customHeight="1">
      <c r="A247" s="1168" t="s">
        <v>307</v>
      </c>
      <c r="B247" s="1173" t="s">
        <v>1842</v>
      </c>
      <c r="C247" s="1173">
        <v>3170</v>
      </c>
      <c r="D247" s="1173">
        <v>3140</v>
      </c>
      <c r="E247" s="1173">
        <v>3270</v>
      </c>
      <c r="F247" s="1181">
        <v>640</v>
      </c>
      <c r="H247" s="1188"/>
    </row>
    <row r="248" spans="1:8" s="1160" customFormat="1" ht="14.25" customHeight="1">
      <c r="A248" s="1168" t="s">
        <v>307</v>
      </c>
      <c r="B248" s="1173" t="s">
        <v>1854</v>
      </c>
      <c r="C248" s="1173">
        <v>3140</v>
      </c>
      <c r="D248" s="1173">
        <v>3120</v>
      </c>
      <c r="E248" s="1173">
        <v>3240</v>
      </c>
      <c r="F248" s="1181">
        <v>620</v>
      </c>
      <c r="H248" s="1188"/>
    </row>
    <row r="249" spans="1:8" s="1160" customFormat="1" ht="14.25" customHeight="1">
      <c r="A249" s="1168" t="s">
        <v>307</v>
      </c>
      <c r="B249" s="1173" t="s">
        <v>1866</v>
      </c>
      <c r="C249" s="1173">
        <v>3200</v>
      </c>
      <c r="D249" s="1173">
        <v>3100</v>
      </c>
      <c r="E249" s="1173">
        <v>3230</v>
      </c>
      <c r="F249" s="1181">
        <v>750</v>
      </c>
      <c r="H249" s="1188"/>
    </row>
    <row r="250" spans="1:8" s="1160" customFormat="1" ht="14.25" customHeight="1">
      <c r="A250" s="1168" t="s">
        <v>307</v>
      </c>
      <c r="B250" s="1173" t="s">
        <v>1877</v>
      </c>
      <c r="C250" s="1173">
        <v>4060</v>
      </c>
      <c r="D250" s="1173">
        <v>4000</v>
      </c>
      <c r="E250" s="1173">
        <v>4140</v>
      </c>
      <c r="F250" s="1181">
        <v>790</v>
      </c>
      <c r="H250" s="1188"/>
    </row>
    <row r="251" spans="1:8" s="1160" customFormat="1" ht="14.25" customHeight="1">
      <c r="A251" s="1168" t="s">
        <v>307</v>
      </c>
      <c r="B251" s="1173" t="s">
        <v>1888</v>
      </c>
      <c r="C251" s="1173">
        <v>3990</v>
      </c>
      <c r="D251" s="1173">
        <v>3970</v>
      </c>
      <c r="E251" s="1173">
        <v>4110</v>
      </c>
      <c r="F251" s="1181">
        <v>730</v>
      </c>
      <c r="H251" s="1188"/>
    </row>
    <row r="252" spans="1:8" s="1160" customFormat="1" ht="14.25" customHeight="1">
      <c r="A252" s="1168" t="s">
        <v>307</v>
      </c>
      <c r="B252" s="1173" t="s">
        <v>1899</v>
      </c>
      <c r="C252" s="1173">
        <v>3560</v>
      </c>
      <c r="D252" s="1173">
        <v>3530</v>
      </c>
      <c r="E252" s="1173">
        <v>3650</v>
      </c>
      <c r="F252" s="1181">
        <v>750</v>
      </c>
      <c r="H252" s="1188"/>
    </row>
    <row r="253" spans="1:8" s="1160" customFormat="1" ht="14.25" customHeight="1">
      <c r="A253" s="1168" t="s">
        <v>307</v>
      </c>
      <c r="B253" s="1173" t="s">
        <v>1909</v>
      </c>
      <c r="C253" s="1173">
        <v>3780</v>
      </c>
      <c r="D253" s="1173">
        <v>3750</v>
      </c>
      <c r="E253" s="1173">
        <v>3870</v>
      </c>
      <c r="F253" s="1181">
        <v>770</v>
      </c>
      <c r="H253" s="1188"/>
    </row>
    <row r="254" spans="1:8" s="1160" customFormat="1" ht="14.25" customHeight="1">
      <c r="A254" s="1168" t="s">
        <v>307</v>
      </c>
      <c r="B254" s="1173" t="s">
        <v>1919</v>
      </c>
      <c r="C254" s="1195"/>
      <c r="D254" s="1195"/>
      <c r="E254" s="1195"/>
      <c r="F254" s="1181">
        <v>740</v>
      </c>
      <c r="H254" s="1188"/>
    </row>
    <row r="255" spans="1:8" s="1160" customFormat="1" ht="14.25" customHeight="1">
      <c r="A255" s="1168" t="s">
        <v>307</v>
      </c>
      <c r="B255" s="1173" t="s">
        <v>1929</v>
      </c>
      <c r="C255" s="1195"/>
      <c r="D255" s="1195"/>
      <c r="E255" s="1195"/>
      <c r="F255" s="1181">
        <v>760</v>
      </c>
      <c r="H255" s="1188"/>
    </row>
    <row r="256" spans="1:8" s="1160" customFormat="1" ht="14.25" customHeight="1">
      <c r="A256" s="1168" t="s">
        <v>307</v>
      </c>
      <c r="B256" s="1173" t="s">
        <v>1939</v>
      </c>
      <c r="C256" s="1173">
        <v>3760</v>
      </c>
      <c r="D256" s="1173">
        <v>3730</v>
      </c>
      <c r="E256" s="1173">
        <v>3870</v>
      </c>
      <c r="F256" s="1181">
        <v>830</v>
      </c>
      <c r="H256" s="1188"/>
    </row>
    <row r="257" spans="1:8" s="1160" customFormat="1" ht="14.25" customHeight="1">
      <c r="A257" s="1168" t="s">
        <v>307</v>
      </c>
      <c r="B257" s="1173" t="s">
        <v>1949</v>
      </c>
      <c r="C257" s="1173">
        <v>3570</v>
      </c>
      <c r="D257" s="1173">
        <v>3540</v>
      </c>
      <c r="E257" s="1173">
        <v>3650</v>
      </c>
      <c r="F257" s="1181">
        <v>790</v>
      </c>
      <c r="H257" s="1188"/>
    </row>
    <row r="258" spans="1:8" s="1160" customFormat="1" ht="14.25" customHeight="1">
      <c r="A258" s="1168" t="s">
        <v>307</v>
      </c>
      <c r="B258" s="1173" t="s">
        <v>1959</v>
      </c>
      <c r="C258" s="1173">
        <v>3410</v>
      </c>
      <c r="D258" s="1173">
        <v>3380</v>
      </c>
      <c r="E258" s="1173">
        <v>3500</v>
      </c>
      <c r="F258" s="1181">
        <v>830</v>
      </c>
      <c r="H258" s="1188"/>
    </row>
    <row r="259" spans="1:8" s="1160" customFormat="1" ht="14.25" customHeight="1">
      <c r="A259" s="1168" t="s">
        <v>307</v>
      </c>
      <c r="B259" s="1173" t="s">
        <v>1969</v>
      </c>
      <c r="C259" s="1173">
        <v>3870</v>
      </c>
      <c r="D259" s="1173">
        <v>3840</v>
      </c>
      <c r="E259" s="1173">
        <v>3970</v>
      </c>
      <c r="F259" s="1181">
        <v>830</v>
      </c>
      <c r="H259" s="1188"/>
    </row>
    <row r="260" spans="1:8" s="1160" customFormat="1" ht="14.25" customHeight="1">
      <c r="A260" s="1168" t="s">
        <v>307</v>
      </c>
      <c r="B260" s="1173" t="s">
        <v>1979</v>
      </c>
      <c r="C260" s="1173">
        <v>3700</v>
      </c>
      <c r="D260" s="1173">
        <v>3660</v>
      </c>
      <c r="E260" s="1173">
        <v>3810</v>
      </c>
      <c r="F260" s="1181">
        <v>790</v>
      </c>
      <c r="H260" s="1188"/>
    </row>
    <row r="261" spans="1:8" s="1160" customFormat="1" ht="14.25" customHeight="1">
      <c r="A261" s="1168" t="s">
        <v>307</v>
      </c>
      <c r="B261" s="1173" t="s">
        <v>1989</v>
      </c>
      <c r="C261" s="1173">
        <v>3470</v>
      </c>
      <c r="D261" s="1173">
        <v>3430</v>
      </c>
      <c r="E261" s="1173">
        <v>3640</v>
      </c>
      <c r="F261" s="1181">
        <v>760</v>
      </c>
      <c r="H261" s="1188"/>
    </row>
    <row r="262" spans="1:8" s="1160" customFormat="1" ht="14.25" customHeight="1">
      <c r="A262" s="1168" t="s">
        <v>307</v>
      </c>
      <c r="B262" s="1173" t="s">
        <v>1999</v>
      </c>
      <c r="C262" s="1173">
        <v>3510</v>
      </c>
      <c r="D262" s="1173">
        <v>3470</v>
      </c>
      <c r="E262" s="1173">
        <v>3680</v>
      </c>
      <c r="F262" s="1190"/>
      <c r="H262" s="1188"/>
    </row>
    <row r="263" spans="1:8" s="1160" customFormat="1" ht="14.25" customHeight="1">
      <c r="A263" s="1168" t="s">
        <v>307</v>
      </c>
      <c r="B263" s="1173" t="s">
        <v>2009</v>
      </c>
      <c r="C263" s="1173">
        <v>3960</v>
      </c>
      <c r="D263" s="1173">
        <v>3930</v>
      </c>
      <c r="E263" s="1173">
        <v>4070</v>
      </c>
      <c r="F263" s="1181">
        <v>830</v>
      </c>
      <c r="H263" s="1188"/>
    </row>
    <row r="264" spans="1:8" s="1160" customFormat="1" ht="14.25" customHeight="1">
      <c r="A264" s="1168" t="s">
        <v>307</v>
      </c>
      <c r="B264" s="1173" t="s">
        <v>2018</v>
      </c>
      <c r="C264" s="1173">
        <v>4010</v>
      </c>
      <c r="D264" s="1173">
        <v>3980</v>
      </c>
      <c r="E264" s="1173">
        <v>4150</v>
      </c>
      <c r="F264" s="1181">
        <v>760</v>
      </c>
      <c r="H264" s="1188"/>
    </row>
    <row r="265" spans="1:8" s="1160" customFormat="1" ht="14.25" customHeight="1">
      <c r="A265" s="1168" t="s">
        <v>307</v>
      </c>
      <c r="B265" s="1173" t="s">
        <v>2026</v>
      </c>
      <c r="C265" s="1173">
        <v>3910</v>
      </c>
      <c r="D265" s="1173">
        <v>3890</v>
      </c>
      <c r="E265" s="1173">
        <v>4040</v>
      </c>
      <c r="F265" s="1181">
        <v>780</v>
      </c>
      <c r="H265" s="1188"/>
    </row>
    <row r="266" spans="1:8" s="1160" customFormat="1" ht="14.25" customHeight="1">
      <c r="A266" s="1168" t="s">
        <v>307</v>
      </c>
      <c r="B266" s="1173" t="s">
        <v>2034</v>
      </c>
      <c r="C266" s="1173">
        <v>3930</v>
      </c>
      <c r="D266" s="1173">
        <v>3900</v>
      </c>
      <c r="E266" s="1173">
        <v>4080</v>
      </c>
      <c r="F266" s="1181">
        <v>770</v>
      </c>
      <c r="H266" s="1188"/>
    </row>
    <row r="267" spans="1:8" s="1160" customFormat="1" ht="14.25" customHeight="1">
      <c r="A267" s="1168" t="s">
        <v>307</v>
      </c>
      <c r="B267" s="1173" t="s">
        <v>2041</v>
      </c>
      <c r="C267" s="1173">
        <v>3800</v>
      </c>
      <c r="D267" s="1173">
        <v>3780</v>
      </c>
      <c r="E267" s="1173">
        <v>3930</v>
      </c>
      <c r="F267" s="1190"/>
      <c r="H267" s="1188"/>
    </row>
    <row r="268" spans="1:8" s="1160" customFormat="1" ht="14.25" customHeight="1">
      <c r="A268" s="1168" t="s">
        <v>307</v>
      </c>
      <c r="B268" s="1173" t="s">
        <v>2048</v>
      </c>
      <c r="C268" s="1173">
        <v>3460</v>
      </c>
      <c r="D268" s="1173">
        <v>3430</v>
      </c>
      <c r="E268" s="1173">
        <v>3560</v>
      </c>
      <c r="F268" s="1181">
        <v>840</v>
      </c>
      <c r="H268" s="1188"/>
    </row>
    <row r="269" spans="1:8" s="1160" customFormat="1" ht="14.25" customHeight="1">
      <c r="A269" s="1168" t="s">
        <v>307</v>
      </c>
      <c r="B269" s="1173" t="s">
        <v>2055</v>
      </c>
      <c r="C269" s="1173">
        <v>3210</v>
      </c>
      <c r="D269" s="1173">
        <v>3190</v>
      </c>
      <c r="E269" s="1173">
        <v>3310</v>
      </c>
      <c r="F269" s="1181">
        <v>730</v>
      </c>
      <c r="H269" s="1188"/>
    </row>
    <row r="270" spans="1:8" s="1160" customFormat="1" ht="14.25" customHeight="1">
      <c r="A270" s="1168" t="s">
        <v>307</v>
      </c>
      <c r="B270" s="1173" t="s">
        <v>2062</v>
      </c>
      <c r="C270" s="1173">
        <v>3240</v>
      </c>
      <c r="D270" s="1173">
        <v>3210</v>
      </c>
      <c r="E270" s="1173">
        <v>3390</v>
      </c>
      <c r="F270" s="1181">
        <v>820</v>
      </c>
      <c r="H270" s="1188"/>
    </row>
    <row r="271" spans="1:8" s="1160" customFormat="1" ht="14.25" customHeight="1">
      <c r="A271" s="1168" t="s">
        <v>307</v>
      </c>
      <c r="B271" s="1173" t="s">
        <v>2069</v>
      </c>
      <c r="C271" s="1173">
        <v>3300</v>
      </c>
      <c r="D271" s="1173">
        <v>3270</v>
      </c>
      <c r="E271" s="1173">
        <v>3380</v>
      </c>
      <c r="F271" s="1181">
        <v>750</v>
      </c>
      <c r="H271" s="1188"/>
    </row>
    <row r="272" spans="1:8" s="1160" customFormat="1" ht="14.25" customHeight="1">
      <c r="A272" s="1168" t="s">
        <v>307</v>
      </c>
      <c r="B272" s="1173" t="s">
        <v>2074</v>
      </c>
      <c r="C272" s="1195"/>
      <c r="D272" s="1195"/>
      <c r="E272" s="1195"/>
      <c r="F272" s="1181">
        <v>740</v>
      </c>
      <c r="H272" s="1188"/>
    </row>
    <row r="273" spans="1:8" s="1160" customFormat="1" ht="14.25" customHeight="1">
      <c r="A273" s="1168" t="s">
        <v>307</v>
      </c>
      <c r="B273" s="1173" t="s">
        <v>2079</v>
      </c>
      <c r="C273" s="1173">
        <v>3130</v>
      </c>
      <c r="D273" s="1173">
        <v>3100</v>
      </c>
      <c r="E273" s="1173">
        <v>3230</v>
      </c>
      <c r="F273" s="1181">
        <v>700</v>
      </c>
      <c r="H273" s="1188"/>
    </row>
    <row r="274" spans="1:8" s="1160" customFormat="1" ht="14.25" customHeight="1">
      <c r="A274" s="1168" t="s">
        <v>307</v>
      </c>
      <c r="B274" s="1173" t="s">
        <v>2084</v>
      </c>
      <c r="C274" s="1173">
        <v>3460</v>
      </c>
      <c r="D274" s="1173">
        <v>3430</v>
      </c>
      <c r="E274" s="1173">
        <v>3560</v>
      </c>
      <c r="F274" s="1181">
        <v>690</v>
      </c>
      <c r="H274" s="1188"/>
    </row>
    <row r="275" spans="1:8" s="1160" customFormat="1" ht="14.25" customHeight="1">
      <c r="A275" s="1168" t="s">
        <v>307</v>
      </c>
      <c r="B275" s="1173" t="s">
        <v>2089</v>
      </c>
      <c r="C275" s="1173">
        <v>4040</v>
      </c>
      <c r="D275" s="1173">
        <v>4020</v>
      </c>
      <c r="E275" s="1173">
        <v>4160</v>
      </c>
      <c r="F275" s="1181">
        <v>820</v>
      </c>
      <c r="H275" s="1188"/>
    </row>
    <row r="276" spans="1:8" s="1160" customFormat="1" ht="14.25" customHeight="1">
      <c r="A276" s="1168" t="s">
        <v>307</v>
      </c>
      <c r="B276" s="1173" t="s">
        <v>2094</v>
      </c>
      <c r="C276" s="1173">
        <v>3270</v>
      </c>
      <c r="D276" s="1173">
        <v>3240</v>
      </c>
      <c r="E276" s="1173">
        <v>3350</v>
      </c>
      <c r="F276" s="1181">
        <v>680</v>
      </c>
      <c r="H276" s="1188"/>
    </row>
    <row r="277" spans="1:8" s="1160" customFormat="1" ht="14.25" customHeight="1">
      <c r="A277" s="1168" t="s">
        <v>307</v>
      </c>
      <c r="B277" s="1173" t="s">
        <v>2099</v>
      </c>
      <c r="C277" s="1173">
        <v>2930</v>
      </c>
      <c r="D277" s="1173">
        <v>2900</v>
      </c>
      <c r="E277" s="1173">
        <v>3000</v>
      </c>
      <c r="F277" s="1181">
        <v>640</v>
      </c>
      <c r="H277" s="1188"/>
    </row>
    <row r="278" spans="1:8" s="1160" customFormat="1" ht="14.25" customHeight="1">
      <c r="A278" s="1168" t="s">
        <v>307</v>
      </c>
      <c r="B278" s="1173" t="s">
        <v>2104</v>
      </c>
      <c r="C278" s="1173">
        <v>4080</v>
      </c>
      <c r="D278" s="1173">
        <v>4030</v>
      </c>
      <c r="E278" s="1173">
        <v>4140</v>
      </c>
      <c r="F278" s="1181">
        <v>850</v>
      </c>
      <c r="H278" s="1188"/>
    </row>
    <row r="279" spans="1:8" s="1160" customFormat="1" ht="14.25" customHeight="1">
      <c r="A279" s="1168" t="s">
        <v>307</v>
      </c>
      <c r="B279" s="1173" t="s">
        <v>2108</v>
      </c>
      <c r="C279" s="1173"/>
      <c r="D279" s="1173"/>
      <c r="E279" s="1173"/>
      <c r="F279" s="1181">
        <v>760</v>
      </c>
      <c r="H279" s="1188"/>
    </row>
    <row r="280" spans="1:8" s="1160" customFormat="1" ht="14.25" customHeight="1">
      <c r="A280" s="1168" t="s">
        <v>307</v>
      </c>
      <c r="B280" s="1173" t="s">
        <v>2112</v>
      </c>
      <c r="C280" s="1173"/>
      <c r="D280" s="1173"/>
      <c r="E280" s="1173"/>
      <c r="F280" s="1181">
        <v>760</v>
      </c>
      <c r="H280" s="1188"/>
    </row>
    <row r="281" spans="1:8" s="1160" customFormat="1" ht="14.25" customHeight="1">
      <c r="A281" s="1168" t="s">
        <v>307</v>
      </c>
      <c r="B281" s="1173" t="s">
        <v>2116</v>
      </c>
      <c r="C281" s="1173"/>
      <c r="D281" s="1173"/>
      <c r="E281" s="1173"/>
      <c r="F281" s="1181">
        <v>780</v>
      </c>
      <c r="H281" s="1188"/>
    </row>
    <row r="282" spans="1:8" s="1160" customFormat="1" ht="14.25" customHeight="1">
      <c r="A282" s="1168" t="s">
        <v>307</v>
      </c>
      <c r="B282" s="1173" t="s">
        <v>2120</v>
      </c>
      <c r="C282" s="1173"/>
      <c r="D282" s="1173"/>
      <c r="E282" s="1173"/>
      <c r="F282" s="1181">
        <v>730</v>
      </c>
      <c r="H282" s="1188"/>
    </row>
    <row r="283" spans="1:8" s="1160" customFormat="1" ht="14.25" customHeight="1">
      <c r="A283" s="1168" t="s">
        <v>307</v>
      </c>
      <c r="B283" s="1173" t="s">
        <v>2124</v>
      </c>
      <c r="C283" s="1173"/>
      <c r="D283" s="1173"/>
      <c r="E283" s="1173"/>
      <c r="F283" s="1181">
        <v>770</v>
      </c>
      <c r="H283" s="1188"/>
    </row>
    <row r="284" spans="1:8" s="1160" customFormat="1" ht="14.25" customHeight="1">
      <c r="A284" s="1168" t="s">
        <v>307</v>
      </c>
      <c r="B284" s="1173" t="s">
        <v>2127</v>
      </c>
      <c r="C284" s="1173"/>
      <c r="D284" s="1173"/>
      <c r="E284" s="1173"/>
      <c r="F284" s="1181">
        <v>640</v>
      </c>
      <c r="H284" s="1188"/>
    </row>
    <row r="285" spans="1:8" s="1160" customFormat="1" ht="14.25" customHeight="1">
      <c r="A285" s="1168" t="s">
        <v>307</v>
      </c>
      <c r="B285" s="1173" t="s">
        <v>2130</v>
      </c>
      <c r="C285" s="1173"/>
      <c r="D285" s="1173"/>
      <c r="E285" s="1173"/>
      <c r="F285" s="1181">
        <v>640</v>
      </c>
      <c r="H285" s="1188"/>
    </row>
    <row r="286" spans="1:8" s="1160" customFormat="1" ht="14.25" customHeight="1">
      <c r="A286" s="1168" t="s">
        <v>307</v>
      </c>
      <c r="B286" s="1173" t="s">
        <v>2133</v>
      </c>
      <c r="C286" s="1173"/>
      <c r="D286" s="1173"/>
      <c r="E286" s="1173"/>
      <c r="F286" s="1181">
        <v>850</v>
      </c>
      <c r="H286" s="1188"/>
    </row>
    <row r="287" spans="1:8" s="1160" customFormat="1" ht="14.25" customHeight="1">
      <c r="A287" s="1168" t="s">
        <v>307</v>
      </c>
      <c r="B287" s="1173" t="s">
        <v>2136</v>
      </c>
      <c r="C287" s="1173"/>
      <c r="D287" s="1173"/>
      <c r="E287" s="1173"/>
      <c r="F287" s="1181">
        <v>760</v>
      </c>
      <c r="H287" s="1188"/>
    </row>
    <row r="288" spans="1:8" s="1160" customFormat="1" ht="14.25" customHeight="1">
      <c r="A288" s="1168" t="s">
        <v>307</v>
      </c>
      <c r="B288" s="1173" t="s">
        <v>2139</v>
      </c>
      <c r="C288" s="1173"/>
      <c r="D288" s="1173"/>
      <c r="E288" s="1173"/>
      <c r="F288" s="1181">
        <v>830</v>
      </c>
      <c r="H288" s="1188"/>
    </row>
    <row r="289" spans="1:8" s="1160" customFormat="1" ht="14.25" customHeight="1">
      <c r="A289" s="1168" t="s">
        <v>307</v>
      </c>
      <c r="B289" s="1179" t="s">
        <v>2142</v>
      </c>
      <c r="C289" s="1179"/>
      <c r="D289" s="1179"/>
      <c r="E289" s="1179"/>
      <c r="F289" s="1189">
        <v>680</v>
      </c>
      <c r="H289" s="1188"/>
    </row>
    <row r="290" spans="1:8" s="1160" customFormat="1" ht="14.25" customHeight="1">
      <c r="A290" s="1168" t="s">
        <v>310</v>
      </c>
      <c r="B290" s="1169" t="s">
        <v>1817</v>
      </c>
      <c r="C290" s="1169">
        <v>2770</v>
      </c>
      <c r="D290" s="1169">
        <v>2740</v>
      </c>
      <c r="E290" s="1169">
        <v>2720</v>
      </c>
      <c r="F290" s="1196"/>
      <c r="H290" s="1188"/>
    </row>
    <row r="291" spans="1:8" s="1160" customFormat="1" ht="14.25" customHeight="1">
      <c r="A291" s="1168" t="s">
        <v>310</v>
      </c>
      <c r="B291" s="1173" t="s">
        <v>1830</v>
      </c>
      <c r="C291" s="1173">
        <v>2670</v>
      </c>
      <c r="D291" s="1173">
        <v>2640</v>
      </c>
      <c r="E291" s="1173">
        <v>2620</v>
      </c>
      <c r="F291" s="1190"/>
      <c r="H291" s="1188"/>
    </row>
    <row r="292" spans="1:8" s="1160" customFormat="1" ht="14.25" customHeight="1">
      <c r="A292" s="1168" t="s">
        <v>310</v>
      </c>
      <c r="B292" s="1173" t="s">
        <v>1843</v>
      </c>
      <c r="C292" s="1173">
        <v>2180</v>
      </c>
      <c r="D292" s="1173">
        <v>2140</v>
      </c>
      <c r="E292" s="1173">
        <v>2120</v>
      </c>
      <c r="F292" s="1181">
        <v>490</v>
      </c>
      <c r="H292" s="1188"/>
    </row>
    <row r="293" spans="1:8" s="1160" customFormat="1" ht="14.25" customHeight="1">
      <c r="A293" s="1168" t="s">
        <v>310</v>
      </c>
      <c r="B293" s="1173" t="s">
        <v>2149</v>
      </c>
      <c r="C293" s="1173"/>
      <c r="D293" s="1173"/>
      <c r="E293" s="1173"/>
      <c r="F293" s="1181">
        <v>470</v>
      </c>
      <c r="H293" s="1188"/>
    </row>
    <row r="294" spans="1:8" s="1160" customFormat="1" ht="14.25" customHeight="1">
      <c r="A294" s="1168" t="s">
        <v>310</v>
      </c>
      <c r="B294" s="1173" t="s">
        <v>1855</v>
      </c>
      <c r="C294" s="1173">
        <v>2730</v>
      </c>
      <c r="D294" s="1173">
        <v>2700</v>
      </c>
      <c r="E294" s="1173">
        <v>2680</v>
      </c>
      <c r="F294" s="1181">
        <v>490</v>
      </c>
      <c r="H294" s="1188"/>
    </row>
    <row r="295" spans="1:8" s="1160" customFormat="1" ht="14.25" customHeight="1">
      <c r="A295" s="1168" t="s">
        <v>310</v>
      </c>
      <c r="B295" s="1173" t="s">
        <v>1867</v>
      </c>
      <c r="C295" s="1173">
        <v>2380</v>
      </c>
      <c r="D295" s="1173">
        <v>2350</v>
      </c>
      <c r="E295" s="1173">
        <v>2330</v>
      </c>
      <c r="F295" s="1181">
        <v>530</v>
      </c>
      <c r="H295" s="1188"/>
    </row>
    <row r="296" spans="1:8" s="1160" customFormat="1" ht="14.25" customHeight="1">
      <c r="A296" s="1168" t="s">
        <v>310</v>
      </c>
      <c r="B296" s="1173" t="s">
        <v>1878</v>
      </c>
      <c r="C296" s="1173">
        <v>2650</v>
      </c>
      <c r="D296" s="1173">
        <v>2620</v>
      </c>
      <c r="E296" s="1173">
        <v>2590</v>
      </c>
      <c r="F296" s="1181">
        <v>590</v>
      </c>
      <c r="H296" s="1188"/>
    </row>
    <row r="297" spans="1:8" s="1160" customFormat="1" ht="14.25" customHeight="1">
      <c r="A297" s="1168" t="s">
        <v>310</v>
      </c>
      <c r="B297" s="1173" t="s">
        <v>1889</v>
      </c>
      <c r="C297" s="1173">
        <v>2700</v>
      </c>
      <c r="D297" s="1173">
        <v>2670</v>
      </c>
      <c r="E297" s="1173">
        <v>2650</v>
      </c>
      <c r="F297" s="1181">
        <v>630</v>
      </c>
      <c r="H297" s="1188"/>
    </row>
    <row r="298" spans="1:8" s="1160" customFormat="1" ht="14.25" customHeight="1">
      <c r="A298" s="1168" t="s">
        <v>310</v>
      </c>
      <c r="B298" s="1173" t="s">
        <v>1900</v>
      </c>
      <c r="C298" s="1173">
        <v>2650</v>
      </c>
      <c r="D298" s="1173">
        <v>2620</v>
      </c>
      <c r="E298" s="1173">
        <v>2590</v>
      </c>
      <c r="F298" s="1181">
        <v>640</v>
      </c>
      <c r="H298" s="1188"/>
    </row>
    <row r="299" spans="1:8" s="1160" customFormat="1" ht="14.25" customHeight="1">
      <c r="A299" s="1168" t="s">
        <v>310</v>
      </c>
      <c r="B299" s="1173" t="s">
        <v>1910</v>
      </c>
      <c r="C299" s="1173">
        <v>2500</v>
      </c>
      <c r="D299" s="1173">
        <v>2480</v>
      </c>
      <c r="E299" s="1173">
        <v>2460</v>
      </c>
      <c r="F299" s="1190"/>
      <c r="H299" s="1188"/>
    </row>
    <row r="300" spans="1:8" s="1160" customFormat="1" ht="14.25" customHeight="1">
      <c r="A300" s="1168" t="s">
        <v>310</v>
      </c>
      <c r="B300" s="1173" t="s">
        <v>1920</v>
      </c>
      <c r="C300" s="1173">
        <v>2760</v>
      </c>
      <c r="D300" s="1173">
        <v>2730</v>
      </c>
      <c r="E300" s="1173">
        <v>2700</v>
      </c>
      <c r="F300" s="1181">
        <v>630</v>
      </c>
      <c r="H300" s="1188"/>
    </row>
    <row r="301" spans="1:8" s="1160" customFormat="1" ht="14.25" customHeight="1">
      <c r="A301" s="1168" t="s">
        <v>310</v>
      </c>
      <c r="B301" s="1173" t="s">
        <v>1930</v>
      </c>
      <c r="C301" s="1173">
        <v>2510</v>
      </c>
      <c r="D301" s="1173">
        <v>2480</v>
      </c>
      <c r="E301" s="1173">
        <v>2460</v>
      </c>
      <c r="F301" s="1190"/>
      <c r="H301" s="1188"/>
    </row>
    <row r="302" spans="1:8" s="1160" customFormat="1" ht="14.25" customHeight="1">
      <c r="A302" s="1168" t="s">
        <v>310</v>
      </c>
      <c r="B302" s="1173" t="s">
        <v>1940</v>
      </c>
      <c r="C302" s="1173">
        <v>2480</v>
      </c>
      <c r="D302" s="1173">
        <v>2450</v>
      </c>
      <c r="E302" s="1173">
        <v>2420</v>
      </c>
      <c r="F302" s="1181">
        <v>600</v>
      </c>
      <c r="H302" s="1188"/>
    </row>
    <row r="303" spans="1:8" s="1160" customFormat="1" ht="14.25" customHeight="1">
      <c r="A303" s="1168" t="s">
        <v>310</v>
      </c>
      <c r="B303" s="1173" t="s">
        <v>1950</v>
      </c>
      <c r="C303" s="1173">
        <v>2270</v>
      </c>
      <c r="D303" s="1173">
        <v>2240</v>
      </c>
      <c r="E303" s="1173">
        <v>2210</v>
      </c>
      <c r="F303" s="1181">
        <v>540</v>
      </c>
      <c r="H303" s="1188"/>
    </row>
    <row r="304" spans="1:8" s="1160" customFormat="1" ht="14.25" customHeight="1">
      <c r="A304" s="1168" t="s">
        <v>310</v>
      </c>
      <c r="B304" s="1173" t="s">
        <v>1960</v>
      </c>
      <c r="C304" s="1173">
        <v>2310</v>
      </c>
      <c r="D304" s="1173">
        <v>2290</v>
      </c>
      <c r="E304" s="1173">
        <v>2270</v>
      </c>
      <c r="F304" s="1190"/>
      <c r="H304" s="1188"/>
    </row>
    <row r="305" spans="1:8" s="1160" customFormat="1" ht="14.25" customHeight="1">
      <c r="A305" s="1168" t="s">
        <v>310</v>
      </c>
      <c r="B305" s="1173" t="s">
        <v>1970</v>
      </c>
      <c r="C305" s="1173">
        <v>2490</v>
      </c>
      <c r="D305" s="1173">
        <v>2470</v>
      </c>
      <c r="E305" s="1173">
        <v>2440</v>
      </c>
      <c r="F305" s="1181">
        <v>560</v>
      </c>
      <c r="H305" s="1188"/>
    </row>
    <row r="306" spans="1:8" s="1160" customFormat="1" ht="14.25" customHeight="1">
      <c r="A306" s="1168" t="s">
        <v>310</v>
      </c>
      <c r="B306" s="1173" t="s">
        <v>1980</v>
      </c>
      <c r="C306" s="1173">
        <v>2420</v>
      </c>
      <c r="D306" s="1173">
        <v>2400</v>
      </c>
      <c r="E306" s="1173">
        <v>2380</v>
      </c>
      <c r="F306" s="1190"/>
      <c r="H306" s="1188"/>
    </row>
    <row r="307" spans="1:8" s="1160" customFormat="1" ht="14.25" customHeight="1">
      <c r="A307" s="1168" t="s">
        <v>310</v>
      </c>
      <c r="B307" s="1173" t="s">
        <v>1990</v>
      </c>
      <c r="C307" s="1173">
        <v>2770</v>
      </c>
      <c r="D307" s="1173">
        <v>2740</v>
      </c>
      <c r="E307" s="1173">
        <v>2710</v>
      </c>
      <c r="F307" s="1181">
        <v>650</v>
      </c>
      <c r="H307" s="1188"/>
    </row>
    <row r="308" spans="1:8" s="1160" customFormat="1" ht="14.25" customHeight="1">
      <c r="A308" s="1168" t="s">
        <v>310</v>
      </c>
      <c r="B308" s="1173" t="s">
        <v>2000</v>
      </c>
      <c r="C308" s="1173">
        <v>2610</v>
      </c>
      <c r="D308" s="1173">
        <v>2580</v>
      </c>
      <c r="E308" s="1173">
        <v>2550</v>
      </c>
      <c r="F308" s="1181">
        <v>580</v>
      </c>
      <c r="H308" s="1188"/>
    </row>
    <row r="309" spans="1:8" s="1160" customFormat="1" ht="14.25" customHeight="1">
      <c r="A309" s="1168" t="s">
        <v>310</v>
      </c>
      <c r="B309" s="1173" t="s">
        <v>2010</v>
      </c>
      <c r="C309" s="1173">
        <v>2690</v>
      </c>
      <c r="D309" s="1173">
        <v>2670</v>
      </c>
      <c r="E309" s="1173">
        <v>2650</v>
      </c>
      <c r="F309" s="1190"/>
      <c r="H309" s="1188"/>
    </row>
    <row r="310" spans="1:8" s="1160" customFormat="1" ht="14.25" customHeight="1">
      <c r="A310" s="1168" t="s">
        <v>310</v>
      </c>
      <c r="B310" s="1173" t="s">
        <v>2019</v>
      </c>
      <c r="C310" s="1173">
        <v>2360</v>
      </c>
      <c r="D310" s="1173">
        <v>2330</v>
      </c>
      <c r="E310" s="1173">
        <v>2310</v>
      </c>
      <c r="F310" s="1181">
        <v>560</v>
      </c>
      <c r="H310" s="1188"/>
    </row>
    <row r="311" spans="1:8" s="1160" customFormat="1" ht="14.25" customHeight="1">
      <c r="A311" s="1168" t="s">
        <v>310</v>
      </c>
      <c r="B311" s="1173" t="s">
        <v>2027</v>
      </c>
      <c r="C311" s="1173">
        <v>1970</v>
      </c>
      <c r="D311" s="1173">
        <v>1950</v>
      </c>
      <c r="E311" s="1173">
        <v>1920</v>
      </c>
      <c r="F311" s="1181">
        <v>470</v>
      </c>
      <c r="H311" s="1188"/>
    </row>
    <row r="312" spans="1:8" s="1160" customFormat="1" ht="14.25" customHeight="1">
      <c r="A312" s="1168" t="s">
        <v>310</v>
      </c>
      <c r="B312" s="1173" t="s">
        <v>2035</v>
      </c>
      <c r="C312" s="1173">
        <v>2230</v>
      </c>
      <c r="D312" s="1173">
        <v>2200</v>
      </c>
      <c r="E312" s="1173">
        <v>2170</v>
      </c>
      <c r="F312" s="1181">
        <v>460</v>
      </c>
      <c r="H312" s="1188"/>
    </row>
    <row r="313" spans="1:8" s="1160" customFormat="1" ht="14.25" customHeight="1">
      <c r="A313" s="1168" t="s">
        <v>310</v>
      </c>
      <c r="B313" s="1173" t="s">
        <v>2042</v>
      </c>
      <c r="C313" s="1173">
        <v>2770</v>
      </c>
      <c r="D313" s="1173">
        <v>2740</v>
      </c>
      <c r="E313" s="1173">
        <v>2710</v>
      </c>
      <c r="F313" s="1181">
        <v>610</v>
      </c>
      <c r="H313" s="1188"/>
    </row>
    <row r="314" spans="1:8" s="1160" customFormat="1" ht="14.25" customHeight="1">
      <c r="A314" s="1168" t="s">
        <v>310</v>
      </c>
      <c r="B314" s="1173" t="s">
        <v>2049</v>
      </c>
      <c r="C314" s="1173"/>
      <c r="D314" s="1173"/>
      <c r="E314" s="1173"/>
      <c r="F314" s="1181">
        <v>490</v>
      </c>
      <c r="H314" s="1188"/>
    </row>
    <row r="315" spans="1:8" s="1160" customFormat="1" ht="14.25" customHeight="1">
      <c r="A315" s="1168" t="s">
        <v>310</v>
      </c>
      <c r="B315" s="1173" t="s">
        <v>2056</v>
      </c>
      <c r="C315" s="1173"/>
      <c r="D315" s="1173"/>
      <c r="E315" s="1173"/>
      <c r="F315" s="1181">
        <v>520</v>
      </c>
      <c r="H315" s="1188"/>
    </row>
    <row r="316" spans="1:8" s="1160" customFormat="1" ht="14.25" customHeight="1">
      <c r="A316" s="1168" t="s">
        <v>310</v>
      </c>
      <c r="B316" s="1179" t="s">
        <v>2063</v>
      </c>
      <c r="C316" s="1179"/>
      <c r="D316" s="1179"/>
      <c r="E316" s="1179"/>
      <c r="F316" s="1189">
        <v>460</v>
      </c>
      <c r="H316" s="1188"/>
    </row>
    <row r="317" spans="1:8" s="1160" customFormat="1" ht="14.25" customHeight="1">
      <c r="A317" s="1168" t="s">
        <v>313</v>
      </c>
      <c r="B317" s="1169" t="s">
        <v>1818</v>
      </c>
      <c r="C317" s="1169">
        <v>1200</v>
      </c>
      <c r="D317" s="1169">
        <v>1180</v>
      </c>
      <c r="E317" s="1169">
        <v>1160</v>
      </c>
      <c r="F317" s="1170">
        <v>370</v>
      </c>
      <c r="H317" s="1162"/>
    </row>
    <row r="318" spans="1:8" s="1160" customFormat="1" ht="14.25" customHeight="1">
      <c r="A318" s="1168" t="s">
        <v>313</v>
      </c>
      <c r="B318" s="1173" t="s">
        <v>1831</v>
      </c>
      <c r="C318" s="1173">
        <v>1090</v>
      </c>
      <c r="D318" s="1173">
        <v>1060</v>
      </c>
      <c r="E318" s="1173">
        <v>1040</v>
      </c>
      <c r="F318" s="1190"/>
      <c r="H318" s="1162"/>
    </row>
    <row r="319" spans="1:8" s="1160" customFormat="1" ht="14.25" customHeight="1">
      <c r="A319" s="1168" t="s">
        <v>313</v>
      </c>
      <c r="B319" s="1173" t="s">
        <v>1844</v>
      </c>
      <c r="C319" s="1173">
        <v>1520</v>
      </c>
      <c r="D319" s="1173">
        <v>1470</v>
      </c>
      <c r="E319" s="1173">
        <v>1440</v>
      </c>
      <c r="F319" s="1181">
        <v>370</v>
      </c>
      <c r="H319" s="1162"/>
    </row>
    <row r="320" spans="1:8" s="1160" customFormat="1" ht="14.25" customHeight="1">
      <c r="A320" s="1168" t="s">
        <v>313</v>
      </c>
      <c r="B320" s="1173" t="s">
        <v>1856</v>
      </c>
      <c r="C320" s="1173">
        <v>1360</v>
      </c>
      <c r="D320" s="1173">
        <v>1300</v>
      </c>
      <c r="E320" s="1173">
        <v>1270</v>
      </c>
      <c r="F320" s="1190"/>
      <c r="H320" s="1162"/>
    </row>
    <row r="321" spans="1:8" s="1160" customFormat="1" ht="14.25" customHeight="1">
      <c r="A321" s="1168" t="s">
        <v>313</v>
      </c>
      <c r="B321" s="1173" t="s">
        <v>1868</v>
      </c>
      <c r="C321" s="1173">
        <v>1750</v>
      </c>
      <c r="D321" s="1173">
        <v>1690</v>
      </c>
      <c r="E321" s="1173">
        <v>1660</v>
      </c>
      <c r="F321" s="1190"/>
      <c r="H321" s="1162"/>
    </row>
    <row r="322" spans="1:8" s="1160" customFormat="1" ht="14.25" customHeight="1">
      <c r="A322" s="1168" t="s">
        <v>313</v>
      </c>
      <c r="B322" s="1173" t="s">
        <v>1879</v>
      </c>
      <c r="C322" s="1173">
        <v>1650</v>
      </c>
      <c r="D322" s="1173">
        <v>1610</v>
      </c>
      <c r="E322" s="1173">
        <v>1580</v>
      </c>
      <c r="F322" s="1181">
        <v>500</v>
      </c>
      <c r="H322" s="1162"/>
    </row>
    <row r="323" spans="1:8" s="1160" customFormat="1" ht="14.25" customHeight="1">
      <c r="A323" s="1168" t="s">
        <v>313</v>
      </c>
      <c r="B323" s="1173" t="s">
        <v>1890</v>
      </c>
      <c r="C323" s="1173">
        <v>1780</v>
      </c>
      <c r="D323" s="1173">
        <v>1740</v>
      </c>
      <c r="E323" s="1173">
        <v>1720</v>
      </c>
      <c r="F323" s="1190"/>
      <c r="H323" s="1162"/>
    </row>
    <row r="324" spans="1:8" s="1160" customFormat="1" ht="14.25" customHeight="1">
      <c r="A324" s="1168" t="s">
        <v>313</v>
      </c>
      <c r="B324" s="1173" t="s">
        <v>1901</v>
      </c>
      <c r="C324" s="1173">
        <v>1650</v>
      </c>
      <c r="D324" s="1173">
        <v>1610</v>
      </c>
      <c r="E324" s="1173">
        <v>1580</v>
      </c>
      <c r="F324" s="1190"/>
      <c r="H324" s="1162"/>
    </row>
    <row r="325" spans="1:8" s="1160" customFormat="1" ht="14.25" customHeight="1">
      <c r="A325" s="1168" t="s">
        <v>313</v>
      </c>
      <c r="B325" s="1173" t="s">
        <v>1911</v>
      </c>
      <c r="C325" s="1173">
        <v>1330</v>
      </c>
      <c r="D325" s="1173">
        <v>1270</v>
      </c>
      <c r="E325" s="1173">
        <v>1240</v>
      </c>
      <c r="F325" s="1181">
        <v>430</v>
      </c>
      <c r="H325" s="1162"/>
    </row>
    <row r="326" spans="1:8" s="1160" customFormat="1" ht="14.25" customHeight="1">
      <c r="A326" s="1168" t="s">
        <v>313</v>
      </c>
      <c r="B326" s="1173" t="s">
        <v>1921</v>
      </c>
      <c r="C326" s="1173">
        <v>1470</v>
      </c>
      <c r="D326" s="1173">
        <v>1430</v>
      </c>
      <c r="E326" s="1173">
        <v>1400</v>
      </c>
      <c r="F326" s="1190"/>
      <c r="H326" s="1162"/>
    </row>
    <row r="327" spans="1:8" s="1160" customFormat="1" ht="14.25" customHeight="1">
      <c r="A327" s="1168" t="s">
        <v>313</v>
      </c>
      <c r="B327" s="1173" t="s">
        <v>1931</v>
      </c>
      <c r="C327" s="1173">
        <v>1420</v>
      </c>
      <c r="D327" s="1173">
        <v>1380</v>
      </c>
      <c r="E327" s="1173">
        <v>1360</v>
      </c>
      <c r="F327" s="1181">
        <v>420</v>
      </c>
      <c r="H327" s="1162"/>
    </row>
    <row r="328" spans="1:8" s="1160" customFormat="1" ht="14.25" customHeight="1">
      <c r="A328" s="1168" t="s">
        <v>313</v>
      </c>
      <c r="B328" s="1173" t="s">
        <v>1941</v>
      </c>
      <c r="C328" s="1173">
        <v>1400</v>
      </c>
      <c r="D328" s="1173">
        <v>1360</v>
      </c>
      <c r="E328" s="1173">
        <v>1330</v>
      </c>
      <c r="F328" s="1181">
        <v>460</v>
      </c>
      <c r="H328" s="1162"/>
    </row>
    <row r="329" spans="1:8" s="1160" customFormat="1" ht="14.25" customHeight="1">
      <c r="A329" s="1168" t="s">
        <v>313</v>
      </c>
      <c r="B329" s="1173" t="s">
        <v>1951</v>
      </c>
      <c r="C329" s="1173">
        <v>1640</v>
      </c>
      <c r="D329" s="1173">
        <v>1610</v>
      </c>
      <c r="E329" s="1173">
        <v>1580</v>
      </c>
      <c r="F329" s="1181">
        <v>410</v>
      </c>
      <c r="H329" s="1162"/>
    </row>
    <row r="330" spans="1:8" s="1160" customFormat="1" ht="14.25" customHeight="1">
      <c r="A330" s="1168" t="s">
        <v>313</v>
      </c>
      <c r="B330" s="1173" t="s">
        <v>1961</v>
      </c>
      <c r="C330" s="1173">
        <v>1260</v>
      </c>
      <c r="D330" s="1173">
        <v>1220</v>
      </c>
      <c r="E330" s="1173">
        <v>1200</v>
      </c>
      <c r="F330" s="1190"/>
      <c r="H330" s="1162"/>
    </row>
    <row r="331" spans="1:8" s="1160" customFormat="1" ht="14.25" customHeight="1">
      <c r="A331" s="1168" t="s">
        <v>313</v>
      </c>
      <c r="B331" s="1173" t="s">
        <v>1971</v>
      </c>
      <c r="C331" s="1173">
        <v>1620</v>
      </c>
      <c r="D331" s="1173">
        <v>1560</v>
      </c>
      <c r="E331" s="1173">
        <v>1530</v>
      </c>
      <c r="F331" s="1181">
        <v>490</v>
      </c>
      <c r="H331" s="1162"/>
    </row>
    <row r="332" spans="1:8" s="1160" customFormat="1" ht="14.25" customHeight="1">
      <c r="A332" s="1168" t="s">
        <v>313</v>
      </c>
      <c r="B332" s="1173" t="s">
        <v>1981</v>
      </c>
      <c r="C332" s="1173">
        <v>1520</v>
      </c>
      <c r="D332" s="1173">
        <v>1470</v>
      </c>
      <c r="E332" s="1173">
        <v>1440</v>
      </c>
      <c r="F332" s="1181">
        <v>440</v>
      </c>
      <c r="H332" s="1162"/>
    </row>
    <row r="333" spans="1:8" s="1160" customFormat="1" ht="14.25" customHeight="1">
      <c r="A333" s="1168" t="s">
        <v>313</v>
      </c>
      <c r="B333" s="1173" t="s">
        <v>1991</v>
      </c>
      <c r="C333" s="1173">
        <v>1370</v>
      </c>
      <c r="D333" s="1173">
        <v>1320</v>
      </c>
      <c r="E333" s="1173">
        <v>1300</v>
      </c>
      <c r="F333" s="1181">
        <v>460</v>
      </c>
      <c r="H333" s="1162"/>
    </row>
    <row r="334" spans="1:8" s="1160" customFormat="1" ht="14.25" customHeight="1">
      <c r="A334" s="1168" t="s">
        <v>313</v>
      </c>
      <c r="B334" s="1173" t="s">
        <v>2001</v>
      </c>
      <c r="C334" s="1173">
        <v>1410</v>
      </c>
      <c r="D334" s="1173">
        <v>1340</v>
      </c>
      <c r="E334" s="1173">
        <v>1310</v>
      </c>
      <c r="F334" s="1181">
        <v>410</v>
      </c>
      <c r="H334" s="1162"/>
    </row>
    <row r="335" spans="1:8" s="1160" customFormat="1" ht="14.25" customHeight="1">
      <c r="A335" s="1168" t="s">
        <v>313</v>
      </c>
      <c r="B335" s="1173" t="s">
        <v>2011</v>
      </c>
      <c r="C335" s="1173">
        <v>1260</v>
      </c>
      <c r="D335" s="1173">
        <v>1220</v>
      </c>
      <c r="E335" s="1173">
        <v>1200</v>
      </c>
      <c r="F335" s="1190"/>
      <c r="H335" s="1162"/>
    </row>
    <row r="336" spans="1:8" s="1160" customFormat="1" ht="14.25" customHeight="1">
      <c r="A336" s="1168" t="s">
        <v>313</v>
      </c>
      <c r="B336" s="1173" t="s">
        <v>2020</v>
      </c>
      <c r="C336" s="1173">
        <v>1160</v>
      </c>
      <c r="D336" s="1173">
        <v>1140</v>
      </c>
      <c r="E336" s="1173">
        <v>1120</v>
      </c>
      <c r="F336" s="1181">
        <v>430</v>
      </c>
      <c r="H336" s="1162"/>
    </row>
    <row r="337" spans="1:8" s="1160" customFormat="1" ht="14.25" customHeight="1">
      <c r="A337" s="1168" t="s">
        <v>313</v>
      </c>
      <c r="B337" s="1179" t="s">
        <v>2028</v>
      </c>
      <c r="C337" s="1179"/>
      <c r="D337" s="1179"/>
      <c r="E337" s="1179"/>
      <c r="F337" s="1189">
        <v>380</v>
      </c>
      <c r="H337" s="1162"/>
    </row>
    <row r="338" spans="1:8" s="1160" customFormat="1" ht="14.25" customHeight="1">
      <c r="A338" s="1168" t="s">
        <v>316</v>
      </c>
      <c r="B338" s="1169" t="s">
        <v>1819</v>
      </c>
      <c r="C338" s="1169">
        <v>880</v>
      </c>
      <c r="D338" s="1169">
        <v>850</v>
      </c>
      <c r="E338" s="1169">
        <v>830</v>
      </c>
      <c r="F338" s="1196"/>
      <c r="H338" s="1162"/>
    </row>
    <row r="339" spans="1:8" s="1160" customFormat="1" ht="14.25" customHeight="1">
      <c r="A339" s="1168" t="s">
        <v>316</v>
      </c>
      <c r="B339" s="1173" t="s">
        <v>1832</v>
      </c>
      <c r="C339" s="1173">
        <v>830</v>
      </c>
      <c r="D339" s="1173">
        <v>800</v>
      </c>
      <c r="E339" s="1173">
        <v>780</v>
      </c>
      <c r="F339" s="1190"/>
      <c r="H339" s="1162"/>
    </row>
    <row r="340" spans="1:8" s="1160" customFormat="1" ht="14.25" customHeight="1">
      <c r="A340" s="1168" t="s">
        <v>316</v>
      </c>
      <c r="B340" s="1173" t="s">
        <v>1845</v>
      </c>
      <c r="C340" s="1173">
        <v>980</v>
      </c>
      <c r="D340" s="1173">
        <v>950</v>
      </c>
      <c r="E340" s="1173">
        <v>920</v>
      </c>
      <c r="F340" s="1190"/>
      <c r="H340" s="1162"/>
    </row>
    <row r="341" spans="1:8" s="1160" customFormat="1" ht="14.25" customHeight="1">
      <c r="A341" s="1168" t="s">
        <v>316</v>
      </c>
      <c r="B341" s="1173" t="s">
        <v>1857</v>
      </c>
      <c r="C341" s="1173">
        <v>760</v>
      </c>
      <c r="D341" s="1173">
        <v>720</v>
      </c>
      <c r="E341" s="1173">
        <v>690</v>
      </c>
      <c r="F341" s="1181">
        <v>350</v>
      </c>
      <c r="H341" s="1162"/>
    </row>
    <row r="342" spans="1:8" s="1160" customFormat="1" ht="14.25" customHeight="1">
      <c r="A342" s="1168" t="s">
        <v>316</v>
      </c>
      <c r="B342" s="1173" t="s">
        <v>1869</v>
      </c>
      <c r="C342" s="1173">
        <v>910</v>
      </c>
      <c r="D342" s="1173">
        <v>870</v>
      </c>
      <c r="E342" s="1173">
        <v>850</v>
      </c>
      <c r="F342" s="1181">
        <v>370</v>
      </c>
      <c r="H342" s="1162"/>
    </row>
    <row r="343" spans="1:8" s="1160" customFormat="1" ht="14.25" customHeight="1">
      <c r="A343" s="1168" t="s">
        <v>316</v>
      </c>
      <c r="B343" s="1173" t="s">
        <v>1880</v>
      </c>
      <c r="C343" s="1173">
        <v>800</v>
      </c>
      <c r="D343" s="1173">
        <v>760</v>
      </c>
      <c r="E343" s="1173">
        <v>730</v>
      </c>
      <c r="F343" s="1181">
        <v>340</v>
      </c>
      <c r="H343" s="1162"/>
    </row>
    <row r="344" spans="1:8" s="1160" customFormat="1" ht="14.25" customHeight="1">
      <c r="A344" s="1168" t="s">
        <v>316</v>
      </c>
      <c r="B344" s="1179" t="s">
        <v>1891</v>
      </c>
      <c r="C344" s="1179">
        <v>720</v>
      </c>
      <c r="D344" s="1179">
        <v>690</v>
      </c>
      <c r="E344" s="1179">
        <v>660</v>
      </c>
      <c r="F344" s="1189">
        <v>300</v>
      </c>
      <c r="H344" s="1162"/>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148"/>
    <col min="2" max="16384" width="9" style="1149"/>
  </cols>
  <sheetData>
    <row r="1" spans="1:14" ht="15.6">
      <c r="A1" s="1150" t="s">
        <v>2150</v>
      </c>
      <c r="B1" s="1151"/>
      <c r="C1" s="1151"/>
      <c r="D1" s="1151"/>
      <c r="E1" s="1151"/>
      <c r="F1" s="1151"/>
      <c r="G1" s="1151"/>
      <c r="H1" s="1151"/>
      <c r="I1" s="1151"/>
      <c r="J1" s="1151"/>
      <c r="K1" s="1151"/>
      <c r="L1" s="1151"/>
      <c r="M1" s="1151"/>
      <c r="N1" s="1151"/>
    </row>
    <row r="2" spans="1:14">
      <c r="A2" s="1152" t="s">
        <v>105</v>
      </c>
      <c r="B2" s="1153" t="s">
        <v>242</v>
      </c>
      <c r="C2" s="1153" t="s">
        <v>255</v>
      </c>
      <c r="D2" s="1153" t="s">
        <v>267</v>
      </c>
      <c r="E2" s="1153" t="s">
        <v>277</v>
      </c>
      <c r="F2" s="1153" t="s">
        <v>286</v>
      </c>
      <c r="G2" s="1153" t="s">
        <v>294</v>
      </c>
      <c r="H2" s="1154" t="s">
        <v>299</v>
      </c>
      <c r="I2" s="1154" t="s">
        <v>304</v>
      </c>
      <c r="J2" s="1157" t="s">
        <v>307</v>
      </c>
      <c r="K2" s="1157" t="s">
        <v>310</v>
      </c>
      <c r="L2" s="1157" t="s">
        <v>313</v>
      </c>
      <c r="M2" s="1157" t="s">
        <v>316</v>
      </c>
    </row>
    <row r="3" spans="1:14">
      <c r="A3" s="1152">
        <v>0.1</v>
      </c>
      <c r="B3" s="1155">
        <v>15.052</v>
      </c>
      <c r="C3" s="1155">
        <v>15.052</v>
      </c>
      <c r="D3" s="1155">
        <v>14.263</v>
      </c>
      <c r="E3" s="1155">
        <v>14.263</v>
      </c>
      <c r="F3" s="1155">
        <v>14.263</v>
      </c>
      <c r="G3" s="1155">
        <v>14.263</v>
      </c>
      <c r="H3" s="1155">
        <v>14.263</v>
      </c>
      <c r="I3" s="1155">
        <v>14.097</v>
      </c>
      <c r="J3" s="1155">
        <v>14.097</v>
      </c>
      <c r="K3" s="1155">
        <v>14.097</v>
      </c>
      <c r="L3" s="1155">
        <v>14.097</v>
      </c>
      <c r="M3" s="1155">
        <v>14.097</v>
      </c>
      <c r="N3" s="1158"/>
    </row>
    <row r="4" spans="1:14">
      <c r="A4" s="1152">
        <v>0.2</v>
      </c>
      <c r="B4" s="1155">
        <v>7.5259999999999998</v>
      </c>
      <c r="C4" s="1155">
        <v>7.5259999999999998</v>
      </c>
      <c r="D4" s="1155">
        <v>7.1315</v>
      </c>
      <c r="E4" s="1155">
        <v>7.1315</v>
      </c>
      <c r="F4" s="1155">
        <v>7.1315</v>
      </c>
      <c r="G4" s="1155">
        <v>7.1315</v>
      </c>
      <c r="H4" s="1155">
        <v>7.1315</v>
      </c>
      <c r="I4" s="1155">
        <v>7.0484999999999998</v>
      </c>
      <c r="J4" s="1155">
        <v>7.0484999999999998</v>
      </c>
      <c r="K4" s="1155">
        <v>7.0484999999999998</v>
      </c>
      <c r="L4" s="1155">
        <v>7.0484999999999998</v>
      </c>
      <c r="M4" s="1155">
        <v>7.0484999999999998</v>
      </c>
    </row>
    <row r="5" spans="1:14">
      <c r="A5" s="1152">
        <v>0.3</v>
      </c>
      <c r="B5" s="1155">
        <v>5.0172999999999996</v>
      </c>
      <c r="C5" s="1155">
        <v>5.0172999999999996</v>
      </c>
      <c r="D5" s="1155">
        <v>4.7542999999999997</v>
      </c>
      <c r="E5" s="1155">
        <v>4.7542999999999997</v>
      </c>
      <c r="F5" s="1155">
        <v>4.7542999999999997</v>
      </c>
      <c r="G5" s="1155">
        <v>4.7542999999999997</v>
      </c>
      <c r="H5" s="1155">
        <v>4.7542999999999997</v>
      </c>
      <c r="I5" s="1155">
        <v>4.6989999999999998</v>
      </c>
      <c r="J5" s="1155">
        <v>4.6989999999999998</v>
      </c>
      <c r="K5" s="1155">
        <v>4.6989999999999998</v>
      </c>
      <c r="L5" s="1155">
        <v>4.6989999999999998</v>
      </c>
      <c r="M5" s="1155">
        <v>4.6989999999999998</v>
      </c>
    </row>
    <row r="6" spans="1:14">
      <c r="A6" s="1152">
        <v>0.4</v>
      </c>
      <c r="B6" s="1155">
        <v>3.7629999999999999</v>
      </c>
      <c r="C6" s="1155">
        <v>3.7629999999999999</v>
      </c>
      <c r="D6" s="1155">
        <v>3.5657999999999999</v>
      </c>
      <c r="E6" s="1155">
        <v>3.5657999999999999</v>
      </c>
      <c r="F6" s="1155">
        <v>3.5657999999999999</v>
      </c>
      <c r="G6" s="1155">
        <v>3.5657999999999999</v>
      </c>
      <c r="H6" s="1155">
        <v>3.5657999999999999</v>
      </c>
      <c r="I6" s="1155">
        <v>3.5243000000000002</v>
      </c>
      <c r="J6" s="1155">
        <v>3.5243000000000002</v>
      </c>
      <c r="K6" s="1155">
        <v>3.5243000000000002</v>
      </c>
      <c r="L6" s="1155">
        <v>3.5243000000000002</v>
      </c>
      <c r="M6" s="1155">
        <v>3.5243000000000002</v>
      </c>
    </row>
    <row r="7" spans="1:14">
      <c r="A7" s="1152">
        <v>0.5</v>
      </c>
      <c r="B7" s="1155">
        <v>3.0104000000000002</v>
      </c>
      <c r="C7" s="1155">
        <v>3.0104000000000002</v>
      </c>
      <c r="D7" s="1155">
        <v>2.8525999999999998</v>
      </c>
      <c r="E7" s="1155">
        <v>2.8525999999999998</v>
      </c>
      <c r="F7" s="1155">
        <v>2.8525999999999998</v>
      </c>
      <c r="G7" s="1155">
        <v>2.8525999999999998</v>
      </c>
      <c r="H7" s="1155">
        <v>2.8525999999999998</v>
      </c>
      <c r="I7" s="1155">
        <v>2.8193999999999999</v>
      </c>
      <c r="J7" s="1155">
        <v>2.8193999999999999</v>
      </c>
      <c r="K7" s="1155">
        <v>2.8193999999999999</v>
      </c>
      <c r="L7" s="1155">
        <v>2.8193999999999999</v>
      </c>
      <c r="M7" s="1155">
        <v>2.8193999999999999</v>
      </c>
    </row>
    <row r="8" spans="1:14">
      <c r="A8" s="1152">
        <v>0.6</v>
      </c>
      <c r="B8" s="1155">
        <v>2.5087000000000002</v>
      </c>
      <c r="C8" s="1155">
        <v>2.5087000000000002</v>
      </c>
      <c r="D8" s="1155">
        <v>2.3772000000000002</v>
      </c>
      <c r="E8" s="1155">
        <v>2.3772000000000002</v>
      </c>
      <c r="F8" s="1155">
        <v>2.3772000000000002</v>
      </c>
      <c r="G8" s="1155">
        <v>2.3772000000000002</v>
      </c>
      <c r="H8" s="1155">
        <v>2.3772000000000002</v>
      </c>
      <c r="I8" s="1155">
        <v>2.3494999999999999</v>
      </c>
      <c r="J8" s="1155">
        <v>2.3494999999999999</v>
      </c>
      <c r="K8" s="1155">
        <v>2.3494999999999999</v>
      </c>
      <c r="L8" s="1155">
        <v>2.3494999999999999</v>
      </c>
      <c r="M8" s="1155">
        <v>2.3494999999999999</v>
      </c>
    </row>
    <row r="9" spans="1:14">
      <c r="A9" s="1152">
        <v>0.7</v>
      </c>
      <c r="B9" s="1155">
        <v>2.1503000000000001</v>
      </c>
      <c r="C9" s="1155">
        <v>2.1503000000000001</v>
      </c>
      <c r="D9" s="1155">
        <v>2.0375999999999999</v>
      </c>
      <c r="E9" s="1155">
        <v>2.0375999999999999</v>
      </c>
      <c r="F9" s="1155">
        <v>2.0375999999999999</v>
      </c>
      <c r="G9" s="1155">
        <v>2.0375999999999999</v>
      </c>
      <c r="H9" s="1155">
        <v>2.0375999999999999</v>
      </c>
      <c r="I9" s="1155">
        <v>2.0139</v>
      </c>
      <c r="J9" s="1155">
        <v>2.0139</v>
      </c>
      <c r="K9" s="1155">
        <v>2.0139</v>
      </c>
      <c r="L9" s="1155">
        <v>2.0139</v>
      </c>
      <c r="M9" s="1155">
        <v>2.0139</v>
      </c>
    </row>
    <row r="10" spans="1:14">
      <c r="A10" s="1152">
        <v>0.8</v>
      </c>
      <c r="B10" s="1155">
        <v>1.8815</v>
      </c>
      <c r="C10" s="1155">
        <v>1.8815</v>
      </c>
      <c r="D10" s="1155">
        <v>1.7828999999999999</v>
      </c>
      <c r="E10" s="1155">
        <v>1.7828999999999999</v>
      </c>
      <c r="F10" s="1155">
        <v>1.7828999999999999</v>
      </c>
      <c r="G10" s="1155">
        <v>1.7828999999999999</v>
      </c>
      <c r="H10" s="1155">
        <v>1.7828999999999999</v>
      </c>
      <c r="I10" s="1155">
        <v>1.7621</v>
      </c>
      <c r="J10" s="1155">
        <v>1.7621</v>
      </c>
      <c r="K10" s="1155">
        <v>1.7621</v>
      </c>
      <c r="L10" s="1155">
        <v>1.7621</v>
      </c>
      <c r="M10" s="1155">
        <v>1.7621</v>
      </c>
    </row>
    <row r="11" spans="1:14">
      <c r="A11" s="1152">
        <v>0.9</v>
      </c>
      <c r="B11" s="1155">
        <v>1.6724000000000001</v>
      </c>
      <c r="C11" s="1155">
        <v>1.6724000000000001</v>
      </c>
      <c r="D11" s="1155">
        <v>1.5848</v>
      </c>
      <c r="E11" s="1155">
        <v>1.5848</v>
      </c>
      <c r="F11" s="1155">
        <v>1.5848</v>
      </c>
      <c r="G11" s="1155">
        <v>1.5848</v>
      </c>
      <c r="H11" s="1155">
        <v>1.5848</v>
      </c>
      <c r="I11" s="1155">
        <v>1.5663</v>
      </c>
      <c r="J11" s="1155">
        <v>1.5663</v>
      </c>
      <c r="K11" s="1155">
        <v>1.5663</v>
      </c>
      <c r="L11" s="1155">
        <v>1.5663</v>
      </c>
      <c r="M11" s="1155">
        <v>1.5663</v>
      </c>
    </row>
    <row r="12" spans="1:14">
      <c r="A12" s="1152">
        <v>1</v>
      </c>
      <c r="B12" s="1155">
        <v>1.5052000000000001</v>
      </c>
      <c r="C12" s="1155">
        <v>1.5052000000000001</v>
      </c>
      <c r="D12" s="1155">
        <v>1.4262999999999999</v>
      </c>
      <c r="E12" s="1155">
        <v>1.4262999999999999</v>
      </c>
      <c r="F12" s="1155">
        <v>1.4262999999999999</v>
      </c>
      <c r="G12" s="1155">
        <v>1.4262999999999999</v>
      </c>
      <c r="H12" s="1155">
        <v>1.4262999999999999</v>
      </c>
      <c r="I12" s="1155">
        <v>1.4097</v>
      </c>
      <c r="J12" s="1155">
        <v>1.4097</v>
      </c>
      <c r="K12" s="1155">
        <v>1.4097</v>
      </c>
      <c r="L12" s="1155">
        <v>1.4097</v>
      </c>
      <c r="M12" s="1155">
        <v>1.4097</v>
      </c>
    </row>
    <row r="13" spans="1:14">
      <c r="A13" s="1152">
        <v>1.1000000000000001</v>
      </c>
      <c r="B13" s="1155">
        <v>1.4509000000000001</v>
      </c>
      <c r="C13" s="1155">
        <v>1.4509000000000001</v>
      </c>
      <c r="D13" s="1155">
        <v>1.3697999999999999</v>
      </c>
      <c r="E13" s="1155">
        <v>1.3697999999999999</v>
      </c>
      <c r="F13" s="1155">
        <v>1.3697999999999999</v>
      </c>
      <c r="G13" s="1155">
        <v>1.3697999999999999</v>
      </c>
      <c r="H13" s="1155">
        <v>1.3697999999999999</v>
      </c>
      <c r="I13" s="1155">
        <v>1.343</v>
      </c>
      <c r="J13" s="1155">
        <v>1.343</v>
      </c>
      <c r="K13" s="1155">
        <v>1.343</v>
      </c>
      <c r="L13" s="1155">
        <v>1.343</v>
      </c>
      <c r="M13" s="1155">
        <v>1.343</v>
      </c>
    </row>
    <row r="14" spans="1:14">
      <c r="A14" s="1152">
        <v>1.2</v>
      </c>
      <c r="B14" s="1155">
        <v>1.4035</v>
      </c>
      <c r="C14" s="1155">
        <v>1.4035</v>
      </c>
      <c r="D14" s="1155">
        <v>1.3205</v>
      </c>
      <c r="E14" s="1155">
        <v>1.3205</v>
      </c>
      <c r="F14" s="1155">
        <v>1.3205</v>
      </c>
      <c r="G14" s="1155">
        <v>1.3205</v>
      </c>
      <c r="H14" s="1155">
        <v>1.3205</v>
      </c>
      <c r="I14" s="1155">
        <v>1.2845</v>
      </c>
      <c r="J14" s="1155">
        <v>1.2845</v>
      </c>
      <c r="K14" s="1155">
        <v>1.2845</v>
      </c>
      <c r="L14" s="1155">
        <v>1.2845</v>
      </c>
      <c r="M14" s="1155">
        <v>1.2845</v>
      </c>
    </row>
    <row r="15" spans="1:14">
      <c r="A15" s="1152">
        <v>1.3</v>
      </c>
      <c r="B15" s="1155">
        <v>1.3622000000000001</v>
      </c>
      <c r="C15" s="1155">
        <v>1.3622000000000001</v>
      </c>
      <c r="D15" s="1155">
        <v>1.2775000000000001</v>
      </c>
      <c r="E15" s="1155">
        <v>1.2775000000000001</v>
      </c>
      <c r="F15" s="1155">
        <v>1.2775000000000001</v>
      </c>
      <c r="G15" s="1155">
        <v>1.2775000000000001</v>
      </c>
      <c r="H15" s="1155">
        <v>1.2775000000000001</v>
      </c>
      <c r="I15" s="1155">
        <v>1.2332000000000001</v>
      </c>
      <c r="J15" s="1155">
        <v>1.2332000000000001</v>
      </c>
      <c r="K15" s="1155">
        <v>1.2332000000000001</v>
      </c>
      <c r="L15" s="1155">
        <v>1.2332000000000001</v>
      </c>
      <c r="M15" s="1155">
        <v>1.2332000000000001</v>
      </c>
    </row>
    <row r="16" spans="1:14">
      <c r="A16" s="1152">
        <v>1.4</v>
      </c>
      <c r="B16" s="1155">
        <v>1.3262</v>
      </c>
      <c r="C16" s="1155">
        <v>1.3262</v>
      </c>
      <c r="D16" s="1155">
        <v>1.2402</v>
      </c>
      <c r="E16" s="1155">
        <v>1.2402</v>
      </c>
      <c r="F16" s="1155">
        <v>1.2402</v>
      </c>
      <c r="G16" s="1155">
        <v>1.2402</v>
      </c>
      <c r="H16" s="1155">
        <v>1.2402</v>
      </c>
      <c r="I16" s="1155">
        <v>1.1881999999999999</v>
      </c>
      <c r="J16" s="1155">
        <v>1.1881999999999999</v>
      </c>
      <c r="K16" s="1155">
        <v>1.1881999999999999</v>
      </c>
      <c r="L16" s="1155">
        <v>1.1881999999999999</v>
      </c>
      <c r="M16" s="1155">
        <v>1.1881999999999999</v>
      </c>
      <c r="N16" s="1158"/>
    </row>
    <row r="17" spans="1:14">
      <c r="A17" s="1152">
        <v>1.5</v>
      </c>
      <c r="B17" s="1155">
        <v>1.2948</v>
      </c>
      <c r="C17" s="1155">
        <v>1.2948</v>
      </c>
      <c r="D17" s="1155">
        <v>1.2075</v>
      </c>
      <c r="E17" s="1155">
        <v>1.2075</v>
      </c>
      <c r="F17" s="1155">
        <v>1.2075</v>
      </c>
      <c r="G17" s="1155">
        <v>1.2075</v>
      </c>
      <c r="H17" s="1155">
        <v>1.2075</v>
      </c>
      <c r="I17" s="1155">
        <v>1.1486000000000001</v>
      </c>
      <c r="J17" s="1155">
        <v>1.1486000000000001</v>
      </c>
      <c r="K17" s="1155">
        <v>1.1486000000000001</v>
      </c>
      <c r="L17" s="1155">
        <v>1.1486000000000001</v>
      </c>
      <c r="M17" s="1155">
        <v>1.1486000000000001</v>
      </c>
      <c r="N17" s="1158"/>
    </row>
    <row r="18" spans="1:14">
      <c r="A18" s="1152">
        <v>1.6</v>
      </c>
      <c r="B18" s="1155">
        <v>1.2673000000000001</v>
      </c>
      <c r="C18" s="1155">
        <v>1.2673000000000001</v>
      </c>
      <c r="D18" s="1155">
        <v>1.1789000000000001</v>
      </c>
      <c r="E18" s="1155">
        <v>1.1789000000000001</v>
      </c>
      <c r="F18" s="1155">
        <v>1.1789000000000001</v>
      </c>
      <c r="G18" s="1155">
        <v>1.1789000000000001</v>
      </c>
      <c r="H18" s="1155">
        <v>1.1789000000000001</v>
      </c>
      <c r="I18" s="1155">
        <v>1.1134999999999999</v>
      </c>
      <c r="J18" s="1155">
        <v>1.1134999999999999</v>
      </c>
      <c r="K18" s="1155">
        <v>1.1134999999999999</v>
      </c>
      <c r="L18" s="1155">
        <v>1.1134999999999999</v>
      </c>
      <c r="M18" s="1155">
        <v>1.1134999999999999</v>
      </c>
    </row>
    <row r="19" spans="1:14">
      <c r="A19" s="1152">
        <v>1.7</v>
      </c>
      <c r="B19" s="1155">
        <v>1.2428999999999999</v>
      </c>
      <c r="C19" s="1155">
        <v>1.2428999999999999</v>
      </c>
      <c r="D19" s="1155">
        <v>1.1534</v>
      </c>
      <c r="E19" s="1155">
        <v>1.1534</v>
      </c>
      <c r="F19" s="1155">
        <v>1.1534</v>
      </c>
      <c r="G19" s="1155">
        <v>1.1534</v>
      </c>
      <c r="H19" s="1155">
        <v>1.1534</v>
      </c>
      <c r="I19" s="1155">
        <v>1.0820000000000001</v>
      </c>
      <c r="J19" s="1155">
        <v>1.0820000000000001</v>
      </c>
      <c r="K19" s="1155">
        <v>1.0820000000000001</v>
      </c>
      <c r="L19" s="1155">
        <v>1.0820000000000001</v>
      </c>
      <c r="M19" s="1155">
        <v>1.0820000000000001</v>
      </c>
    </row>
    <row r="20" spans="1:14">
      <c r="A20" s="1152">
        <v>1.8</v>
      </c>
      <c r="B20" s="1155">
        <v>1.2206999999999999</v>
      </c>
      <c r="C20" s="1155">
        <v>1.2206999999999999</v>
      </c>
      <c r="D20" s="1155">
        <v>1.1304000000000001</v>
      </c>
      <c r="E20" s="1155">
        <v>1.1304000000000001</v>
      </c>
      <c r="F20" s="1155">
        <v>1.1304000000000001</v>
      </c>
      <c r="G20" s="1155">
        <v>1.1304000000000001</v>
      </c>
      <c r="H20" s="1155">
        <v>1.1304000000000001</v>
      </c>
      <c r="I20" s="1155">
        <v>1.0531999999999999</v>
      </c>
      <c r="J20" s="1155">
        <v>1.0531999999999999</v>
      </c>
      <c r="K20" s="1155">
        <v>1.0531999999999999</v>
      </c>
      <c r="L20" s="1155">
        <v>1.0531999999999999</v>
      </c>
      <c r="M20" s="1155">
        <v>1.0531999999999999</v>
      </c>
    </row>
    <row r="21" spans="1:14">
      <c r="A21" s="1152">
        <v>1.9</v>
      </c>
      <c r="B21" s="1155">
        <v>1.2</v>
      </c>
      <c r="C21" s="1155">
        <v>1.2</v>
      </c>
      <c r="D21" s="1155">
        <v>1.1089</v>
      </c>
      <c r="E21" s="1155">
        <v>1.1089</v>
      </c>
      <c r="F21" s="1155">
        <v>1.1089</v>
      </c>
      <c r="G21" s="1155">
        <v>1.1089</v>
      </c>
      <c r="H21" s="1155">
        <v>1.1089</v>
      </c>
      <c r="I21" s="1155">
        <v>1.0261</v>
      </c>
      <c r="J21" s="1155">
        <v>1.0261</v>
      </c>
      <c r="K21" s="1155">
        <v>1.0261</v>
      </c>
      <c r="L21" s="1155">
        <v>1.0261</v>
      </c>
      <c r="M21" s="1155">
        <v>1.0261</v>
      </c>
    </row>
    <row r="22" spans="1:14">
      <c r="A22" s="1152">
        <v>2</v>
      </c>
      <c r="B22" s="1155">
        <v>1.1800999999999999</v>
      </c>
      <c r="C22" s="1155">
        <v>1.1800999999999999</v>
      </c>
      <c r="D22" s="1155">
        <v>1.0883</v>
      </c>
      <c r="E22" s="1155">
        <v>1.0883</v>
      </c>
      <c r="F22" s="1155">
        <v>1.0883</v>
      </c>
      <c r="G22" s="1155">
        <v>1.0883</v>
      </c>
      <c r="H22" s="1155">
        <v>1.0883</v>
      </c>
      <c r="I22" s="1155">
        <v>1</v>
      </c>
      <c r="J22" s="1155">
        <v>1</v>
      </c>
      <c r="K22" s="1155">
        <v>1</v>
      </c>
      <c r="L22" s="1155">
        <v>1</v>
      </c>
      <c r="M22" s="1155">
        <v>1</v>
      </c>
    </row>
    <row r="23" spans="1:14">
      <c r="A23" s="1156">
        <v>2.1</v>
      </c>
      <c r="B23" s="1155">
        <v>1.1616</v>
      </c>
      <c r="C23" s="1155">
        <v>1.1616</v>
      </c>
      <c r="D23" s="1155">
        <v>1.0685</v>
      </c>
      <c r="E23" s="1155">
        <v>1.0685</v>
      </c>
      <c r="F23" s="1155">
        <v>1.0685</v>
      </c>
      <c r="G23" s="1155">
        <v>1.0685</v>
      </c>
      <c r="H23" s="1155">
        <v>1.0685</v>
      </c>
      <c r="I23" s="1155">
        <v>0.97550000000000003</v>
      </c>
      <c r="J23" s="1155">
        <v>0.97550000000000003</v>
      </c>
      <c r="K23" s="1155">
        <v>0.97550000000000003</v>
      </c>
      <c r="L23" s="1155">
        <v>0.97550000000000003</v>
      </c>
      <c r="M23" s="1155">
        <v>0.97550000000000003</v>
      </c>
    </row>
    <row r="24" spans="1:14">
      <c r="A24" s="1156">
        <v>2.2000000000000002</v>
      </c>
      <c r="B24" s="1155">
        <v>1.1440999999999999</v>
      </c>
      <c r="C24" s="1155">
        <v>1.1440999999999999</v>
      </c>
      <c r="D24" s="1155">
        <v>1.0497000000000001</v>
      </c>
      <c r="E24" s="1155">
        <v>1.0497000000000001</v>
      </c>
      <c r="F24" s="1155">
        <v>1.0497000000000001</v>
      </c>
      <c r="G24" s="1155">
        <v>1.0497000000000001</v>
      </c>
      <c r="H24" s="1155">
        <v>1.0497000000000001</v>
      </c>
      <c r="I24" s="1155">
        <v>0.95230000000000004</v>
      </c>
      <c r="J24" s="1155">
        <v>0.95230000000000004</v>
      </c>
      <c r="K24" s="1155">
        <v>0.95230000000000004</v>
      </c>
      <c r="L24" s="1155">
        <v>0.95230000000000004</v>
      </c>
      <c r="M24" s="1155">
        <v>0.95230000000000004</v>
      </c>
    </row>
    <row r="25" spans="1:14">
      <c r="A25" s="1156">
        <v>2.2999999999999998</v>
      </c>
      <c r="B25" s="1155">
        <v>1.1275999999999999</v>
      </c>
      <c r="C25" s="1155">
        <v>1.1275999999999999</v>
      </c>
      <c r="D25" s="1155">
        <v>1.032</v>
      </c>
      <c r="E25" s="1155">
        <v>1.032</v>
      </c>
      <c r="F25" s="1155">
        <v>1.032</v>
      </c>
      <c r="G25" s="1155">
        <v>1.032</v>
      </c>
      <c r="H25" s="1155">
        <v>1.032</v>
      </c>
      <c r="I25" s="1155">
        <v>0.9304</v>
      </c>
      <c r="J25" s="1155">
        <v>0.9304</v>
      </c>
      <c r="K25" s="1155">
        <v>0.9304</v>
      </c>
      <c r="L25" s="1155">
        <v>0.9304</v>
      </c>
      <c r="M25" s="1155">
        <v>0.9304</v>
      </c>
    </row>
    <row r="26" spans="1:14">
      <c r="A26" s="1156">
        <v>2.4</v>
      </c>
      <c r="B26" s="1155">
        <v>1.1121000000000001</v>
      </c>
      <c r="C26" s="1155">
        <v>1.1121000000000001</v>
      </c>
      <c r="D26" s="1155">
        <v>1.0155000000000001</v>
      </c>
      <c r="E26" s="1155">
        <v>1.0155000000000001</v>
      </c>
      <c r="F26" s="1155">
        <v>1.0155000000000001</v>
      </c>
      <c r="G26" s="1155">
        <v>1.0155000000000001</v>
      </c>
      <c r="H26" s="1155">
        <v>1.0155000000000001</v>
      </c>
      <c r="I26" s="1155">
        <v>0.91</v>
      </c>
      <c r="J26" s="1155">
        <v>0.91</v>
      </c>
      <c r="K26" s="1155">
        <v>0.91</v>
      </c>
      <c r="L26" s="1155">
        <v>0.91</v>
      </c>
      <c r="M26" s="1155">
        <v>0.91</v>
      </c>
    </row>
    <row r="27" spans="1:14">
      <c r="A27" s="1156">
        <v>2.5</v>
      </c>
      <c r="B27" s="1155">
        <v>1.0975999999999999</v>
      </c>
      <c r="C27" s="1155">
        <v>1.0975999999999999</v>
      </c>
      <c r="D27" s="1155">
        <v>1</v>
      </c>
      <c r="E27" s="1155">
        <v>1</v>
      </c>
      <c r="F27" s="1155">
        <v>1</v>
      </c>
      <c r="G27" s="1155">
        <v>1</v>
      </c>
      <c r="H27" s="1155">
        <v>1</v>
      </c>
      <c r="I27" s="1155">
        <v>0.89080000000000004</v>
      </c>
      <c r="J27" s="1155">
        <v>0.89080000000000004</v>
      </c>
      <c r="K27" s="1155">
        <v>0.89080000000000004</v>
      </c>
      <c r="L27" s="1155">
        <v>0.89080000000000004</v>
      </c>
      <c r="M27" s="1155">
        <v>0.89080000000000004</v>
      </c>
    </row>
    <row r="28" spans="1:14">
      <c r="A28" s="1156">
        <v>2.6</v>
      </c>
      <c r="B28" s="1155">
        <v>1.0841000000000001</v>
      </c>
      <c r="C28" s="1155">
        <v>1.0841000000000001</v>
      </c>
      <c r="D28" s="1155">
        <v>0.98619999999999997</v>
      </c>
      <c r="E28" s="1155">
        <v>0.98619999999999997</v>
      </c>
      <c r="F28" s="1155">
        <v>0.98619999999999997</v>
      </c>
      <c r="G28" s="1155">
        <v>0.98619999999999997</v>
      </c>
      <c r="H28" s="1155">
        <v>0.98619999999999997</v>
      </c>
      <c r="I28" s="1155">
        <v>0.873</v>
      </c>
      <c r="J28" s="1155">
        <v>0.873</v>
      </c>
      <c r="K28" s="1155">
        <v>0.873</v>
      </c>
      <c r="L28" s="1155">
        <v>0.873</v>
      </c>
      <c r="M28" s="1155">
        <v>0.873</v>
      </c>
    </row>
    <row r="29" spans="1:14">
      <c r="A29" s="1156">
        <v>2.7</v>
      </c>
      <c r="B29" s="1155">
        <v>1.0716000000000001</v>
      </c>
      <c r="C29" s="1155">
        <v>1.0716000000000001</v>
      </c>
      <c r="D29" s="1155">
        <v>0.97330000000000005</v>
      </c>
      <c r="E29" s="1155">
        <v>0.97330000000000005</v>
      </c>
      <c r="F29" s="1155">
        <v>0.97330000000000005</v>
      </c>
      <c r="G29" s="1155">
        <v>0.97330000000000005</v>
      </c>
      <c r="H29" s="1155">
        <v>0.97330000000000005</v>
      </c>
      <c r="I29" s="1155">
        <v>0.85670000000000002</v>
      </c>
      <c r="J29" s="1155">
        <v>0.85670000000000002</v>
      </c>
      <c r="K29" s="1155">
        <v>0.85670000000000002</v>
      </c>
      <c r="L29" s="1155">
        <v>0.85670000000000002</v>
      </c>
      <c r="M29" s="1155">
        <v>0.85670000000000002</v>
      </c>
    </row>
    <row r="30" spans="1:14">
      <c r="A30" s="1156">
        <v>2.8</v>
      </c>
      <c r="B30" s="1155">
        <v>1.0602</v>
      </c>
      <c r="C30" s="1155">
        <v>1.0602</v>
      </c>
      <c r="D30" s="1155">
        <v>0.96160000000000001</v>
      </c>
      <c r="E30" s="1155">
        <v>0.96160000000000001</v>
      </c>
      <c r="F30" s="1155">
        <v>0.96160000000000001</v>
      </c>
      <c r="G30" s="1155">
        <v>0.96160000000000001</v>
      </c>
      <c r="H30" s="1155">
        <v>0.96160000000000001</v>
      </c>
      <c r="I30" s="1155">
        <v>0.8417</v>
      </c>
      <c r="J30" s="1155">
        <v>0.8417</v>
      </c>
      <c r="K30" s="1155">
        <v>0.8417</v>
      </c>
      <c r="L30" s="1155">
        <v>0.8417</v>
      </c>
      <c r="M30" s="1155">
        <v>0.8417</v>
      </c>
    </row>
    <row r="31" spans="1:14">
      <c r="A31" s="1156">
        <v>2.9</v>
      </c>
      <c r="B31" s="1155">
        <v>1.0497000000000001</v>
      </c>
      <c r="C31" s="1155">
        <v>1.0497000000000001</v>
      </c>
      <c r="D31" s="1155">
        <v>0.95089999999999997</v>
      </c>
      <c r="E31" s="1155">
        <v>0.95089999999999997</v>
      </c>
      <c r="F31" s="1155">
        <v>0.95089999999999997</v>
      </c>
      <c r="G31" s="1155">
        <v>0.95089999999999997</v>
      </c>
      <c r="H31" s="1155">
        <v>0.95089999999999997</v>
      </c>
      <c r="I31" s="1155">
        <v>0.82809999999999995</v>
      </c>
      <c r="J31" s="1155">
        <v>0.82809999999999995</v>
      </c>
      <c r="K31" s="1155">
        <v>0.82809999999999995</v>
      </c>
      <c r="L31" s="1155">
        <v>0.82809999999999995</v>
      </c>
      <c r="M31" s="1155">
        <v>0.82809999999999995</v>
      </c>
    </row>
    <row r="32" spans="1:14">
      <c r="A32" s="1156">
        <v>3</v>
      </c>
      <c r="B32" s="1155">
        <v>1.0401</v>
      </c>
      <c r="C32" s="1155">
        <v>1.0401</v>
      </c>
      <c r="D32" s="1155">
        <v>0.94089999999999996</v>
      </c>
      <c r="E32" s="1155">
        <v>0.94089999999999996</v>
      </c>
      <c r="F32" s="1155">
        <v>0.94089999999999996</v>
      </c>
      <c r="G32" s="1155">
        <v>0.94089999999999996</v>
      </c>
      <c r="H32" s="1155">
        <v>0.94089999999999996</v>
      </c>
      <c r="I32" s="1155">
        <v>0.81579999999999997</v>
      </c>
      <c r="J32" s="1155">
        <v>0.81579999999999997</v>
      </c>
      <c r="K32" s="1155">
        <v>0.81579999999999997</v>
      </c>
      <c r="L32" s="1155">
        <v>0.81579999999999997</v>
      </c>
      <c r="M32" s="1155">
        <v>0.81579999999999997</v>
      </c>
    </row>
    <row r="33" spans="1:13">
      <c r="A33" s="1156">
        <v>3.1</v>
      </c>
      <c r="B33" s="1155">
        <v>1.0314000000000001</v>
      </c>
      <c r="C33" s="1155">
        <v>1.0314000000000001</v>
      </c>
      <c r="D33" s="1155">
        <v>0.93169999999999997</v>
      </c>
      <c r="E33" s="1155">
        <v>0.93169999999999997</v>
      </c>
      <c r="F33" s="1155">
        <v>0.93169999999999997</v>
      </c>
      <c r="G33" s="1155">
        <v>0.93169999999999997</v>
      </c>
      <c r="H33" s="1155">
        <v>0.93169999999999997</v>
      </c>
      <c r="I33" s="1155">
        <v>0.80410000000000004</v>
      </c>
      <c r="J33" s="1155">
        <v>0.80410000000000004</v>
      </c>
      <c r="K33" s="1155">
        <v>0.80410000000000004</v>
      </c>
      <c r="L33" s="1155">
        <v>0.80410000000000004</v>
      </c>
      <c r="M33" s="1155">
        <v>0.80410000000000004</v>
      </c>
    </row>
    <row r="34" spans="1:13">
      <c r="A34" s="1156">
        <v>3.2</v>
      </c>
      <c r="B34" s="1155">
        <v>1.0229999999999999</v>
      </c>
      <c r="C34" s="1155">
        <v>1.0229999999999999</v>
      </c>
      <c r="D34" s="1155">
        <v>0.92279999999999995</v>
      </c>
      <c r="E34" s="1155">
        <v>0.92279999999999995</v>
      </c>
      <c r="F34" s="1155">
        <v>0.92279999999999995</v>
      </c>
      <c r="G34" s="1155">
        <v>0.92279999999999995</v>
      </c>
      <c r="H34" s="1155">
        <v>0.92279999999999995</v>
      </c>
      <c r="I34" s="1155">
        <v>0.79300000000000004</v>
      </c>
      <c r="J34" s="1155">
        <v>0.79300000000000004</v>
      </c>
      <c r="K34" s="1155">
        <v>0.79300000000000004</v>
      </c>
      <c r="L34" s="1155">
        <v>0.79300000000000004</v>
      </c>
      <c r="M34" s="1155">
        <v>0.79300000000000004</v>
      </c>
    </row>
    <row r="35" spans="1:13">
      <c r="A35" s="1156">
        <v>3.3</v>
      </c>
      <c r="B35" s="1155">
        <v>1.0149999999999999</v>
      </c>
      <c r="C35" s="1155">
        <v>1.0149999999999999</v>
      </c>
      <c r="D35" s="1155">
        <v>0.91439999999999999</v>
      </c>
      <c r="E35" s="1155">
        <v>0.91439999999999999</v>
      </c>
      <c r="F35" s="1155">
        <v>0.91439999999999999</v>
      </c>
      <c r="G35" s="1155">
        <v>0.91439999999999999</v>
      </c>
      <c r="H35" s="1155">
        <v>0.91439999999999999</v>
      </c>
      <c r="I35" s="1155">
        <v>0.78220000000000001</v>
      </c>
      <c r="J35" s="1155">
        <v>0.78220000000000001</v>
      </c>
      <c r="K35" s="1155">
        <v>0.78220000000000001</v>
      </c>
      <c r="L35" s="1155">
        <v>0.78220000000000001</v>
      </c>
      <c r="M35" s="1155">
        <v>0.78220000000000001</v>
      </c>
    </row>
    <row r="36" spans="1:13">
      <c r="A36" s="1156">
        <v>3.4</v>
      </c>
      <c r="B36" s="1155">
        <v>1.0073000000000001</v>
      </c>
      <c r="C36" s="1155">
        <v>1.0073000000000001</v>
      </c>
      <c r="D36" s="1155">
        <v>0.90629999999999999</v>
      </c>
      <c r="E36" s="1155">
        <v>0.90629999999999999</v>
      </c>
      <c r="F36" s="1155">
        <v>0.90629999999999999</v>
      </c>
      <c r="G36" s="1155">
        <v>0.90629999999999999</v>
      </c>
      <c r="H36" s="1155">
        <v>0.90629999999999999</v>
      </c>
      <c r="I36" s="1155">
        <v>0.77210000000000001</v>
      </c>
      <c r="J36" s="1155">
        <v>0.77210000000000001</v>
      </c>
      <c r="K36" s="1155">
        <v>0.77210000000000001</v>
      </c>
      <c r="L36" s="1155">
        <v>0.77210000000000001</v>
      </c>
      <c r="M36" s="1155">
        <v>0.77210000000000001</v>
      </c>
    </row>
    <row r="37" spans="1:13">
      <c r="A37" s="1156">
        <v>3.5</v>
      </c>
      <c r="B37" s="1155">
        <v>1</v>
      </c>
      <c r="C37" s="1155">
        <v>1</v>
      </c>
      <c r="D37" s="1155">
        <v>0.89870000000000005</v>
      </c>
      <c r="E37" s="1155">
        <v>0.89870000000000005</v>
      </c>
      <c r="F37" s="1155">
        <v>0.89870000000000005</v>
      </c>
      <c r="G37" s="1155">
        <v>0.89870000000000005</v>
      </c>
      <c r="H37" s="1155">
        <v>0.89870000000000005</v>
      </c>
      <c r="I37" s="1155">
        <v>0.76239999999999997</v>
      </c>
      <c r="J37" s="1155">
        <v>0.76239999999999997</v>
      </c>
      <c r="K37" s="1155">
        <v>0.76239999999999997</v>
      </c>
      <c r="L37" s="1155">
        <v>0.76239999999999997</v>
      </c>
      <c r="M37" s="1155">
        <v>0.76239999999999997</v>
      </c>
    </row>
    <row r="38" spans="1:13">
      <c r="A38" s="1156">
        <v>3.6</v>
      </c>
      <c r="B38" s="1155">
        <v>0.99329999999999996</v>
      </c>
      <c r="C38" s="1155">
        <v>0.99329999999999996</v>
      </c>
      <c r="D38" s="1155">
        <v>0.89139999999999997</v>
      </c>
      <c r="E38" s="1155">
        <v>0.89139999999999997</v>
      </c>
      <c r="F38" s="1155">
        <v>0.89139999999999997</v>
      </c>
      <c r="G38" s="1155">
        <v>0.89139999999999997</v>
      </c>
      <c r="H38" s="1155">
        <v>0.89139999999999997</v>
      </c>
      <c r="I38" s="1155">
        <v>0.75319999999999998</v>
      </c>
      <c r="J38" s="1155">
        <v>0.75319999999999998</v>
      </c>
      <c r="K38" s="1155">
        <v>0.75319999999999998</v>
      </c>
      <c r="L38" s="1155">
        <v>0.75319999999999998</v>
      </c>
      <c r="M38" s="1155">
        <v>0.75319999999999998</v>
      </c>
    </row>
    <row r="39" spans="1:13">
      <c r="A39" s="1156">
        <v>3.7</v>
      </c>
      <c r="B39" s="1155">
        <v>0.9869</v>
      </c>
      <c r="C39" s="1155">
        <v>0.9869</v>
      </c>
      <c r="D39" s="1155">
        <v>0.88449999999999995</v>
      </c>
      <c r="E39" s="1155">
        <v>0.88449999999999995</v>
      </c>
      <c r="F39" s="1155">
        <v>0.88449999999999995</v>
      </c>
      <c r="G39" s="1155">
        <v>0.88449999999999995</v>
      </c>
      <c r="H39" s="1155">
        <v>0.88449999999999995</v>
      </c>
      <c r="I39" s="1155">
        <v>0.74460000000000004</v>
      </c>
      <c r="J39" s="1155">
        <v>0.74460000000000004</v>
      </c>
      <c r="K39" s="1155">
        <v>0.74460000000000004</v>
      </c>
      <c r="L39" s="1155">
        <v>0.74460000000000004</v>
      </c>
      <c r="M39" s="1155">
        <v>0.74460000000000004</v>
      </c>
    </row>
    <row r="40" spans="1:13">
      <c r="A40" s="1156">
        <v>3.8</v>
      </c>
      <c r="B40" s="1155">
        <v>0.98080000000000001</v>
      </c>
      <c r="C40" s="1155">
        <v>0.98080000000000001</v>
      </c>
      <c r="D40" s="1155">
        <v>0.87809999999999999</v>
      </c>
      <c r="E40" s="1155">
        <v>0.87809999999999999</v>
      </c>
      <c r="F40" s="1155">
        <v>0.87809999999999999</v>
      </c>
      <c r="G40" s="1155">
        <v>0.87809999999999999</v>
      </c>
      <c r="H40" s="1155">
        <v>0.87809999999999999</v>
      </c>
      <c r="I40" s="1155">
        <v>0.73640000000000005</v>
      </c>
      <c r="J40" s="1155">
        <v>0.73640000000000005</v>
      </c>
      <c r="K40" s="1155">
        <v>0.73640000000000005</v>
      </c>
      <c r="L40" s="1155">
        <v>0.73640000000000005</v>
      </c>
      <c r="M40" s="1155">
        <v>0.73640000000000005</v>
      </c>
    </row>
    <row r="41" spans="1:13">
      <c r="A41" s="1156">
        <v>3.9</v>
      </c>
      <c r="B41" s="1155">
        <v>0.97509999999999997</v>
      </c>
      <c r="C41" s="1155">
        <v>0.97509999999999997</v>
      </c>
      <c r="D41" s="1155">
        <v>0.87209999999999999</v>
      </c>
      <c r="E41" s="1155">
        <v>0.87209999999999999</v>
      </c>
      <c r="F41" s="1155">
        <v>0.87209999999999999</v>
      </c>
      <c r="G41" s="1155">
        <v>0.87209999999999999</v>
      </c>
      <c r="H41" s="1155">
        <v>0.87209999999999999</v>
      </c>
      <c r="I41" s="1155">
        <v>0.7288</v>
      </c>
      <c r="J41" s="1155">
        <v>0.7288</v>
      </c>
      <c r="K41" s="1155">
        <v>0.7288</v>
      </c>
      <c r="L41" s="1155">
        <v>0.7288</v>
      </c>
      <c r="M41" s="1155">
        <v>0.7288</v>
      </c>
    </row>
    <row r="42" spans="1:13">
      <c r="A42" s="1156">
        <v>4</v>
      </c>
      <c r="B42" s="1155">
        <v>0.96989999999999998</v>
      </c>
      <c r="C42" s="1155">
        <v>0.96989999999999998</v>
      </c>
      <c r="D42" s="1155">
        <v>0.86650000000000005</v>
      </c>
      <c r="E42" s="1155">
        <v>0.86650000000000005</v>
      </c>
      <c r="F42" s="1155">
        <v>0.86650000000000005</v>
      </c>
      <c r="G42" s="1155">
        <v>0.86650000000000005</v>
      </c>
      <c r="H42" s="1155">
        <v>0.86650000000000005</v>
      </c>
      <c r="I42" s="1155">
        <v>0.7218</v>
      </c>
      <c r="J42" s="1155">
        <v>0.7218</v>
      </c>
      <c r="K42" s="1155">
        <v>0.7218</v>
      </c>
      <c r="L42" s="1155">
        <v>0.7218</v>
      </c>
      <c r="M42" s="1155">
        <v>0.7218</v>
      </c>
    </row>
    <row r="43" spans="1:13">
      <c r="A43" s="1156">
        <v>4.0999999999999996</v>
      </c>
      <c r="B43" s="1155">
        <v>0.96479999999999999</v>
      </c>
      <c r="C43" s="1155">
        <v>0.96479999999999999</v>
      </c>
      <c r="D43" s="1155">
        <v>0.86109999999999998</v>
      </c>
      <c r="E43" s="1155">
        <v>0.86109999999999998</v>
      </c>
      <c r="F43" s="1155">
        <v>0.86109999999999998</v>
      </c>
      <c r="G43" s="1155">
        <v>0.86109999999999998</v>
      </c>
      <c r="H43" s="1155">
        <v>0.86109999999999998</v>
      </c>
      <c r="I43" s="1155">
        <v>0.71499999999999997</v>
      </c>
      <c r="J43" s="1155">
        <v>0.71499999999999997</v>
      </c>
      <c r="K43" s="1155">
        <v>0.71499999999999997</v>
      </c>
      <c r="L43" s="1155">
        <v>0.71499999999999997</v>
      </c>
      <c r="M43" s="1155">
        <v>0.71499999999999997</v>
      </c>
    </row>
    <row r="44" spans="1:13">
      <c r="A44" s="1156">
        <v>4.2</v>
      </c>
      <c r="B44" s="1155">
        <v>0.96</v>
      </c>
      <c r="C44" s="1155">
        <v>0.96</v>
      </c>
      <c r="D44" s="1155">
        <v>0.85599999999999998</v>
      </c>
      <c r="E44" s="1155">
        <v>0.85599999999999998</v>
      </c>
      <c r="F44" s="1155">
        <v>0.85599999999999998</v>
      </c>
      <c r="G44" s="1155">
        <v>0.85599999999999998</v>
      </c>
      <c r="H44" s="1155">
        <v>0.85599999999999998</v>
      </c>
      <c r="I44" s="1155">
        <v>0.70840000000000003</v>
      </c>
      <c r="J44" s="1155">
        <v>0.70840000000000003</v>
      </c>
      <c r="K44" s="1155">
        <v>0.70840000000000003</v>
      </c>
      <c r="L44" s="1155">
        <v>0.70840000000000003</v>
      </c>
      <c r="M44" s="1155">
        <v>0.70840000000000003</v>
      </c>
    </row>
    <row r="45" spans="1:13">
      <c r="A45" s="1156">
        <v>4.3</v>
      </c>
      <c r="B45" s="1155">
        <v>0.95530000000000004</v>
      </c>
      <c r="C45" s="1155">
        <v>0.95530000000000004</v>
      </c>
      <c r="D45" s="1155">
        <v>0.85099999999999998</v>
      </c>
      <c r="E45" s="1155">
        <v>0.85099999999999998</v>
      </c>
      <c r="F45" s="1155">
        <v>0.85099999999999998</v>
      </c>
      <c r="G45" s="1155">
        <v>0.85099999999999998</v>
      </c>
      <c r="H45" s="1155">
        <v>0.85099999999999998</v>
      </c>
      <c r="I45" s="1155">
        <v>0.70199999999999996</v>
      </c>
      <c r="J45" s="1155">
        <v>0.70199999999999996</v>
      </c>
      <c r="K45" s="1155">
        <v>0.70199999999999996</v>
      </c>
      <c r="L45" s="1155">
        <v>0.70199999999999996</v>
      </c>
      <c r="M45" s="1155">
        <v>0.70199999999999996</v>
      </c>
    </row>
    <row r="46" spans="1:13">
      <c r="A46" s="1156">
        <v>4.4000000000000004</v>
      </c>
      <c r="B46" s="1155">
        <v>0.95079999999999998</v>
      </c>
      <c r="C46" s="1155">
        <v>0.95079999999999998</v>
      </c>
      <c r="D46" s="1155">
        <v>0.84619999999999995</v>
      </c>
      <c r="E46" s="1155">
        <v>0.84619999999999995</v>
      </c>
      <c r="F46" s="1155">
        <v>0.84619999999999995</v>
      </c>
      <c r="G46" s="1155">
        <v>0.84619999999999995</v>
      </c>
      <c r="H46" s="1155">
        <v>0.84619999999999995</v>
      </c>
      <c r="I46" s="1155">
        <v>0.69579999999999997</v>
      </c>
      <c r="J46" s="1155">
        <v>0.69579999999999997</v>
      </c>
      <c r="K46" s="1155">
        <v>0.69579999999999997</v>
      </c>
      <c r="L46" s="1155">
        <v>0.69579999999999997</v>
      </c>
      <c r="M46" s="1155">
        <v>0.69579999999999997</v>
      </c>
    </row>
    <row r="47" spans="1:13">
      <c r="A47" s="1156">
        <v>4.5</v>
      </c>
      <c r="B47" s="1155">
        <v>0.94640000000000002</v>
      </c>
      <c r="C47" s="1155">
        <v>0.94640000000000002</v>
      </c>
      <c r="D47" s="1155">
        <v>0.84150000000000003</v>
      </c>
      <c r="E47" s="1155">
        <v>0.84150000000000003</v>
      </c>
      <c r="F47" s="1155">
        <v>0.84150000000000003</v>
      </c>
      <c r="G47" s="1155">
        <v>0.84150000000000003</v>
      </c>
      <c r="H47" s="1155">
        <v>0.84150000000000003</v>
      </c>
      <c r="I47" s="1155">
        <v>0.68989999999999996</v>
      </c>
      <c r="J47" s="1155">
        <v>0.68989999999999996</v>
      </c>
      <c r="K47" s="1155">
        <v>0.68989999999999996</v>
      </c>
      <c r="L47" s="1155">
        <v>0.68989999999999996</v>
      </c>
      <c r="M47" s="1155">
        <v>0.68989999999999996</v>
      </c>
    </row>
    <row r="48" spans="1:13">
      <c r="A48" s="1156">
        <v>4.5999999999999996</v>
      </c>
      <c r="B48" s="1155">
        <v>0.94230000000000003</v>
      </c>
      <c r="C48" s="1155">
        <v>0.94230000000000003</v>
      </c>
      <c r="D48" s="1155">
        <v>0.83709999999999996</v>
      </c>
      <c r="E48" s="1155">
        <v>0.83709999999999996</v>
      </c>
      <c r="F48" s="1155">
        <v>0.83709999999999996</v>
      </c>
      <c r="G48" s="1155">
        <v>0.83709999999999996</v>
      </c>
      <c r="H48" s="1155">
        <v>0.83709999999999996</v>
      </c>
      <c r="I48" s="1155">
        <v>0.68430000000000002</v>
      </c>
      <c r="J48" s="1155">
        <v>0.68430000000000002</v>
      </c>
      <c r="K48" s="1155">
        <v>0.68430000000000002</v>
      </c>
      <c r="L48" s="1155">
        <v>0.68430000000000002</v>
      </c>
      <c r="M48" s="1155">
        <v>0.68430000000000002</v>
      </c>
    </row>
    <row r="49" spans="1:13">
      <c r="A49" s="1156">
        <v>4.7</v>
      </c>
      <c r="B49" s="1155">
        <v>0.93830000000000002</v>
      </c>
      <c r="C49" s="1155">
        <v>0.93830000000000002</v>
      </c>
      <c r="D49" s="1155">
        <v>0.83279999999999998</v>
      </c>
      <c r="E49" s="1155">
        <v>0.83279999999999998</v>
      </c>
      <c r="F49" s="1155">
        <v>0.83279999999999998</v>
      </c>
      <c r="G49" s="1155">
        <v>0.83279999999999998</v>
      </c>
      <c r="H49" s="1155">
        <v>0.83279999999999998</v>
      </c>
      <c r="I49" s="1155">
        <v>0.67879999999999996</v>
      </c>
      <c r="J49" s="1155">
        <v>0.67879999999999996</v>
      </c>
      <c r="K49" s="1155">
        <v>0.67879999999999996</v>
      </c>
      <c r="L49" s="1155">
        <v>0.67879999999999996</v>
      </c>
      <c r="M49" s="1155">
        <v>0.67879999999999996</v>
      </c>
    </row>
    <row r="50" spans="1:13">
      <c r="A50" s="1156">
        <v>4.8</v>
      </c>
      <c r="B50" s="1155">
        <v>0.9345</v>
      </c>
      <c r="C50" s="1155">
        <v>0.9345</v>
      </c>
      <c r="D50" s="1155">
        <v>0.82869999999999999</v>
      </c>
      <c r="E50" s="1155">
        <v>0.82869999999999999</v>
      </c>
      <c r="F50" s="1155">
        <v>0.82869999999999999</v>
      </c>
      <c r="G50" s="1155">
        <v>0.82869999999999999</v>
      </c>
      <c r="H50" s="1155">
        <v>0.82869999999999999</v>
      </c>
      <c r="I50" s="1155">
        <v>0.67359999999999998</v>
      </c>
      <c r="J50" s="1155">
        <v>0.67359999999999998</v>
      </c>
      <c r="K50" s="1155">
        <v>0.67359999999999998</v>
      </c>
      <c r="L50" s="1155">
        <v>0.67359999999999998</v>
      </c>
      <c r="M50" s="1155">
        <v>0.67359999999999998</v>
      </c>
    </row>
    <row r="51" spans="1:13">
      <c r="A51" s="1156">
        <v>4.9000000000000004</v>
      </c>
      <c r="B51" s="1155">
        <v>0.93079999999999996</v>
      </c>
      <c r="C51" s="1155">
        <v>0.93079999999999996</v>
      </c>
      <c r="D51" s="1155">
        <v>0.82479999999999998</v>
      </c>
      <c r="E51" s="1155">
        <v>0.82479999999999998</v>
      </c>
      <c r="F51" s="1155">
        <v>0.82479999999999998</v>
      </c>
      <c r="G51" s="1155">
        <v>0.82479999999999998</v>
      </c>
      <c r="H51" s="1155">
        <v>0.82479999999999998</v>
      </c>
      <c r="I51" s="1155">
        <v>0.66849999999999998</v>
      </c>
      <c r="J51" s="1155">
        <v>0.66849999999999998</v>
      </c>
      <c r="K51" s="1155">
        <v>0.66849999999999998</v>
      </c>
      <c r="L51" s="1155">
        <v>0.66849999999999998</v>
      </c>
      <c r="M51" s="1155">
        <v>0.66849999999999998</v>
      </c>
    </row>
    <row r="52" spans="1:13">
      <c r="A52" s="1156">
        <v>5</v>
      </c>
      <c r="B52" s="1155">
        <v>0.9274</v>
      </c>
      <c r="C52" s="1155">
        <v>0.9274</v>
      </c>
      <c r="D52" s="1155">
        <v>0.82110000000000005</v>
      </c>
      <c r="E52" s="1155">
        <v>0.82110000000000005</v>
      </c>
      <c r="F52" s="1155">
        <v>0.82110000000000005</v>
      </c>
      <c r="G52" s="1155">
        <v>0.82110000000000005</v>
      </c>
      <c r="H52" s="1155">
        <v>0.82110000000000005</v>
      </c>
      <c r="I52" s="1155">
        <v>0.66369999999999996</v>
      </c>
      <c r="J52" s="1155">
        <v>0.66369999999999996</v>
      </c>
      <c r="K52" s="1155">
        <v>0.66369999999999996</v>
      </c>
      <c r="L52" s="1155">
        <v>0.66369999999999996</v>
      </c>
      <c r="M52" s="1155">
        <v>0.66369999999999996</v>
      </c>
    </row>
    <row r="53" spans="1:13">
      <c r="A53" s="1152">
        <v>5.0999999999999996</v>
      </c>
      <c r="B53" s="1155">
        <v>0.92410000000000003</v>
      </c>
      <c r="C53" s="1155">
        <v>0.92410000000000003</v>
      </c>
      <c r="D53" s="1155">
        <v>0.8175</v>
      </c>
      <c r="E53" s="1155">
        <v>0.8175</v>
      </c>
      <c r="F53" s="1155">
        <v>0.8175</v>
      </c>
      <c r="G53" s="1155">
        <v>0.8175</v>
      </c>
      <c r="H53" s="1155">
        <v>0.8175</v>
      </c>
      <c r="I53" s="1155">
        <v>0.65900000000000003</v>
      </c>
      <c r="J53" s="1155">
        <v>0.65900000000000003</v>
      </c>
      <c r="K53" s="1155">
        <v>0.65900000000000003</v>
      </c>
      <c r="L53" s="1155">
        <v>0.65900000000000003</v>
      </c>
      <c r="M53" s="1155">
        <v>0.65900000000000003</v>
      </c>
    </row>
    <row r="54" spans="1:13">
      <c r="A54" s="1152">
        <v>5.2</v>
      </c>
      <c r="B54" s="1155">
        <v>0.92090000000000005</v>
      </c>
      <c r="C54" s="1155">
        <v>0.92090000000000005</v>
      </c>
      <c r="D54" s="1155">
        <v>0.81399999999999995</v>
      </c>
      <c r="E54" s="1155">
        <v>0.81399999999999995</v>
      </c>
      <c r="F54" s="1155">
        <v>0.81399999999999995</v>
      </c>
      <c r="G54" s="1155">
        <v>0.81399999999999995</v>
      </c>
      <c r="H54" s="1155">
        <v>0.81399999999999995</v>
      </c>
      <c r="I54" s="1155">
        <v>0.65449999999999997</v>
      </c>
      <c r="J54" s="1155">
        <v>0.65449999999999997</v>
      </c>
      <c r="K54" s="1155">
        <v>0.65449999999999997</v>
      </c>
      <c r="L54" s="1155">
        <v>0.65449999999999997</v>
      </c>
      <c r="M54" s="1155">
        <v>0.65449999999999997</v>
      </c>
    </row>
    <row r="55" spans="1:13">
      <c r="A55" s="1152">
        <v>5.3</v>
      </c>
      <c r="B55" s="1155">
        <v>0.91790000000000005</v>
      </c>
      <c r="C55" s="1155">
        <v>0.91790000000000005</v>
      </c>
      <c r="D55" s="1155">
        <v>0.81059999999999999</v>
      </c>
      <c r="E55" s="1155">
        <v>0.81059999999999999</v>
      </c>
      <c r="F55" s="1155">
        <v>0.81059999999999999</v>
      </c>
      <c r="G55" s="1155">
        <v>0.81059999999999999</v>
      </c>
      <c r="H55" s="1155">
        <v>0.81059999999999999</v>
      </c>
      <c r="I55" s="1155">
        <v>0.6502</v>
      </c>
      <c r="J55" s="1155">
        <v>0.6502</v>
      </c>
      <c r="K55" s="1155">
        <v>0.6502</v>
      </c>
      <c r="L55" s="1155">
        <v>0.6502</v>
      </c>
      <c r="M55" s="1155">
        <v>0.6502</v>
      </c>
    </row>
    <row r="56" spans="1:13">
      <c r="A56" s="1152">
        <v>5.4</v>
      </c>
      <c r="B56" s="1155">
        <v>0.91490000000000005</v>
      </c>
      <c r="C56" s="1155">
        <v>0.91490000000000005</v>
      </c>
      <c r="D56" s="1155">
        <v>0.80740000000000001</v>
      </c>
      <c r="E56" s="1155">
        <v>0.80740000000000001</v>
      </c>
      <c r="F56" s="1155">
        <v>0.80740000000000001</v>
      </c>
      <c r="G56" s="1155">
        <v>0.80740000000000001</v>
      </c>
      <c r="H56" s="1155">
        <v>0.80740000000000001</v>
      </c>
      <c r="I56" s="1155">
        <v>0.64590000000000003</v>
      </c>
      <c r="J56" s="1155">
        <v>0.64590000000000003</v>
      </c>
      <c r="K56" s="1155">
        <v>0.64590000000000003</v>
      </c>
      <c r="L56" s="1155">
        <v>0.64590000000000003</v>
      </c>
      <c r="M56" s="1155">
        <v>0.64590000000000003</v>
      </c>
    </row>
    <row r="57" spans="1:13">
      <c r="A57" s="1152">
        <v>5.5</v>
      </c>
      <c r="B57" s="1155">
        <v>0.91200000000000003</v>
      </c>
      <c r="C57" s="1155">
        <v>0.91200000000000003</v>
      </c>
      <c r="D57" s="1155">
        <v>0.80420000000000003</v>
      </c>
      <c r="E57" s="1155">
        <v>0.80420000000000003</v>
      </c>
      <c r="F57" s="1155">
        <v>0.80420000000000003</v>
      </c>
      <c r="G57" s="1155">
        <v>0.80420000000000003</v>
      </c>
      <c r="H57" s="1155">
        <v>0.80420000000000003</v>
      </c>
      <c r="I57" s="1155">
        <v>0.64180000000000004</v>
      </c>
      <c r="J57" s="1155">
        <v>0.64180000000000004</v>
      </c>
      <c r="K57" s="1155">
        <v>0.64180000000000004</v>
      </c>
      <c r="L57" s="1155">
        <v>0.64180000000000004</v>
      </c>
      <c r="M57" s="1155">
        <v>0.64180000000000004</v>
      </c>
    </row>
    <row r="58" spans="1:13">
      <c r="A58" s="1152">
        <v>5.6</v>
      </c>
      <c r="B58" s="1155">
        <v>0.90910000000000002</v>
      </c>
      <c r="C58" s="1155">
        <v>0.90910000000000002</v>
      </c>
      <c r="D58" s="1155">
        <v>0.80120000000000002</v>
      </c>
      <c r="E58" s="1155">
        <v>0.80120000000000002</v>
      </c>
      <c r="F58" s="1155">
        <v>0.80120000000000002</v>
      </c>
      <c r="G58" s="1155">
        <v>0.80120000000000002</v>
      </c>
      <c r="H58" s="1155">
        <v>0.80120000000000002</v>
      </c>
      <c r="I58" s="1155">
        <v>0.63790000000000002</v>
      </c>
      <c r="J58" s="1155">
        <v>0.63790000000000002</v>
      </c>
      <c r="K58" s="1155">
        <v>0.63790000000000002</v>
      </c>
      <c r="L58" s="1155">
        <v>0.63790000000000002</v>
      </c>
      <c r="M58" s="1155">
        <v>0.63790000000000002</v>
      </c>
    </row>
    <row r="59" spans="1:13">
      <c r="A59" s="1156">
        <v>5.7</v>
      </c>
      <c r="B59" s="1155">
        <v>0.90639999999999998</v>
      </c>
      <c r="C59" s="1155">
        <v>0.90639999999999998</v>
      </c>
      <c r="D59" s="1155">
        <v>0.79820000000000002</v>
      </c>
      <c r="E59" s="1155">
        <v>0.79820000000000002</v>
      </c>
      <c r="F59" s="1155">
        <v>0.79820000000000002</v>
      </c>
      <c r="G59" s="1155">
        <v>0.79820000000000002</v>
      </c>
      <c r="H59" s="1155">
        <v>0.79820000000000002</v>
      </c>
      <c r="I59" s="1155">
        <v>0.6341</v>
      </c>
      <c r="J59" s="1155">
        <v>0.6341</v>
      </c>
      <c r="K59" s="1155">
        <v>0.6341</v>
      </c>
      <c r="L59" s="1155">
        <v>0.6341</v>
      </c>
      <c r="M59" s="1155">
        <v>0.6341</v>
      </c>
    </row>
    <row r="60" spans="1:13">
      <c r="A60" s="1152">
        <v>5.8</v>
      </c>
      <c r="B60" s="1155">
        <v>0.90380000000000005</v>
      </c>
      <c r="C60" s="1155">
        <v>0.90380000000000005</v>
      </c>
      <c r="D60" s="1155">
        <v>0.7954</v>
      </c>
      <c r="E60" s="1155">
        <v>0.7954</v>
      </c>
      <c r="F60" s="1155">
        <v>0.7954</v>
      </c>
      <c r="G60" s="1155">
        <v>0.7954</v>
      </c>
      <c r="H60" s="1155">
        <v>0.7954</v>
      </c>
      <c r="I60" s="1155">
        <v>0.63039999999999996</v>
      </c>
      <c r="J60" s="1155">
        <v>0.63039999999999996</v>
      </c>
      <c r="K60" s="1155">
        <v>0.63039999999999996</v>
      </c>
      <c r="L60" s="1155">
        <v>0.63039999999999996</v>
      </c>
      <c r="M60" s="1155">
        <v>0.63039999999999996</v>
      </c>
    </row>
    <row r="61" spans="1:13">
      <c r="A61" s="1152">
        <v>5.9</v>
      </c>
      <c r="B61" s="1155">
        <v>0.90129999999999999</v>
      </c>
      <c r="C61" s="1155">
        <v>0.90129999999999999</v>
      </c>
      <c r="D61" s="1155">
        <v>0.79269999999999996</v>
      </c>
      <c r="E61" s="1155">
        <v>0.79269999999999996</v>
      </c>
      <c r="F61" s="1155">
        <v>0.79269999999999996</v>
      </c>
      <c r="G61" s="1155">
        <v>0.79269999999999996</v>
      </c>
      <c r="H61" s="1155">
        <v>0.79269999999999996</v>
      </c>
      <c r="I61" s="1155">
        <v>0.62690000000000001</v>
      </c>
      <c r="J61" s="1155">
        <v>0.62690000000000001</v>
      </c>
      <c r="K61" s="1155">
        <v>0.62690000000000001</v>
      </c>
      <c r="L61" s="1155">
        <v>0.62690000000000001</v>
      </c>
      <c r="M61" s="1155">
        <v>0.62690000000000001</v>
      </c>
    </row>
    <row r="62" spans="1:13">
      <c r="A62" s="1152">
        <v>6</v>
      </c>
      <c r="B62" s="1155">
        <v>0.89890000000000003</v>
      </c>
      <c r="C62" s="1155">
        <v>0.89890000000000003</v>
      </c>
      <c r="D62" s="1155">
        <v>0.79020000000000001</v>
      </c>
      <c r="E62" s="1155">
        <v>0.79020000000000001</v>
      </c>
      <c r="F62" s="1155">
        <v>0.79020000000000001</v>
      </c>
      <c r="G62" s="1155">
        <v>0.79020000000000001</v>
      </c>
      <c r="H62" s="1155">
        <v>0.79020000000000001</v>
      </c>
      <c r="I62" s="1155">
        <v>0.62350000000000005</v>
      </c>
      <c r="J62" s="1155">
        <v>0.62350000000000005</v>
      </c>
      <c r="K62" s="1155">
        <v>0.62350000000000005</v>
      </c>
      <c r="L62" s="1155">
        <v>0.62350000000000005</v>
      </c>
      <c r="M62" s="1155">
        <v>0.62350000000000005</v>
      </c>
    </row>
    <row r="63" spans="1:13">
      <c r="A63" s="1152">
        <v>6.1</v>
      </c>
      <c r="B63" s="1155">
        <v>0.89649999999999996</v>
      </c>
      <c r="C63" s="1155">
        <v>0.89649999999999996</v>
      </c>
      <c r="D63" s="1155">
        <v>0.78769999999999996</v>
      </c>
      <c r="E63" s="1155">
        <v>0.78769999999999996</v>
      </c>
      <c r="F63" s="1155">
        <v>0.78769999999999996</v>
      </c>
      <c r="G63" s="1155">
        <v>0.78769999999999996</v>
      </c>
      <c r="H63" s="1155">
        <v>0.78769999999999996</v>
      </c>
      <c r="I63" s="1155">
        <v>0.62029999999999996</v>
      </c>
      <c r="J63" s="1155">
        <v>0.62029999999999996</v>
      </c>
      <c r="K63" s="1155">
        <v>0.62029999999999996</v>
      </c>
      <c r="L63" s="1155">
        <v>0.62029999999999996</v>
      </c>
      <c r="M63" s="1155">
        <v>0.62029999999999996</v>
      </c>
    </row>
    <row r="64" spans="1:13">
      <c r="A64" s="1152">
        <v>6.2</v>
      </c>
      <c r="B64" s="1155">
        <v>0.89429999999999998</v>
      </c>
      <c r="C64" s="1155">
        <v>0.89429999999999998</v>
      </c>
      <c r="D64" s="1155">
        <v>0.78520000000000001</v>
      </c>
      <c r="E64" s="1155">
        <v>0.78520000000000001</v>
      </c>
      <c r="F64" s="1155">
        <v>0.78520000000000001</v>
      </c>
      <c r="G64" s="1155">
        <v>0.78520000000000001</v>
      </c>
      <c r="H64" s="1155">
        <v>0.78520000000000001</v>
      </c>
      <c r="I64" s="1155">
        <v>0.61719999999999997</v>
      </c>
      <c r="J64" s="1155">
        <v>0.61719999999999997</v>
      </c>
      <c r="K64" s="1155">
        <v>0.61719999999999997</v>
      </c>
      <c r="L64" s="1155">
        <v>0.61719999999999997</v>
      </c>
      <c r="M64" s="1155">
        <v>0.61719999999999997</v>
      </c>
    </row>
    <row r="65" spans="1:13">
      <c r="A65" s="1152">
        <v>6.3</v>
      </c>
      <c r="B65" s="1155">
        <v>0.89200000000000002</v>
      </c>
      <c r="C65" s="1155">
        <v>0.89200000000000002</v>
      </c>
      <c r="D65" s="1155">
        <v>0.78280000000000005</v>
      </c>
      <c r="E65" s="1155">
        <v>0.78280000000000005</v>
      </c>
      <c r="F65" s="1155">
        <v>0.78280000000000005</v>
      </c>
      <c r="G65" s="1155">
        <v>0.78280000000000005</v>
      </c>
      <c r="H65" s="1155">
        <v>0.78280000000000005</v>
      </c>
      <c r="I65" s="1155">
        <v>0.61409999999999998</v>
      </c>
      <c r="J65" s="1155">
        <v>0.61409999999999998</v>
      </c>
      <c r="K65" s="1155">
        <v>0.61409999999999998</v>
      </c>
      <c r="L65" s="1155">
        <v>0.61409999999999998</v>
      </c>
      <c r="M65" s="1155">
        <v>0.61409999999999998</v>
      </c>
    </row>
    <row r="66" spans="1:13">
      <c r="A66" s="1152">
        <v>6.4</v>
      </c>
      <c r="B66" s="1155">
        <v>0.88990000000000002</v>
      </c>
      <c r="C66" s="1155">
        <v>0.88990000000000002</v>
      </c>
      <c r="D66" s="1155">
        <v>0.78039999999999998</v>
      </c>
      <c r="E66" s="1155">
        <v>0.78039999999999998</v>
      </c>
      <c r="F66" s="1155">
        <v>0.78039999999999998</v>
      </c>
      <c r="G66" s="1155">
        <v>0.78039999999999998</v>
      </c>
      <c r="H66" s="1155">
        <v>0.78039999999999998</v>
      </c>
      <c r="I66" s="1155">
        <v>0.61099999999999999</v>
      </c>
      <c r="J66" s="1155">
        <v>0.61099999999999999</v>
      </c>
      <c r="K66" s="1155">
        <v>0.61099999999999999</v>
      </c>
      <c r="L66" s="1155">
        <v>0.61099999999999999</v>
      </c>
      <c r="M66" s="1155">
        <v>0.61099999999999999</v>
      </c>
    </row>
    <row r="67" spans="1:13">
      <c r="A67" s="1152">
        <v>6.5</v>
      </c>
      <c r="B67" s="1155">
        <v>0.88780000000000003</v>
      </c>
      <c r="C67" s="1155">
        <v>0.88780000000000003</v>
      </c>
      <c r="D67" s="1155">
        <v>0.77810000000000001</v>
      </c>
      <c r="E67" s="1155">
        <v>0.77810000000000001</v>
      </c>
      <c r="F67" s="1155">
        <v>0.77810000000000001</v>
      </c>
      <c r="G67" s="1155">
        <v>0.77810000000000001</v>
      </c>
      <c r="H67" s="1155">
        <v>0.77810000000000001</v>
      </c>
      <c r="I67" s="1155">
        <v>0.60799999999999998</v>
      </c>
      <c r="J67" s="1155">
        <v>0.60799999999999998</v>
      </c>
      <c r="K67" s="1155">
        <v>0.60799999999999998</v>
      </c>
      <c r="L67" s="1155">
        <v>0.60799999999999998</v>
      </c>
      <c r="M67" s="1155">
        <v>0.60799999999999998</v>
      </c>
    </row>
    <row r="68" spans="1:13">
      <c r="A68" s="1152">
        <v>6.6</v>
      </c>
      <c r="B68" s="1155">
        <v>0.88580000000000003</v>
      </c>
      <c r="C68" s="1155">
        <v>0.88580000000000003</v>
      </c>
      <c r="D68" s="1155">
        <v>0.77580000000000005</v>
      </c>
      <c r="E68" s="1155">
        <v>0.77580000000000005</v>
      </c>
      <c r="F68" s="1155">
        <v>0.77580000000000005</v>
      </c>
      <c r="G68" s="1155">
        <v>0.77580000000000005</v>
      </c>
      <c r="H68" s="1155">
        <v>0.77580000000000005</v>
      </c>
      <c r="I68" s="1155">
        <v>0.60499999999999998</v>
      </c>
      <c r="J68" s="1155">
        <v>0.60499999999999998</v>
      </c>
      <c r="K68" s="1155">
        <v>0.60499999999999998</v>
      </c>
      <c r="L68" s="1155">
        <v>0.60499999999999998</v>
      </c>
      <c r="M68" s="1155">
        <v>0.60499999999999998</v>
      </c>
    </row>
    <row r="69" spans="1:13">
      <c r="A69" s="1152">
        <v>6.7</v>
      </c>
      <c r="B69" s="1155">
        <v>0.88380000000000003</v>
      </c>
      <c r="C69" s="1155">
        <v>0.88380000000000003</v>
      </c>
      <c r="D69" s="1155">
        <v>0.77359999999999995</v>
      </c>
      <c r="E69" s="1155">
        <v>0.77359999999999995</v>
      </c>
      <c r="F69" s="1155">
        <v>0.77359999999999995</v>
      </c>
      <c r="G69" s="1155">
        <v>0.77359999999999995</v>
      </c>
      <c r="H69" s="1155">
        <v>0.77359999999999995</v>
      </c>
      <c r="I69" s="1155">
        <v>0.60209999999999997</v>
      </c>
      <c r="J69" s="1155">
        <v>0.60209999999999997</v>
      </c>
      <c r="K69" s="1155">
        <v>0.60209999999999997</v>
      </c>
      <c r="L69" s="1155">
        <v>0.60209999999999997</v>
      </c>
      <c r="M69" s="1155">
        <v>0.60209999999999997</v>
      </c>
    </row>
    <row r="70" spans="1:13">
      <c r="A70" s="1152">
        <v>6.8</v>
      </c>
      <c r="B70" s="1155">
        <v>0.88190000000000002</v>
      </c>
      <c r="C70" s="1155">
        <v>0.88190000000000002</v>
      </c>
      <c r="D70" s="1155">
        <v>0.77159999999999995</v>
      </c>
      <c r="E70" s="1155">
        <v>0.77159999999999995</v>
      </c>
      <c r="F70" s="1155">
        <v>0.77159999999999995</v>
      </c>
      <c r="G70" s="1155">
        <v>0.77159999999999995</v>
      </c>
      <c r="H70" s="1155">
        <v>0.77159999999999995</v>
      </c>
      <c r="I70" s="1155">
        <v>0.59930000000000005</v>
      </c>
      <c r="J70" s="1155">
        <v>0.59930000000000005</v>
      </c>
      <c r="K70" s="1155">
        <v>0.59930000000000005</v>
      </c>
      <c r="L70" s="1155">
        <v>0.59930000000000005</v>
      </c>
      <c r="M70" s="1155">
        <v>0.59930000000000005</v>
      </c>
    </row>
    <row r="71" spans="1:13">
      <c r="A71" s="1152">
        <v>6.9</v>
      </c>
      <c r="B71" s="1155">
        <v>0.88</v>
      </c>
      <c r="C71" s="1155">
        <v>0.88</v>
      </c>
      <c r="D71" s="1155">
        <v>0.76949999999999996</v>
      </c>
      <c r="E71" s="1155">
        <v>0.76949999999999996</v>
      </c>
      <c r="F71" s="1155">
        <v>0.76949999999999996</v>
      </c>
      <c r="G71" s="1155">
        <v>0.76949999999999996</v>
      </c>
      <c r="H71" s="1155">
        <v>0.76949999999999996</v>
      </c>
      <c r="I71" s="1155">
        <v>0.59640000000000004</v>
      </c>
      <c r="J71" s="1155">
        <v>0.59640000000000004</v>
      </c>
      <c r="K71" s="1155">
        <v>0.59640000000000004</v>
      </c>
      <c r="L71" s="1155">
        <v>0.59640000000000004</v>
      </c>
      <c r="M71" s="1155">
        <v>0.59640000000000004</v>
      </c>
    </row>
    <row r="72" spans="1:13">
      <c r="A72" s="1152">
        <v>7</v>
      </c>
      <c r="B72" s="1155">
        <v>0.87819999999999998</v>
      </c>
      <c r="C72" s="1155">
        <v>0.87819999999999998</v>
      </c>
      <c r="D72" s="1155">
        <v>0.76749999999999996</v>
      </c>
      <c r="E72" s="1155">
        <v>0.76749999999999996</v>
      </c>
      <c r="F72" s="1155">
        <v>0.76749999999999996</v>
      </c>
      <c r="G72" s="1155">
        <v>0.76749999999999996</v>
      </c>
      <c r="H72" s="1155">
        <v>0.76749999999999996</v>
      </c>
      <c r="I72" s="1155">
        <v>0.59360000000000002</v>
      </c>
      <c r="J72" s="1155">
        <v>0.59360000000000002</v>
      </c>
      <c r="K72" s="1155">
        <v>0.59360000000000002</v>
      </c>
      <c r="L72" s="1155">
        <v>0.59360000000000002</v>
      </c>
      <c r="M72" s="1155">
        <v>0.59360000000000002</v>
      </c>
    </row>
    <row r="73" spans="1:13">
      <c r="A73" s="1152">
        <v>7.1</v>
      </c>
      <c r="B73" s="1155">
        <v>0.87660000000000005</v>
      </c>
      <c r="C73" s="1155">
        <v>0.87660000000000005</v>
      </c>
      <c r="D73" s="1155">
        <v>0.76570000000000005</v>
      </c>
      <c r="E73" s="1155">
        <v>0.76570000000000005</v>
      </c>
      <c r="F73" s="1155">
        <v>0.76570000000000005</v>
      </c>
      <c r="G73" s="1155">
        <v>0.76570000000000005</v>
      </c>
      <c r="H73" s="1155">
        <v>0.76570000000000005</v>
      </c>
      <c r="I73" s="1155">
        <v>0.59109999999999996</v>
      </c>
      <c r="J73" s="1155">
        <v>0.59109999999999996</v>
      </c>
      <c r="K73" s="1155">
        <v>0.59109999999999996</v>
      </c>
      <c r="L73" s="1155">
        <v>0.59109999999999996</v>
      </c>
      <c r="M73" s="1155">
        <v>0.59109999999999996</v>
      </c>
    </row>
    <row r="74" spans="1:13">
      <c r="A74" s="1152">
        <v>7.2</v>
      </c>
      <c r="B74" s="1155">
        <v>0.87490000000000001</v>
      </c>
      <c r="C74" s="1155">
        <v>0.87490000000000001</v>
      </c>
      <c r="D74" s="1155">
        <v>0.76380000000000003</v>
      </c>
      <c r="E74" s="1155">
        <v>0.76380000000000003</v>
      </c>
      <c r="F74" s="1155">
        <v>0.76380000000000003</v>
      </c>
      <c r="G74" s="1155">
        <v>0.76380000000000003</v>
      </c>
      <c r="H74" s="1155">
        <v>0.76380000000000003</v>
      </c>
      <c r="I74" s="1155">
        <v>0.58860000000000001</v>
      </c>
      <c r="J74" s="1155">
        <v>0.58860000000000001</v>
      </c>
      <c r="K74" s="1155">
        <v>0.58860000000000001</v>
      </c>
      <c r="L74" s="1155">
        <v>0.58860000000000001</v>
      </c>
      <c r="M74" s="1155">
        <v>0.58860000000000001</v>
      </c>
    </row>
    <row r="75" spans="1:13">
      <c r="A75" s="1152">
        <v>7.3</v>
      </c>
      <c r="B75" s="1155">
        <v>0.87329999999999997</v>
      </c>
      <c r="C75" s="1155">
        <v>0.87329999999999997</v>
      </c>
      <c r="D75" s="1155">
        <v>0.76200000000000001</v>
      </c>
      <c r="E75" s="1155">
        <v>0.76200000000000001</v>
      </c>
      <c r="F75" s="1155">
        <v>0.76200000000000001</v>
      </c>
      <c r="G75" s="1155">
        <v>0.76200000000000001</v>
      </c>
      <c r="H75" s="1155">
        <v>0.76200000000000001</v>
      </c>
      <c r="I75" s="1155">
        <v>0.58620000000000005</v>
      </c>
      <c r="J75" s="1155">
        <v>0.58620000000000005</v>
      </c>
      <c r="K75" s="1155">
        <v>0.58620000000000005</v>
      </c>
      <c r="L75" s="1155">
        <v>0.58620000000000005</v>
      </c>
      <c r="M75" s="1155">
        <v>0.58620000000000005</v>
      </c>
    </row>
    <row r="76" spans="1:13">
      <c r="A76" s="1152">
        <v>7.4</v>
      </c>
      <c r="B76" s="1155">
        <v>0.87160000000000004</v>
      </c>
      <c r="C76" s="1155">
        <v>0.87160000000000004</v>
      </c>
      <c r="D76" s="1155">
        <v>0.76029999999999998</v>
      </c>
      <c r="E76" s="1155">
        <v>0.76029999999999998</v>
      </c>
      <c r="F76" s="1155">
        <v>0.76029999999999998</v>
      </c>
      <c r="G76" s="1155">
        <v>0.76029999999999998</v>
      </c>
      <c r="H76" s="1155">
        <v>0.76029999999999998</v>
      </c>
      <c r="I76" s="1155">
        <v>0.58379999999999999</v>
      </c>
      <c r="J76" s="1155">
        <v>0.58379999999999999</v>
      </c>
      <c r="K76" s="1155">
        <v>0.58379999999999999</v>
      </c>
      <c r="L76" s="1155">
        <v>0.58379999999999999</v>
      </c>
      <c r="M76" s="1155">
        <v>0.58379999999999999</v>
      </c>
    </row>
    <row r="77" spans="1:13">
      <c r="A77" s="1152">
        <v>7.5</v>
      </c>
      <c r="B77" s="1155">
        <v>0.87</v>
      </c>
      <c r="C77" s="1155">
        <v>0.87</v>
      </c>
      <c r="D77" s="1155">
        <v>0.75849999999999995</v>
      </c>
      <c r="E77" s="1155">
        <v>0.75849999999999995</v>
      </c>
      <c r="F77" s="1155">
        <v>0.75849999999999995</v>
      </c>
      <c r="G77" s="1155">
        <v>0.75849999999999995</v>
      </c>
      <c r="H77" s="1155">
        <v>0.75849999999999995</v>
      </c>
      <c r="I77" s="1155">
        <v>0.58140000000000003</v>
      </c>
      <c r="J77" s="1155">
        <v>0.58140000000000003</v>
      </c>
      <c r="K77" s="1155">
        <v>0.58140000000000003</v>
      </c>
      <c r="L77" s="1155">
        <v>0.58140000000000003</v>
      </c>
      <c r="M77" s="1155">
        <v>0.58140000000000003</v>
      </c>
    </row>
    <row r="78" spans="1:13">
      <c r="A78" s="1152">
        <v>7.6</v>
      </c>
      <c r="B78" s="1155">
        <v>0.86839999999999995</v>
      </c>
      <c r="C78" s="1155">
        <v>0.86839999999999995</v>
      </c>
      <c r="D78" s="1155">
        <v>0.75680000000000003</v>
      </c>
      <c r="E78" s="1155">
        <v>0.75680000000000003</v>
      </c>
      <c r="F78" s="1155">
        <v>0.75680000000000003</v>
      </c>
      <c r="G78" s="1155">
        <v>0.75680000000000003</v>
      </c>
      <c r="H78" s="1155">
        <v>0.75680000000000003</v>
      </c>
      <c r="I78" s="1155">
        <v>0.57899999999999996</v>
      </c>
      <c r="J78" s="1155">
        <v>0.57899999999999996</v>
      </c>
      <c r="K78" s="1155">
        <v>0.57899999999999996</v>
      </c>
      <c r="L78" s="1155">
        <v>0.57899999999999996</v>
      </c>
      <c r="M78" s="1155">
        <v>0.57899999999999996</v>
      </c>
    </row>
    <row r="79" spans="1:13">
      <c r="A79" s="1152">
        <v>7.7</v>
      </c>
      <c r="B79" s="1155">
        <v>0.8669</v>
      </c>
      <c r="C79" s="1155">
        <v>0.8669</v>
      </c>
      <c r="D79" s="1155">
        <v>0.755</v>
      </c>
      <c r="E79" s="1155">
        <v>0.755</v>
      </c>
      <c r="F79" s="1155">
        <v>0.755</v>
      </c>
      <c r="G79" s="1155">
        <v>0.755</v>
      </c>
      <c r="H79" s="1155">
        <v>0.755</v>
      </c>
      <c r="I79" s="1155">
        <v>0.57669999999999999</v>
      </c>
      <c r="J79" s="1155">
        <v>0.57669999999999999</v>
      </c>
      <c r="K79" s="1155">
        <v>0.57669999999999999</v>
      </c>
      <c r="L79" s="1155">
        <v>0.57669999999999999</v>
      </c>
      <c r="M79" s="1155">
        <v>0.57669999999999999</v>
      </c>
    </row>
    <row r="80" spans="1:13">
      <c r="A80" s="1152">
        <v>7.8</v>
      </c>
      <c r="B80" s="1155">
        <v>0.86539999999999995</v>
      </c>
      <c r="C80" s="1155">
        <v>0.86539999999999995</v>
      </c>
      <c r="D80" s="1155">
        <v>0.75329999999999997</v>
      </c>
      <c r="E80" s="1155">
        <v>0.75329999999999997</v>
      </c>
      <c r="F80" s="1155">
        <v>0.75329999999999997</v>
      </c>
      <c r="G80" s="1155">
        <v>0.75329999999999997</v>
      </c>
      <c r="H80" s="1155">
        <v>0.75329999999999997</v>
      </c>
      <c r="I80" s="1155">
        <v>0.57450000000000001</v>
      </c>
      <c r="J80" s="1155">
        <v>0.57450000000000001</v>
      </c>
      <c r="K80" s="1155">
        <v>0.57450000000000001</v>
      </c>
      <c r="L80" s="1155">
        <v>0.57450000000000001</v>
      </c>
      <c r="M80" s="1155">
        <v>0.57450000000000001</v>
      </c>
    </row>
    <row r="81" spans="1:13">
      <c r="A81" s="1152">
        <v>7.9</v>
      </c>
      <c r="B81" s="1155">
        <v>0.86380000000000001</v>
      </c>
      <c r="C81" s="1155">
        <v>0.86380000000000001</v>
      </c>
      <c r="D81" s="1155">
        <v>0.75170000000000003</v>
      </c>
      <c r="E81" s="1155">
        <v>0.75170000000000003</v>
      </c>
      <c r="F81" s="1155">
        <v>0.75170000000000003</v>
      </c>
      <c r="G81" s="1155">
        <v>0.75170000000000003</v>
      </c>
      <c r="H81" s="1155">
        <v>0.75170000000000003</v>
      </c>
      <c r="I81" s="1155">
        <v>0.57220000000000004</v>
      </c>
      <c r="J81" s="1155">
        <v>0.57220000000000004</v>
      </c>
      <c r="K81" s="1155">
        <v>0.57220000000000004</v>
      </c>
      <c r="L81" s="1155">
        <v>0.57220000000000004</v>
      </c>
      <c r="M81" s="1155">
        <v>0.57220000000000004</v>
      </c>
    </row>
    <row r="82" spans="1:13">
      <c r="A82" s="1152">
        <v>8</v>
      </c>
      <c r="B82" s="1155">
        <v>0.86240000000000006</v>
      </c>
      <c r="C82" s="1155">
        <v>0.86240000000000006</v>
      </c>
      <c r="D82" s="1155">
        <v>0.75</v>
      </c>
      <c r="E82" s="1155">
        <v>0.75</v>
      </c>
      <c r="F82" s="1155">
        <v>0.75</v>
      </c>
      <c r="G82" s="1155">
        <v>0.75</v>
      </c>
      <c r="H82" s="1155">
        <v>0.75</v>
      </c>
      <c r="I82" s="1155">
        <v>0.56989999999999996</v>
      </c>
      <c r="J82" s="1155">
        <v>0.56989999999999996</v>
      </c>
      <c r="K82" s="1155">
        <v>0.56989999999999996</v>
      </c>
      <c r="L82" s="1155">
        <v>0.56989999999999996</v>
      </c>
      <c r="M82" s="1155">
        <v>0.56989999999999996</v>
      </c>
    </row>
    <row r="83" spans="1:13">
      <c r="A83" s="1152">
        <v>8.1</v>
      </c>
      <c r="B83" s="1155">
        <v>0.86099999999999999</v>
      </c>
      <c r="C83" s="1155">
        <v>0.86099999999999999</v>
      </c>
      <c r="D83" s="1155">
        <v>0.74850000000000005</v>
      </c>
      <c r="E83" s="1155">
        <v>0.74850000000000005</v>
      </c>
      <c r="F83" s="1155">
        <v>0.74850000000000005</v>
      </c>
      <c r="G83" s="1155">
        <v>0.74850000000000005</v>
      </c>
      <c r="H83" s="1155">
        <v>0.74850000000000005</v>
      </c>
      <c r="I83" s="1155">
        <v>0.56779999999999997</v>
      </c>
      <c r="J83" s="1155">
        <v>0.56779999999999997</v>
      </c>
      <c r="K83" s="1155">
        <v>0.56779999999999997</v>
      </c>
      <c r="L83" s="1155">
        <v>0.56779999999999997</v>
      </c>
      <c r="M83" s="1155">
        <v>0.56779999999999997</v>
      </c>
    </row>
    <row r="84" spans="1:13">
      <c r="A84" s="1152">
        <v>8.1999999999999993</v>
      </c>
      <c r="B84" s="1155">
        <v>0.85970000000000002</v>
      </c>
      <c r="C84" s="1155">
        <v>0.85970000000000002</v>
      </c>
      <c r="D84" s="1155">
        <v>0.747</v>
      </c>
      <c r="E84" s="1155">
        <v>0.747</v>
      </c>
      <c r="F84" s="1155">
        <v>0.747</v>
      </c>
      <c r="G84" s="1155">
        <v>0.747</v>
      </c>
      <c r="H84" s="1155">
        <v>0.747</v>
      </c>
      <c r="I84" s="1155">
        <v>0.56589999999999996</v>
      </c>
      <c r="J84" s="1155">
        <v>0.56589999999999996</v>
      </c>
      <c r="K84" s="1155">
        <v>0.56589999999999996</v>
      </c>
      <c r="L84" s="1155">
        <v>0.56589999999999996</v>
      </c>
      <c r="M84" s="1155">
        <v>0.56589999999999996</v>
      </c>
    </row>
    <row r="85" spans="1:13">
      <c r="A85" s="1152">
        <v>8.3000000000000007</v>
      </c>
      <c r="B85" s="1155">
        <v>0.85840000000000005</v>
      </c>
      <c r="C85" s="1155">
        <v>0.85840000000000005</v>
      </c>
      <c r="D85" s="1155">
        <v>0.74560000000000004</v>
      </c>
      <c r="E85" s="1155">
        <v>0.74560000000000004</v>
      </c>
      <c r="F85" s="1155">
        <v>0.74560000000000004</v>
      </c>
      <c r="G85" s="1155">
        <v>0.74560000000000004</v>
      </c>
      <c r="H85" s="1155">
        <v>0.74560000000000004</v>
      </c>
      <c r="I85" s="1155">
        <v>0.56389999999999996</v>
      </c>
      <c r="J85" s="1155">
        <v>0.56389999999999996</v>
      </c>
      <c r="K85" s="1155">
        <v>0.56389999999999996</v>
      </c>
      <c r="L85" s="1155">
        <v>0.56389999999999996</v>
      </c>
      <c r="M85" s="1155">
        <v>0.56389999999999996</v>
      </c>
    </row>
    <row r="86" spans="1:13">
      <c r="A86" s="1152">
        <v>8.4</v>
      </c>
      <c r="B86" s="1155">
        <v>0.85709999999999997</v>
      </c>
      <c r="C86" s="1155">
        <v>0.85709999999999997</v>
      </c>
      <c r="D86" s="1155">
        <v>0.74419999999999997</v>
      </c>
      <c r="E86" s="1155">
        <v>0.74419999999999997</v>
      </c>
      <c r="F86" s="1155">
        <v>0.74419999999999997</v>
      </c>
      <c r="G86" s="1155">
        <v>0.74419999999999997</v>
      </c>
      <c r="H86" s="1155">
        <v>0.74419999999999997</v>
      </c>
      <c r="I86" s="1155">
        <v>0.56189999999999996</v>
      </c>
      <c r="J86" s="1155">
        <v>0.56189999999999996</v>
      </c>
      <c r="K86" s="1155">
        <v>0.56189999999999996</v>
      </c>
      <c r="L86" s="1155">
        <v>0.56189999999999996</v>
      </c>
      <c r="M86" s="1155">
        <v>0.56189999999999996</v>
      </c>
    </row>
    <row r="87" spans="1:13">
      <c r="A87" s="1152">
        <v>8.5</v>
      </c>
      <c r="B87" s="1155">
        <v>0.85580000000000001</v>
      </c>
      <c r="C87" s="1155">
        <v>0.85580000000000001</v>
      </c>
      <c r="D87" s="1155">
        <v>0.74270000000000003</v>
      </c>
      <c r="E87" s="1155">
        <v>0.74270000000000003</v>
      </c>
      <c r="F87" s="1155">
        <v>0.74270000000000003</v>
      </c>
      <c r="G87" s="1155">
        <v>0.74270000000000003</v>
      </c>
      <c r="H87" s="1155">
        <v>0.74270000000000003</v>
      </c>
      <c r="I87" s="1155">
        <v>0.55989999999999995</v>
      </c>
      <c r="J87" s="1155">
        <v>0.55989999999999995</v>
      </c>
      <c r="K87" s="1155">
        <v>0.55989999999999995</v>
      </c>
      <c r="L87" s="1155">
        <v>0.55989999999999995</v>
      </c>
      <c r="M87" s="1155">
        <v>0.55989999999999995</v>
      </c>
    </row>
    <row r="88" spans="1:13">
      <c r="A88" s="1152">
        <v>8.6</v>
      </c>
      <c r="B88" s="1155">
        <v>0.85450000000000004</v>
      </c>
      <c r="C88" s="1155">
        <v>0.85450000000000004</v>
      </c>
      <c r="D88" s="1155">
        <v>0.74129999999999996</v>
      </c>
      <c r="E88" s="1155">
        <v>0.74129999999999996</v>
      </c>
      <c r="F88" s="1155">
        <v>0.74129999999999996</v>
      </c>
      <c r="G88" s="1155">
        <v>0.74129999999999996</v>
      </c>
      <c r="H88" s="1155">
        <v>0.74129999999999996</v>
      </c>
      <c r="I88" s="1155">
        <v>0.55800000000000005</v>
      </c>
      <c r="J88" s="1155">
        <v>0.55800000000000005</v>
      </c>
      <c r="K88" s="1155">
        <v>0.55800000000000005</v>
      </c>
      <c r="L88" s="1155">
        <v>0.55800000000000005</v>
      </c>
      <c r="M88" s="1155">
        <v>0.55800000000000005</v>
      </c>
    </row>
    <row r="89" spans="1:13">
      <c r="A89" s="1152">
        <v>8.6999999999999993</v>
      </c>
      <c r="B89" s="1155">
        <v>0.85329999999999995</v>
      </c>
      <c r="C89" s="1155">
        <v>0.85329999999999995</v>
      </c>
      <c r="D89" s="1155">
        <v>0.7399</v>
      </c>
      <c r="E89" s="1155">
        <v>0.7399</v>
      </c>
      <c r="F89" s="1155">
        <v>0.7399</v>
      </c>
      <c r="G89" s="1155">
        <v>0.7399</v>
      </c>
      <c r="H89" s="1155">
        <v>0.7399</v>
      </c>
      <c r="I89" s="1155">
        <v>0.55600000000000005</v>
      </c>
      <c r="J89" s="1155">
        <v>0.55600000000000005</v>
      </c>
      <c r="K89" s="1155">
        <v>0.55600000000000005</v>
      </c>
      <c r="L89" s="1155">
        <v>0.55600000000000005</v>
      </c>
      <c r="M89" s="1155">
        <v>0.55600000000000005</v>
      </c>
    </row>
    <row r="90" spans="1:13">
      <c r="A90" s="1152">
        <v>8.8000000000000007</v>
      </c>
      <c r="B90" s="1155">
        <v>0.85209999999999997</v>
      </c>
      <c r="C90" s="1155">
        <v>0.85209999999999997</v>
      </c>
      <c r="D90" s="1155">
        <v>0.73850000000000005</v>
      </c>
      <c r="E90" s="1155">
        <v>0.73850000000000005</v>
      </c>
      <c r="F90" s="1155">
        <v>0.73850000000000005</v>
      </c>
      <c r="G90" s="1155">
        <v>0.73850000000000005</v>
      </c>
      <c r="H90" s="1155">
        <v>0.73850000000000005</v>
      </c>
      <c r="I90" s="1155">
        <v>0.55420000000000003</v>
      </c>
      <c r="J90" s="1155">
        <v>0.55420000000000003</v>
      </c>
      <c r="K90" s="1155">
        <v>0.55420000000000003</v>
      </c>
      <c r="L90" s="1155">
        <v>0.55420000000000003</v>
      </c>
      <c r="M90" s="1155">
        <v>0.55420000000000003</v>
      </c>
    </row>
    <row r="91" spans="1:13">
      <c r="A91" s="1152">
        <v>8.9</v>
      </c>
      <c r="B91" s="1155">
        <v>0.85099999999999998</v>
      </c>
      <c r="C91" s="1155">
        <v>0.85099999999999998</v>
      </c>
      <c r="D91" s="1155">
        <v>0.73719999999999997</v>
      </c>
      <c r="E91" s="1155">
        <v>0.73719999999999997</v>
      </c>
      <c r="F91" s="1155">
        <v>0.73719999999999997</v>
      </c>
      <c r="G91" s="1155">
        <v>0.73719999999999997</v>
      </c>
      <c r="H91" s="1155">
        <v>0.73719999999999997</v>
      </c>
      <c r="I91" s="1155">
        <v>0.55230000000000001</v>
      </c>
      <c r="J91" s="1155">
        <v>0.55230000000000001</v>
      </c>
      <c r="K91" s="1155">
        <v>0.55230000000000001</v>
      </c>
      <c r="L91" s="1155">
        <v>0.55230000000000001</v>
      </c>
      <c r="M91" s="1155">
        <v>0.55230000000000001</v>
      </c>
    </row>
    <row r="92" spans="1:13">
      <c r="A92" s="1156">
        <v>9</v>
      </c>
      <c r="B92" s="1155">
        <v>0.8498</v>
      </c>
      <c r="C92" s="1155">
        <v>0.8498</v>
      </c>
      <c r="D92" s="1155">
        <v>0.7359</v>
      </c>
      <c r="E92" s="1155">
        <v>0.7359</v>
      </c>
      <c r="F92" s="1155">
        <v>0.7359</v>
      </c>
      <c r="G92" s="1155">
        <v>0.7359</v>
      </c>
      <c r="H92" s="1155">
        <v>0.7359</v>
      </c>
      <c r="I92" s="1155">
        <v>0.55049999999999999</v>
      </c>
      <c r="J92" s="1155">
        <v>0.55049999999999999</v>
      </c>
      <c r="K92" s="1155">
        <v>0.55049999999999999</v>
      </c>
      <c r="L92" s="1155">
        <v>0.55049999999999999</v>
      </c>
      <c r="M92" s="1155">
        <v>0.55049999999999999</v>
      </c>
    </row>
    <row r="93" spans="1:13">
      <c r="A93" s="1156">
        <v>9.1</v>
      </c>
      <c r="B93" s="1155">
        <v>0.84870000000000001</v>
      </c>
      <c r="C93" s="1155">
        <v>0.84870000000000001</v>
      </c>
      <c r="D93" s="1155">
        <v>0.73470000000000002</v>
      </c>
      <c r="E93" s="1155">
        <v>0.73470000000000002</v>
      </c>
      <c r="F93" s="1155">
        <v>0.73470000000000002</v>
      </c>
      <c r="G93" s="1155">
        <v>0.73470000000000002</v>
      </c>
      <c r="H93" s="1155">
        <v>0.73470000000000002</v>
      </c>
      <c r="I93" s="1155">
        <v>0.54879999999999995</v>
      </c>
      <c r="J93" s="1155">
        <v>0.54879999999999995</v>
      </c>
      <c r="K93" s="1155">
        <v>0.54879999999999995</v>
      </c>
      <c r="L93" s="1155">
        <v>0.54879999999999995</v>
      </c>
      <c r="M93" s="1155">
        <v>0.54879999999999995</v>
      </c>
    </row>
    <row r="94" spans="1:13">
      <c r="A94" s="1156">
        <v>9.1999999999999993</v>
      </c>
      <c r="B94" s="1155">
        <v>0.84770000000000001</v>
      </c>
      <c r="C94" s="1155">
        <v>0.84770000000000001</v>
      </c>
      <c r="D94" s="1155">
        <v>0.73350000000000004</v>
      </c>
      <c r="E94" s="1155">
        <v>0.73350000000000004</v>
      </c>
      <c r="F94" s="1155">
        <v>0.73350000000000004</v>
      </c>
      <c r="G94" s="1155">
        <v>0.73350000000000004</v>
      </c>
      <c r="H94" s="1155">
        <v>0.73350000000000004</v>
      </c>
      <c r="I94" s="1155">
        <v>0.54710000000000003</v>
      </c>
      <c r="J94" s="1155">
        <v>0.54710000000000003</v>
      </c>
      <c r="K94" s="1155">
        <v>0.54710000000000003</v>
      </c>
      <c r="L94" s="1155">
        <v>0.54710000000000003</v>
      </c>
      <c r="M94" s="1155">
        <v>0.54710000000000003</v>
      </c>
    </row>
    <row r="95" spans="1:13">
      <c r="A95" s="1156">
        <v>9.3000000000000007</v>
      </c>
      <c r="B95" s="1155">
        <v>0.84660000000000002</v>
      </c>
      <c r="C95" s="1155">
        <v>0.84660000000000002</v>
      </c>
      <c r="D95" s="1155">
        <v>0.73229999999999995</v>
      </c>
      <c r="E95" s="1155">
        <v>0.73229999999999995</v>
      </c>
      <c r="F95" s="1155">
        <v>0.73229999999999995</v>
      </c>
      <c r="G95" s="1155">
        <v>0.73229999999999995</v>
      </c>
      <c r="H95" s="1155">
        <v>0.73229999999999995</v>
      </c>
      <c r="I95" s="1155">
        <v>0.5454</v>
      </c>
      <c r="J95" s="1155">
        <v>0.5454</v>
      </c>
      <c r="K95" s="1155">
        <v>0.5454</v>
      </c>
      <c r="L95" s="1155">
        <v>0.5454</v>
      </c>
      <c r="M95" s="1155">
        <v>0.5454</v>
      </c>
    </row>
    <row r="96" spans="1:13">
      <c r="A96" s="1156">
        <v>9.4</v>
      </c>
      <c r="B96" s="1155">
        <v>0.84550000000000003</v>
      </c>
      <c r="C96" s="1155">
        <v>0.84550000000000003</v>
      </c>
      <c r="D96" s="1155">
        <v>0.73109999999999997</v>
      </c>
      <c r="E96" s="1155">
        <v>0.73109999999999997</v>
      </c>
      <c r="F96" s="1155">
        <v>0.73109999999999997</v>
      </c>
      <c r="G96" s="1155">
        <v>0.73109999999999997</v>
      </c>
      <c r="H96" s="1155">
        <v>0.73109999999999997</v>
      </c>
      <c r="I96" s="1155">
        <v>0.54369999999999996</v>
      </c>
      <c r="J96" s="1155">
        <v>0.54369999999999996</v>
      </c>
      <c r="K96" s="1155">
        <v>0.54369999999999996</v>
      </c>
      <c r="L96" s="1155">
        <v>0.54369999999999996</v>
      </c>
      <c r="M96" s="1155">
        <v>0.54369999999999996</v>
      </c>
    </row>
    <row r="97" spans="1:14">
      <c r="A97" s="1156">
        <v>9.5</v>
      </c>
      <c r="B97" s="1155">
        <v>0.84450000000000003</v>
      </c>
      <c r="C97" s="1155">
        <v>0.84450000000000003</v>
      </c>
      <c r="D97" s="1155">
        <v>0.72989999999999999</v>
      </c>
      <c r="E97" s="1155">
        <v>0.72989999999999999</v>
      </c>
      <c r="F97" s="1155">
        <v>0.72989999999999999</v>
      </c>
      <c r="G97" s="1155">
        <v>0.72989999999999999</v>
      </c>
      <c r="H97" s="1155">
        <v>0.72989999999999999</v>
      </c>
      <c r="I97" s="1155">
        <v>0.54200000000000004</v>
      </c>
      <c r="J97" s="1155">
        <v>0.54200000000000004</v>
      </c>
      <c r="K97" s="1155">
        <v>0.54200000000000004</v>
      </c>
      <c r="L97" s="1155">
        <v>0.54200000000000004</v>
      </c>
      <c r="M97" s="1155">
        <v>0.54200000000000004</v>
      </c>
    </row>
    <row r="98" spans="1:14">
      <c r="A98" s="1156">
        <v>9.6</v>
      </c>
      <c r="B98" s="1155">
        <v>0.84340000000000004</v>
      </c>
      <c r="C98" s="1155">
        <v>0.84340000000000004</v>
      </c>
      <c r="D98" s="1155">
        <v>0.72870000000000001</v>
      </c>
      <c r="E98" s="1155">
        <v>0.72870000000000001</v>
      </c>
      <c r="F98" s="1155">
        <v>0.72870000000000001</v>
      </c>
      <c r="G98" s="1155">
        <v>0.72870000000000001</v>
      </c>
      <c r="H98" s="1155">
        <v>0.72870000000000001</v>
      </c>
      <c r="I98" s="1155">
        <v>0.5403</v>
      </c>
      <c r="J98" s="1155">
        <v>0.5403</v>
      </c>
      <c r="K98" s="1155">
        <v>0.5403</v>
      </c>
      <c r="L98" s="1155">
        <v>0.5403</v>
      </c>
      <c r="M98" s="1155">
        <v>0.5403</v>
      </c>
    </row>
    <row r="99" spans="1:14">
      <c r="A99" s="1156">
        <v>9.6999999999999993</v>
      </c>
      <c r="B99" s="1155">
        <v>0.84230000000000005</v>
      </c>
      <c r="C99" s="1155">
        <v>0.84230000000000005</v>
      </c>
      <c r="D99" s="1155">
        <v>0.72750000000000004</v>
      </c>
      <c r="E99" s="1155">
        <v>0.72750000000000004</v>
      </c>
      <c r="F99" s="1155">
        <v>0.72750000000000004</v>
      </c>
      <c r="G99" s="1155">
        <v>0.72750000000000004</v>
      </c>
      <c r="H99" s="1155">
        <v>0.72750000000000004</v>
      </c>
      <c r="I99" s="1155">
        <v>0.53859999999999997</v>
      </c>
      <c r="J99" s="1155">
        <v>0.53859999999999997</v>
      </c>
      <c r="K99" s="1155">
        <v>0.53859999999999997</v>
      </c>
      <c r="L99" s="1155">
        <v>0.53859999999999997</v>
      </c>
      <c r="M99" s="1155">
        <v>0.53859999999999997</v>
      </c>
    </row>
    <row r="100" spans="1:14">
      <c r="A100" s="1156">
        <v>9.8000000000000007</v>
      </c>
      <c r="B100" s="1155">
        <v>0.84140000000000004</v>
      </c>
      <c r="C100" s="1155">
        <v>0.84140000000000004</v>
      </c>
      <c r="D100" s="1155">
        <v>0.72629999999999995</v>
      </c>
      <c r="E100" s="1155">
        <v>0.72629999999999995</v>
      </c>
      <c r="F100" s="1155">
        <v>0.72629999999999995</v>
      </c>
      <c r="G100" s="1155">
        <v>0.72629999999999995</v>
      </c>
      <c r="H100" s="1155">
        <v>0.72629999999999995</v>
      </c>
      <c r="I100" s="1155">
        <v>0.53710000000000002</v>
      </c>
      <c r="J100" s="1155">
        <v>0.53710000000000002</v>
      </c>
      <c r="K100" s="1155">
        <v>0.53710000000000002</v>
      </c>
      <c r="L100" s="1155">
        <v>0.53710000000000002</v>
      </c>
      <c r="M100" s="1155">
        <v>0.53710000000000002</v>
      </c>
    </row>
    <row r="101" spans="1:14">
      <c r="A101" s="1156">
        <v>9.9</v>
      </c>
      <c r="B101" s="1155">
        <v>0.84050000000000002</v>
      </c>
      <c r="C101" s="1155">
        <v>0.84050000000000002</v>
      </c>
      <c r="D101" s="1155">
        <v>0.72519999999999996</v>
      </c>
      <c r="E101" s="1155">
        <v>0.72519999999999996</v>
      </c>
      <c r="F101" s="1155">
        <v>0.72519999999999996</v>
      </c>
      <c r="G101" s="1155">
        <v>0.72519999999999996</v>
      </c>
      <c r="H101" s="1155">
        <v>0.72519999999999996</v>
      </c>
      <c r="I101" s="1155">
        <v>0.53549999999999998</v>
      </c>
      <c r="J101" s="1155">
        <v>0.53549999999999998</v>
      </c>
      <c r="K101" s="1155">
        <v>0.53549999999999998</v>
      </c>
      <c r="L101" s="1155">
        <v>0.53549999999999998</v>
      </c>
      <c r="M101" s="1155">
        <v>0.53549999999999998</v>
      </c>
    </row>
    <row r="102" spans="1:14">
      <c r="A102" s="1156">
        <v>10</v>
      </c>
      <c r="B102" s="1155">
        <v>0.83950000000000002</v>
      </c>
      <c r="C102" s="1155">
        <v>0.83950000000000002</v>
      </c>
      <c r="D102" s="1155">
        <v>0.72409999999999997</v>
      </c>
      <c r="E102" s="1155">
        <v>0.72409999999999997</v>
      </c>
      <c r="F102" s="1155">
        <v>0.72409999999999997</v>
      </c>
      <c r="G102" s="1155">
        <v>0.72409999999999997</v>
      </c>
      <c r="H102" s="1155">
        <v>0.72409999999999997</v>
      </c>
      <c r="I102" s="1155">
        <v>0.53400000000000003</v>
      </c>
      <c r="J102" s="1155">
        <v>0.53400000000000003</v>
      </c>
      <c r="K102" s="1155">
        <v>0.53400000000000003</v>
      </c>
      <c r="L102" s="1155">
        <v>0.53400000000000003</v>
      </c>
      <c r="M102" s="1155">
        <v>0.53400000000000003</v>
      </c>
    </row>
    <row r="103" spans="1:14" ht="15.6">
      <c r="A103" s="1150" t="s">
        <v>2151</v>
      </c>
      <c r="B103" s="1151"/>
      <c r="C103" s="1151"/>
      <c r="D103" s="1151"/>
      <c r="E103" s="1151"/>
      <c r="F103" s="1151"/>
      <c r="G103" s="1151"/>
      <c r="H103" s="1151"/>
      <c r="I103" s="1151"/>
      <c r="J103" s="1151"/>
      <c r="K103" s="1151"/>
      <c r="L103" s="1151"/>
      <c r="M103" s="1151"/>
      <c r="N103" s="1151"/>
    </row>
    <row r="104" spans="1:14" ht="15.6">
      <c r="A104" s="1152" t="s">
        <v>105</v>
      </c>
      <c r="B104" s="1153" t="s">
        <v>242</v>
      </c>
      <c r="C104" s="1153" t="s">
        <v>255</v>
      </c>
      <c r="D104" s="1153" t="s">
        <v>267</v>
      </c>
      <c r="E104" s="1153" t="s">
        <v>277</v>
      </c>
      <c r="F104" s="1153" t="s">
        <v>286</v>
      </c>
      <c r="G104" s="1153" t="s">
        <v>294</v>
      </c>
      <c r="H104" s="1154" t="s">
        <v>299</v>
      </c>
      <c r="I104" s="1154" t="s">
        <v>304</v>
      </c>
      <c r="J104" s="1157" t="s">
        <v>307</v>
      </c>
      <c r="K104" s="1157" t="s">
        <v>310</v>
      </c>
      <c r="L104" s="1157" t="s">
        <v>313</v>
      </c>
      <c r="M104" s="1157" t="s">
        <v>316</v>
      </c>
      <c r="N104" s="1151">
        <f>SUMPRODUCT((A105:A204=ROUNDDOWN(基准地价!G3,1))*(B104:M104=基准地价!G2)*(B105:M204))</f>
        <v>0</v>
      </c>
    </row>
    <row r="105" spans="1:14">
      <c r="A105" s="1152">
        <v>0.1</v>
      </c>
      <c r="B105" s="1155">
        <v>13.733000000000001</v>
      </c>
      <c r="C105" s="1155">
        <v>13.733000000000001</v>
      </c>
      <c r="D105" s="1155">
        <v>12.787000000000001</v>
      </c>
      <c r="E105" s="1155">
        <v>12.787000000000001</v>
      </c>
      <c r="F105" s="1155">
        <v>12.787000000000001</v>
      </c>
      <c r="G105" s="1155">
        <v>12.787000000000001</v>
      </c>
      <c r="H105" s="1155">
        <v>12.787000000000001</v>
      </c>
      <c r="I105" s="1155">
        <v>12.384</v>
      </c>
      <c r="J105" s="1155">
        <v>12.384</v>
      </c>
      <c r="K105" s="1155">
        <v>12.384</v>
      </c>
      <c r="L105" s="1155">
        <v>12.384</v>
      </c>
      <c r="M105" s="1155">
        <v>12.384</v>
      </c>
    </row>
    <row r="106" spans="1:14">
      <c r="A106" s="1152">
        <v>0.2</v>
      </c>
      <c r="B106" s="1155">
        <v>6.8665000000000003</v>
      </c>
      <c r="C106" s="1155">
        <v>6.8665000000000003</v>
      </c>
      <c r="D106" s="1155">
        <v>6.3935000000000004</v>
      </c>
      <c r="E106" s="1155">
        <v>6.3935000000000004</v>
      </c>
      <c r="F106" s="1155">
        <v>6.3935000000000004</v>
      </c>
      <c r="G106" s="1155">
        <v>6.3935000000000004</v>
      </c>
      <c r="H106" s="1155">
        <v>6.3935000000000004</v>
      </c>
      <c r="I106" s="1155">
        <v>6.1920000000000002</v>
      </c>
      <c r="J106" s="1155">
        <v>6.1920000000000002</v>
      </c>
      <c r="K106" s="1155">
        <v>6.1920000000000002</v>
      </c>
      <c r="L106" s="1155">
        <v>6.1920000000000002</v>
      </c>
      <c r="M106" s="1155">
        <v>6.1920000000000002</v>
      </c>
    </row>
    <row r="107" spans="1:14">
      <c r="A107" s="1152">
        <v>0.3</v>
      </c>
      <c r="B107" s="1155">
        <v>4.5777000000000001</v>
      </c>
      <c r="C107" s="1155">
        <v>4.5777000000000001</v>
      </c>
      <c r="D107" s="1155">
        <v>4.2622999999999998</v>
      </c>
      <c r="E107" s="1155">
        <v>4.2622999999999998</v>
      </c>
      <c r="F107" s="1155">
        <v>4.2622999999999998</v>
      </c>
      <c r="G107" s="1155">
        <v>4.2622999999999998</v>
      </c>
      <c r="H107" s="1155">
        <v>4.2622999999999998</v>
      </c>
      <c r="I107" s="1155">
        <v>4.1280000000000001</v>
      </c>
      <c r="J107" s="1155">
        <v>4.1280000000000001</v>
      </c>
      <c r="K107" s="1155">
        <v>4.1280000000000001</v>
      </c>
      <c r="L107" s="1155">
        <v>4.1280000000000001</v>
      </c>
      <c r="M107" s="1155">
        <v>4.1280000000000001</v>
      </c>
    </row>
    <row r="108" spans="1:14">
      <c r="A108" s="1152">
        <v>0.4</v>
      </c>
      <c r="B108" s="1155">
        <v>3.4333</v>
      </c>
      <c r="C108" s="1155">
        <v>3.4333</v>
      </c>
      <c r="D108" s="1155">
        <v>3.1968000000000001</v>
      </c>
      <c r="E108" s="1155">
        <v>3.1968000000000001</v>
      </c>
      <c r="F108" s="1155">
        <v>3.1968000000000001</v>
      </c>
      <c r="G108" s="1155">
        <v>3.1968000000000001</v>
      </c>
      <c r="H108" s="1155">
        <v>3.1968000000000001</v>
      </c>
      <c r="I108" s="1155">
        <v>3.0960000000000001</v>
      </c>
      <c r="J108" s="1155">
        <v>3.0960000000000001</v>
      </c>
      <c r="K108" s="1155">
        <v>3.0960000000000001</v>
      </c>
      <c r="L108" s="1155">
        <v>3.0960000000000001</v>
      </c>
      <c r="M108" s="1155">
        <v>3.0960000000000001</v>
      </c>
    </row>
    <row r="109" spans="1:14">
      <c r="A109" s="1152">
        <v>0.5</v>
      </c>
      <c r="B109" s="1155">
        <v>2.7465999999999999</v>
      </c>
      <c r="C109" s="1155">
        <v>2.7465999999999999</v>
      </c>
      <c r="D109" s="1155">
        <v>2.5573999999999999</v>
      </c>
      <c r="E109" s="1155">
        <v>2.5573999999999999</v>
      </c>
      <c r="F109" s="1155">
        <v>2.5573999999999999</v>
      </c>
      <c r="G109" s="1155">
        <v>2.5573999999999999</v>
      </c>
      <c r="H109" s="1155">
        <v>2.5573999999999999</v>
      </c>
      <c r="I109" s="1155">
        <v>2.4767999999999999</v>
      </c>
      <c r="J109" s="1155">
        <v>2.4767999999999999</v>
      </c>
      <c r="K109" s="1155">
        <v>2.4767999999999999</v>
      </c>
      <c r="L109" s="1155">
        <v>2.4767999999999999</v>
      </c>
      <c r="M109" s="1155">
        <v>2.4767999999999999</v>
      </c>
    </row>
    <row r="110" spans="1:14">
      <c r="A110" s="1152">
        <v>0.6</v>
      </c>
      <c r="B110" s="1155">
        <v>2.2888000000000002</v>
      </c>
      <c r="C110" s="1155">
        <v>2.2888000000000002</v>
      </c>
      <c r="D110" s="1155">
        <v>2.1312000000000002</v>
      </c>
      <c r="E110" s="1155">
        <v>2.1312000000000002</v>
      </c>
      <c r="F110" s="1155">
        <v>2.1312000000000002</v>
      </c>
      <c r="G110" s="1155">
        <v>2.1312000000000002</v>
      </c>
      <c r="H110" s="1155">
        <v>2.1312000000000002</v>
      </c>
      <c r="I110" s="1155">
        <v>2.0640000000000001</v>
      </c>
      <c r="J110" s="1155">
        <v>2.0640000000000001</v>
      </c>
      <c r="K110" s="1155">
        <v>2.0640000000000001</v>
      </c>
      <c r="L110" s="1155">
        <v>2.0640000000000001</v>
      </c>
      <c r="M110" s="1155">
        <v>2.0640000000000001</v>
      </c>
    </row>
    <row r="111" spans="1:14">
      <c r="A111" s="1152">
        <v>0.7</v>
      </c>
      <c r="B111" s="1155">
        <v>1.9619</v>
      </c>
      <c r="C111" s="1155">
        <v>1.9619</v>
      </c>
      <c r="D111" s="1155">
        <v>1.8267</v>
      </c>
      <c r="E111" s="1155">
        <v>1.8267</v>
      </c>
      <c r="F111" s="1155">
        <v>1.8267</v>
      </c>
      <c r="G111" s="1155">
        <v>1.8267</v>
      </c>
      <c r="H111" s="1155">
        <v>1.8267</v>
      </c>
      <c r="I111" s="1155">
        <v>1.7690999999999999</v>
      </c>
      <c r="J111" s="1155">
        <v>1.7690999999999999</v>
      </c>
      <c r="K111" s="1155">
        <v>1.7690999999999999</v>
      </c>
      <c r="L111" s="1155">
        <v>1.7690999999999999</v>
      </c>
      <c r="M111" s="1155">
        <v>1.7690999999999999</v>
      </c>
    </row>
    <row r="112" spans="1:14">
      <c r="A112" s="1152">
        <v>0.8</v>
      </c>
      <c r="B112" s="1155">
        <v>1.7165999999999999</v>
      </c>
      <c r="C112" s="1155">
        <v>1.7165999999999999</v>
      </c>
      <c r="D112" s="1155">
        <v>1.5984</v>
      </c>
      <c r="E112" s="1155">
        <v>1.5984</v>
      </c>
      <c r="F112" s="1155">
        <v>1.5984</v>
      </c>
      <c r="G112" s="1155">
        <v>1.5984</v>
      </c>
      <c r="H112" s="1155">
        <v>1.5984</v>
      </c>
      <c r="I112" s="1155">
        <v>1.548</v>
      </c>
      <c r="J112" s="1155">
        <v>1.548</v>
      </c>
      <c r="K112" s="1155">
        <v>1.548</v>
      </c>
      <c r="L112" s="1155">
        <v>1.548</v>
      </c>
      <c r="M112" s="1155">
        <v>1.548</v>
      </c>
    </row>
    <row r="113" spans="1:13">
      <c r="A113" s="1152">
        <v>0.9</v>
      </c>
      <c r="B113" s="1155">
        <v>1.5259</v>
      </c>
      <c r="C113" s="1155">
        <v>1.5259</v>
      </c>
      <c r="D113" s="1155">
        <v>1.4208000000000001</v>
      </c>
      <c r="E113" s="1155">
        <v>1.4208000000000001</v>
      </c>
      <c r="F113" s="1155">
        <v>1.4208000000000001</v>
      </c>
      <c r="G113" s="1155">
        <v>1.4208000000000001</v>
      </c>
      <c r="H113" s="1155">
        <v>1.4208000000000001</v>
      </c>
      <c r="I113" s="1155">
        <v>1.3759999999999999</v>
      </c>
      <c r="J113" s="1155">
        <v>1.3759999999999999</v>
      </c>
      <c r="K113" s="1155">
        <v>1.3759999999999999</v>
      </c>
      <c r="L113" s="1155">
        <v>1.3759999999999999</v>
      </c>
      <c r="M113" s="1155">
        <v>1.3759999999999999</v>
      </c>
    </row>
    <row r="114" spans="1:13">
      <c r="A114" s="1152">
        <v>1</v>
      </c>
      <c r="B114" s="1155">
        <v>1.3733</v>
      </c>
      <c r="C114" s="1155">
        <v>1.3733</v>
      </c>
      <c r="D114" s="1155">
        <v>1.2786999999999999</v>
      </c>
      <c r="E114" s="1155">
        <v>1.2786999999999999</v>
      </c>
      <c r="F114" s="1155">
        <v>1.2786999999999999</v>
      </c>
      <c r="G114" s="1155">
        <v>1.2786999999999999</v>
      </c>
      <c r="H114" s="1155">
        <v>1.2786999999999999</v>
      </c>
      <c r="I114" s="1155">
        <v>1.2383999999999999</v>
      </c>
      <c r="J114" s="1155">
        <v>1.2383999999999999</v>
      </c>
      <c r="K114" s="1155">
        <v>1.2383999999999999</v>
      </c>
      <c r="L114" s="1155">
        <v>1.2383999999999999</v>
      </c>
      <c r="M114" s="1155">
        <v>1.2383999999999999</v>
      </c>
    </row>
    <row r="115" spans="1:13">
      <c r="A115" s="1152">
        <v>1.1000000000000001</v>
      </c>
      <c r="B115" s="1155">
        <v>1.3489</v>
      </c>
      <c r="C115" s="1155">
        <v>1.3489</v>
      </c>
      <c r="D115" s="1155">
        <v>1.2542</v>
      </c>
      <c r="E115" s="1155">
        <v>1.2542</v>
      </c>
      <c r="F115" s="1155">
        <v>1.2542</v>
      </c>
      <c r="G115" s="1155">
        <v>1.2542</v>
      </c>
      <c r="H115" s="1155">
        <v>1.2542</v>
      </c>
      <c r="I115" s="1155">
        <v>1.2050000000000001</v>
      </c>
      <c r="J115" s="1155">
        <v>1.2050000000000001</v>
      </c>
      <c r="K115" s="1155">
        <v>1.2050000000000001</v>
      </c>
      <c r="L115" s="1155">
        <v>1.2050000000000001</v>
      </c>
      <c r="M115" s="1155">
        <v>1.2050000000000001</v>
      </c>
    </row>
    <row r="116" spans="1:13">
      <c r="A116" s="1152">
        <v>1.2</v>
      </c>
      <c r="B116" s="1155">
        <v>1.3255999999999999</v>
      </c>
      <c r="C116" s="1155">
        <v>1.3255999999999999</v>
      </c>
      <c r="D116" s="1155">
        <v>1.2305999999999999</v>
      </c>
      <c r="E116" s="1155">
        <v>1.2305999999999999</v>
      </c>
      <c r="F116" s="1155">
        <v>1.2305999999999999</v>
      </c>
      <c r="G116" s="1155">
        <v>1.2305999999999999</v>
      </c>
      <c r="H116" s="1155">
        <v>1.2305999999999999</v>
      </c>
      <c r="I116" s="1155">
        <v>1.1741999999999999</v>
      </c>
      <c r="J116" s="1155">
        <v>1.1741999999999999</v>
      </c>
      <c r="K116" s="1155">
        <v>1.1741999999999999</v>
      </c>
      <c r="L116" s="1155">
        <v>1.1741999999999999</v>
      </c>
      <c r="M116" s="1155">
        <v>1.1741999999999999</v>
      </c>
    </row>
    <row r="117" spans="1:13">
      <c r="A117" s="1152">
        <v>1.3</v>
      </c>
      <c r="B117" s="1155">
        <v>1.3032999999999999</v>
      </c>
      <c r="C117" s="1155">
        <v>1.3032999999999999</v>
      </c>
      <c r="D117" s="1155">
        <v>1.2079</v>
      </c>
      <c r="E117" s="1155">
        <v>1.2079</v>
      </c>
      <c r="F117" s="1155">
        <v>1.2079</v>
      </c>
      <c r="G117" s="1155">
        <v>1.2079</v>
      </c>
      <c r="H117" s="1155">
        <v>1.2079</v>
      </c>
      <c r="I117" s="1155">
        <v>1.1459999999999999</v>
      </c>
      <c r="J117" s="1155">
        <v>1.1459999999999999</v>
      </c>
      <c r="K117" s="1155">
        <v>1.1459999999999999</v>
      </c>
      <c r="L117" s="1155">
        <v>1.1459999999999999</v>
      </c>
      <c r="M117" s="1155">
        <v>1.1459999999999999</v>
      </c>
    </row>
    <row r="118" spans="1:13">
      <c r="A118" s="1152">
        <v>1.4</v>
      </c>
      <c r="B118" s="1155">
        <v>1.282</v>
      </c>
      <c r="C118" s="1155">
        <v>1.282</v>
      </c>
      <c r="D118" s="1155">
        <v>1.1861999999999999</v>
      </c>
      <c r="E118" s="1155">
        <v>1.1861999999999999</v>
      </c>
      <c r="F118" s="1155">
        <v>1.1861999999999999</v>
      </c>
      <c r="G118" s="1155">
        <v>1.1861999999999999</v>
      </c>
      <c r="H118" s="1155">
        <v>1.1861999999999999</v>
      </c>
      <c r="I118" s="1155">
        <v>1.1200000000000001</v>
      </c>
      <c r="J118" s="1155">
        <v>1.1200000000000001</v>
      </c>
      <c r="K118" s="1155">
        <v>1.1200000000000001</v>
      </c>
      <c r="L118" s="1155">
        <v>1.1200000000000001</v>
      </c>
      <c r="M118" s="1155">
        <v>1.1200000000000001</v>
      </c>
    </row>
    <row r="119" spans="1:13">
      <c r="A119" s="1152">
        <v>1.5</v>
      </c>
      <c r="B119" s="1155">
        <v>1.2617</v>
      </c>
      <c r="C119" s="1155">
        <v>1.2617</v>
      </c>
      <c r="D119" s="1155">
        <v>1.1653</v>
      </c>
      <c r="E119" s="1155">
        <v>1.1653</v>
      </c>
      <c r="F119" s="1155">
        <v>1.1653</v>
      </c>
      <c r="G119" s="1155">
        <v>1.1653</v>
      </c>
      <c r="H119" s="1155">
        <v>1.1653</v>
      </c>
      <c r="I119" s="1155">
        <v>1.0961000000000001</v>
      </c>
      <c r="J119" s="1155">
        <v>1.0961000000000001</v>
      </c>
      <c r="K119" s="1155">
        <v>1.0961000000000001</v>
      </c>
      <c r="L119" s="1155">
        <v>1.0961000000000001</v>
      </c>
      <c r="M119" s="1155">
        <v>1.0961000000000001</v>
      </c>
    </row>
    <row r="120" spans="1:13">
      <c r="A120" s="1152">
        <v>1.6</v>
      </c>
      <c r="B120" s="1155">
        <v>1.2423</v>
      </c>
      <c r="C120" s="1155">
        <v>1.2423</v>
      </c>
      <c r="D120" s="1155">
        <v>1.1453</v>
      </c>
      <c r="E120" s="1155">
        <v>1.1453</v>
      </c>
      <c r="F120" s="1155">
        <v>1.1453</v>
      </c>
      <c r="G120" s="1155">
        <v>1.1453</v>
      </c>
      <c r="H120" s="1155">
        <v>1.1453</v>
      </c>
      <c r="I120" s="1155">
        <v>1.0740000000000001</v>
      </c>
      <c r="J120" s="1155">
        <v>1.0740000000000001</v>
      </c>
      <c r="K120" s="1155">
        <v>1.0740000000000001</v>
      </c>
      <c r="L120" s="1155">
        <v>1.0740000000000001</v>
      </c>
      <c r="M120" s="1155">
        <v>1.0740000000000001</v>
      </c>
    </row>
    <row r="121" spans="1:13">
      <c r="A121" s="1152">
        <v>1.7</v>
      </c>
      <c r="B121" s="1155">
        <v>1.2237</v>
      </c>
      <c r="C121" s="1155">
        <v>1.2237</v>
      </c>
      <c r="D121" s="1155">
        <v>1.1261000000000001</v>
      </c>
      <c r="E121" s="1155">
        <v>1.1261000000000001</v>
      </c>
      <c r="F121" s="1155">
        <v>1.1261000000000001</v>
      </c>
      <c r="G121" s="1155">
        <v>1.1261000000000001</v>
      </c>
      <c r="H121" s="1155">
        <v>1.1261000000000001</v>
      </c>
      <c r="I121" s="1155">
        <v>1.0535000000000001</v>
      </c>
      <c r="J121" s="1155">
        <v>1.0535000000000001</v>
      </c>
      <c r="K121" s="1155">
        <v>1.0535000000000001</v>
      </c>
      <c r="L121" s="1155">
        <v>1.0535000000000001</v>
      </c>
      <c r="M121" s="1155">
        <v>1.0535000000000001</v>
      </c>
    </row>
    <row r="122" spans="1:13">
      <c r="A122" s="1152">
        <v>1.8</v>
      </c>
      <c r="B122" s="1155">
        <v>1.206</v>
      </c>
      <c r="C122" s="1155">
        <v>1.206</v>
      </c>
      <c r="D122" s="1155">
        <v>1.1076999999999999</v>
      </c>
      <c r="E122" s="1155">
        <v>1.1076999999999999</v>
      </c>
      <c r="F122" s="1155">
        <v>1.1076999999999999</v>
      </c>
      <c r="G122" s="1155">
        <v>1.1076999999999999</v>
      </c>
      <c r="H122" s="1155">
        <v>1.1076999999999999</v>
      </c>
      <c r="I122" s="1155">
        <v>1.0345</v>
      </c>
      <c r="J122" s="1155">
        <v>1.0345</v>
      </c>
      <c r="K122" s="1155">
        <v>1.0345</v>
      </c>
      <c r="L122" s="1155">
        <v>1.0345</v>
      </c>
      <c r="M122" s="1155">
        <v>1.0345</v>
      </c>
    </row>
    <row r="123" spans="1:13">
      <c r="A123" s="1152">
        <v>1.9</v>
      </c>
      <c r="B123" s="1155">
        <v>1.1891</v>
      </c>
      <c r="C123" s="1155">
        <v>1.1891</v>
      </c>
      <c r="D123" s="1155">
        <v>1.0901000000000001</v>
      </c>
      <c r="E123" s="1155">
        <v>1.0901000000000001</v>
      </c>
      <c r="F123" s="1155">
        <v>1.0901000000000001</v>
      </c>
      <c r="G123" s="1155">
        <v>1.0901000000000001</v>
      </c>
      <c r="H123" s="1155">
        <v>1.0901000000000001</v>
      </c>
      <c r="I123" s="1155">
        <v>1.0166999999999999</v>
      </c>
      <c r="J123" s="1155">
        <v>1.0166999999999999</v>
      </c>
      <c r="K123" s="1155">
        <v>1.0166999999999999</v>
      </c>
      <c r="L123" s="1155">
        <v>1.0166999999999999</v>
      </c>
      <c r="M123" s="1155">
        <v>1.0166999999999999</v>
      </c>
    </row>
    <row r="124" spans="1:13">
      <c r="A124" s="1152">
        <v>2</v>
      </c>
      <c r="B124" s="1155">
        <v>1.1729000000000001</v>
      </c>
      <c r="C124" s="1155">
        <v>1.1729000000000001</v>
      </c>
      <c r="D124" s="1155">
        <v>1.0732999999999999</v>
      </c>
      <c r="E124" s="1155">
        <v>1.0732999999999999</v>
      </c>
      <c r="F124" s="1155">
        <v>1.0732999999999999</v>
      </c>
      <c r="G124" s="1155">
        <v>1.0732999999999999</v>
      </c>
      <c r="H124" s="1155">
        <v>1.0732999999999999</v>
      </c>
      <c r="I124" s="1155">
        <v>1</v>
      </c>
      <c r="J124" s="1155">
        <v>1</v>
      </c>
      <c r="K124" s="1155">
        <v>1</v>
      </c>
      <c r="L124" s="1155">
        <v>1</v>
      </c>
      <c r="M124" s="1155">
        <v>1</v>
      </c>
    </row>
    <row r="125" spans="1:13">
      <c r="A125" s="1156">
        <v>2.1</v>
      </c>
      <c r="B125" s="1155">
        <v>1.1574</v>
      </c>
      <c r="C125" s="1155">
        <v>1.1574</v>
      </c>
      <c r="D125" s="1155">
        <v>1.0571999999999999</v>
      </c>
      <c r="E125" s="1155">
        <v>1.0571999999999999</v>
      </c>
      <c r="F125" s="1155">
        <v>1.0571999999999999</v>
      </c>
      <c r="G125" s="1155">
        <v>1.0571999999999999</v>
      </c>
      <c r="H125" s="1155">
        <v>1.0571999999999999</v>
      </c>
      <c r="I125" s="1155">
        <v>0.98409999999999997</v>
      </c>
      <c r="J125" s="1155">
        <v>0.98409999999999997</v>
      </c>
      <c r="K125" s="1155">
        <v>0.98409999999999997</v>
      </c>
      <c r="L125" s="1155">
        <v>0.98409999999999997</v>
      </c>
      <c r="M125" s="1155">
        <v>0.98409999999999997</v>
      </c>
    </row>
    <row r="126" spans="1:13">
      <c r="A126" s="1156">
        <v>2.2000000000000002</v>
      </c>
      <c r="B126" s="1155">
        <v>1.1426000000000001</v>
      </c>
      <c r="C126" s="1155">
        <v>1.1426000000000001</v>
      </c>
      <c r="D126" s="1155">
        <v>1.0419</v>
      </c>
      <c r="E126" s="1155">
        <v>1.0419</v>
      </c>
      <c r="F126" s="1155">
        <v>1.0419</v>
      </c>
      <c r="G126" s="1155">
        <v>1.0419</v>
      </c>
      <c r="H126" s="1155">
        <v>1.0419</v>
      </c>
      <c r="I126" s="1155">
        <v>0.96889999999999998</v>
      </c>
      <c r="J126" s="1155">
        <v>0.96889999999999998</v>
      </c>
      <c r="K126" s="1155">
        <v>0.96889999999999998</v>
      </c>
      <c r="L126" s="1155">
        <v>0.96889999999999998</v>
      </c>
      <c r="M126" s="1155">
        <v>0.96889999999999998</v>
      </c>
    </row>
    <row r="127" spans="1:13">
      <c r="A127" s="1156">
        <v>2.2999999999999998</v>
      </c>
      <c r="B127" s="1155">
        <v>1.1285000000000001</v>
      </c>
      <c r="C127" s="1155">
        <v>1.1285000000000001</v>
      </c>
      <c r="D127" s="1155">
        <v>1.0271999999999999</v>
      </c>
      <c r="E127" s="1155">
        <v>1.0271999999999999</v>
      </c>
      <c r="F127" s="1155">
        <v>1.0271999999999999</v>
      </c>
      <c r="G127" s="1155">
        <v>1.0271999999999999</v>
      </c>
      <c r="H127" s="1155">
        <v>1.0271999999999999</v>
      </c>
      <c r="I127" s="1155">
        <v>0.95440000000000003</v>
      </c>
      <c r="J127" s="1155">
        <v>0.95440000000000003</v>
      </c>
      <c r="K127" s="1155">
        <v>0.95440000000000003</v>
      </c>
      <c r="L127" s="1155">
        <v>0.95440000000000003</v>
      </c>
      <c r="M127" s="1155">
        <v>0.95440000000000003</v>
      </c>
    </row>
    <row r="128" spans="1:13">
      <c r="A128" s="1156">
        <v>2.4</v>
      </c>
      <c r="B128" s="1155">
        <v>1.1149</v>
      </c>
      <c r="C128" s="1155">
        <v>1.1149</v>
      </c>
      <c r="D128" s="1155">
        <v>1.0133000000000001</v>
      </c>
      <c r="E128" s="1155">
        <v>1.0133000000000001</v>
      </c>
      <c r="F128" s="1155">
        <v>1.0133000000000001</v>
      </c>
      <c r="G128" s="1155">
        <v>1.0133000000000001</v>
      </c>
      <c r="H128" s="1155">
        <v>1.0133000000000001</v>
      </c>
      <c r="I128" s="1155">
        <v>0.9405</v>
      </c>
      <c r="J128" s="1155">
        <v>0.9405</v>
      </c>
      <c r="K128" s="1155">
        <v>0.9405</v>
      </c>
      <c r="L128" s="1155">
        <v>0.9405</v>
      </c>
      <c r="M128" s="1155">
        <v>0.9405</v>
      </c>
    </row>
    <row r="129" spans="1:13">
      <c r="A129" s="1156">
        <v>2.5</v>
      </c>
      <c r="B129" s="1155">
        <v>1.1020000000000001</v>
      </c>
      <c r="C129" s="1155">
        <v>1.1020000000000001</v>
      </c>
      <c r="D129" s="1155">
        <v>1</v>
      </c>
      <c r="E129" s="1155">
        <v>1</v>
      </c>
      <c r="F129" s="1155">
        <v>1</v>
      </c>
      <c r="G129" s="1155">
        <v>1</v>
      </c>
      <c r="H129" s="1155">
        <v>1</v>
      </c>
      <c r="I129" s="1155">
        <v>0.92730000000000001</v>
      </c>
      <c r="J129" s="1155">
        <v>0.92730000000000001</v>
      </c>
      <c r="K129" s="1155">
        <v>0.92730000000000001</v>
      </c>
      <c r="L129" s="1155">
        <v>0.92730000000000001</v>
      </c>
      <c r="M129" s="1155">
        <v>0.92730000000000001</v>
      </c>
    </row>
    <row r="130" spans="1:13">
      <c r="A130" s="1156">
        <v>2.6</v>
      </c>
      <c r="B130" s="1155">
        <v>1.0895999999999999</v>
      </c>
      <c r="C130" s="1155">
        <v>1.0895999999999999</v>
      </c>
      <c r="D130" s="1155">
        <v>0.98740000000000006</v>
      </c>
      <c r="E130" s="1155">
        <v>0.98740000000000006</v>
      </c>
      <c r="F130" s="1155">
        <v>0.98740000000000006</v>
      </c>
      <c r="G130" s="1155">
        <v>0.98740000000000006</v>
      </c>
      <c r="H130" s="1155">
        <v>0.98740000000000006</v>
      </c>
      <c r="I130" s="1155">
        <v>0.91469999999999996</v>
      </c>
      <c r="J130" s="1155">
        <v>0.91469999999999996</v>
      </c>
      <c r="K130" s="1155">
        <v>0.91469999999999996</v>
      </c>
      <c r="L130" s="1155">
        <v>0.91469999999999996</v>
      </c>
      <c r="M130" s="1155">
        <v>0.91469999999999996</v>
      </c>
    </row>
    <row r="131" spans="1:13">
      <c r="A131" s="1156">
        <v>2.7</v>
      </c>
      <c r="B131" s="1155">
        <v>1.0778000000000001</v>
      </c>
      <c r="C131" s="1155">
        <v>1.0778000000000001</v>
      </c>
      <c r="D131" s="1155">
        <v>0.97540000000000004</v>
      </c>
      <c r="E131" s="1155">
        <v>0.97540000000000004</v>
      </c>
      <c r="F131" s="1155">
        <v>0.97540000000000004</v>
      </c>
      <c r="G131" s="1155">
        <v>0.97540000000000004</v>
      </c>
      <c r="H131" s="1155">
        <v>0.97540000000000004</v>
      </c>
      <c r="I131" s="1155">
        <v>0.90269999999999995</v>
      </c>
      <c r="J131" s="1155">
        <v>0.90269999999999995</v>
      </c>
      <c r="K131" s="1155">
        <v>0.90269999999999995</v>
      </c>
      <c r="L131" s="1155">
        <v>0.90269999999999995</v>
      </c>
      <c r="M131" s="1155">
        <v>0.90269999999999995</v>
      </c>
    </row>
    <row r="132" spans="1:13">
      <c r="A132" s="1156">
        <v>2.8</v>
      </c>
      <c r="B132" s="1155">
        <v>1.0665</v>
      </c>
      <c r="C132" s="1155">
        <v>1.0665</v>
      </c>
      <c r="D132" s="1155">
        <v>0.96399999999999997</v>
      </c>
      <c r="E132" s="1155">
        <v>0.96399999999999997</v>
      </c>
      <c r="F132" s="1155">
        <v>0.96399999999999997</v>
      </c>
      <c r="G132" s="1155">
        <v>0.96399999999999997</v>
      </c>
      <c r="H132" s="1155">
        <v>0.96399999999999997</v>
      </c>
      <c r="I132" s="1155">
        <v>0.89119999999999999</v>
      </c>
      <c r="J132" s="1155">
        <v>0.89119999999999999</v>
      </c>
      <c r="K132" s="1155">
        <v>0.89119999999999999</v>
      </c>
      <c r="L132" s="1155">
        <v>0.89119999999999999</v>
      </c>
      <c r="M132" s="1155">
        <v>0.89119999999999999</v>
      </c>
    </row>
    <row r="133" spans="1:13">
      <c r="A133" s="1156">
        <v>2.9</v>
      </c>
      <c r="B133" s="1155">
        <v>1.0556000000000001</v>
      </c>
      <c r="C133" s="1155">
        <v>1.0556000000000001</v>
      </c>
      <c r="D133" s="1155">
        <v>0.95330000000000004</v>
      </c>
      <c r="E133" s="1155">
        <v>0.95330000000000004</v>
      </c>
      <c r="F133" s="1155">
        <v>0.95330000000000004</v>
      </c>
      <c r="G133" s="1155">
        <v>0.95330000000000004</v>
      </c>
      <c r="H133" s="1155">
        <v>0.95330000000000004</v>
      </c>
      <c r="I133" s="1155">
        <v>0.88019999999999998</v>
      </c>
      <c r="J133" s="1155">
        <v>0.88019999999999998</v>
      </c>
      <c r="K133" s="1155">
        <v>0.88019999999999998</v>
      </c>
      <c r="L133" s="1155">
        <v>0.88019999999999998</v>
      </c>
      <c r="M133" s="1155">
        <v>0.88019999999999998</v>
      </c>
    </row>
    <row r="134" spans="1:13">
      <c r="A134" s="1156">
        <v>3</v>
      </c>
      <c r="B134" s="1155">
        <v>1.0452999999999999</v>
      </c>
      <c r="C134" s="1155">
        <v>1.0452999999999999</v>
      </c>
      <c r="D134" s="1155">
        <v>0.94299999999999995</v>
      </c>
      <c r="E134" s="1155">
        <v>0.94299999999999995</v>
      </c>
      <c r="F134" s="1155">
        <v>0.94299999999999995</v>
      </c>
      <c r="G134" s="1155">
        <v>0.94299999999999995</v>
      </c>
      <c r="H134" s="1155">
        <v>0.94299999999999995</v>
      </c>
      <c r="I134" s="1155">
        <v>0.86970000000000003</v>
      </c>
      <c r="J134" s="1155">
        <v>0.86970000000000003</v>
      </c>
      <c r="K134" s="1155">
        <v>0.86970000000000003</v>
      </c>
      <c r="L134" s="1155">
        <v>0.86970000000000003</v>
      </c>
      <c r="M134" s="1155">
        <v>0.86970000000000003</v>
      </c>
    </row>
    <row r="135" spans="1:13">
      <c r="A135" s="1156">
        <v>3.1</v>
      </c>
      <c r="B135" s="1155">
        <v>1.0354000000000001</v>
      </c>
      <c r="C135" s="1155">
        <v>1.0354000000000001</v>
      </c>
      <c r="D135" s="1155">
        <v>0.93330000000000002</v>
      </c>
      <c r="E135" s="1155">
        <v>0.93330000000000002</v>
      </c>
      <c r="F135" s="1155">
        <v>0.93330000000000002</v>
      </c>
      <c r="G135" s="1155">
        <v>0.93330000000000002</v>
      </c>
      <c r="H135" s="1155">
        <v>0.93330000000000002</v>
      </c>
      <c r="I135" s="1155">
        <v>0.85970000000000002</v>
      </c>
      <c r="J135" s="1155">
        <v>0.85970000000000002</v>
      </c>
      <c r="K135" s="1155">
        <v>0.85970000000000002</v>
      </c>
      <c r="L135" s="1155">
        <v>0.85970000000000002</v>
      </c>
      <c r="M135" s="1155">
        <v>0.85970000000000002</v>
      </c>
    </row>
    <row r="136" spans="1:13">
      <c r="A136" s="1156">
        <v>3.2</v>
      </c>
      <c r="B136" s="1155">
        <v>1.0259</v>
      </c>
      <c r="C136" s="1155">
        <v>1.0259</v>
      </c>
      <c r="D136" s="1155">
        <v>0.92410000000000003</v>
      </c>
      <c r="E136" s="1155">
        <v>0.92410000000000003</v>
      </c>
      <c r="F136" s="1155">
        <v>0.92410000000000003</v>
      </c>
      <c r="G136" s="1155">
        <v>0.92410000000000003</v>
      </c>
      <c r="H136" s="1155">
        <v>0.92410000000000003</v>
      </c>
      <c r="I136" s="1155">
        <v>0.85019999999999996</v>
      </c>
      <c r="J136" s="1155">
        <v>0.85019999999999996</v>
      </c>
      <c r="K136" s="1155">
        <v>0.85019999999999996</v>
      </c>
      <c r="L136" s="1155">
        <v>0.85019999999999996</v>
      </c>
      <c r="M136" s="1155">
        <v>0.85019999999999996</v>
      </c>
    </row>
    <row r="137" spans="1:13">
      <c r="A137" s="1156">
        <v>3.3</v>
      </c>
      <c r="B137" s="1155">
        <v>1.0168999999999999</v>
      </c>
      <c r="C137" s="1155">
        <v>1.0168999999999999</v>
      </c>
      <c r="D137" s="1155">
        <v>0.91539999999999999</v>
      </c>
      <c r="E137" s="1155">
        <v>0.91539999999999999</v>
      </c>
      <c r="F137" s="1155">
        <v>0.91539999999999999</v>
      </c>
      <c r="G137" s="1155">
        <v>0.91539999999999999</v>
      </c>
      <c r="H137" s="1155">
        <v>0.91539999999999999</v>
      </c>
      <c r="I137" s="1155">
        <v>0.84109999999999996</v>
      </c>
      <c r="J137" s="1155">
        <v>0.84109999999999996</v>
      </c>
      <c r="K137" s="1155">
        <v>0.84109999999999996</v>
      </c>
      <c r="L137" s="1155">
        <v>0.84109999999999996</v>
      </c>
      <c r="M137" s="1155">
        <v>0.84109999999999996</v>
      </c>
    </row>
    <row r="138" spans="1:13">
      <c r="A138" s="1156">
        <v>3.4</v>
      </c>
      <c r="B138" s="1155">
        <v>1.0082</v>
      </c>
      <c r="C138" s="1155">
        <v>1.0082</v>
      </c>
      <c r="D138" s="1155">
        <v>0.90710000000000002</v>
      </c>
      <c r="E138" s="1155">
        <v>0.90710000000000002</v>
      </c>
      <c r="F138" s="1155">
        <v>0.90710000000000002</v>
      </c>
      <c r="G138" s="1155">
        <v>0.90710000000000002</v>
      </c>
      <c r="H138" s="1155">
        <v>0.90710000000000002</v>
      </c>
      <c r="I138" s="1155">
        <v>0.83240000000000003</v>
      </c>
      <c r="J138" s="1155">
        <v>0.83240000000000003</v>
      </c>
      <c r="K138" s="1155">
        <v>0.83240000000000003</v>
      </c>
      <c r="L138" s="1155">
        <v>0.83240000000000003</v>
      </c>
      <c r="M138" s="1155">
        <v>0.83240000000000003</v>
      </c>
    </row>
    <row r="139" spans="1:13">
      <c r="A139" s="1156">
        <v>3.5</v>
      </c>
      <c r="B139" s="1155">
        <v>1</v>
      </c>
      <c r="C139" s="1155">
        <v>1</v>
      </c>
      <c r="D139" s="1155">
        <v>0.89929999999999999</v>
      </c>
      <c r="E139" s="1155">
        <v>0.89929999999999999</v>
      </c>
      <c r="F139" s="1155">
        <v>0.89929999999999999</v>
      </c>
      <c r="G139" s="1155">
        <v>0.89929999999999999</v>
      </c>
      <c r="H139" s="1155">
        <v>0.89929999999999999</v>
      </c>
      <c r="I139" s="1155">
        <v>0.82410000000000005</v>
      </c>
      <c r="J139" s="1155">
        <v>0.82410000000000005</v>
      </c>
      <c r="K139" s="1155">
        <v>0.82410000000000005</v>
      </c>
      <c r="L139" s="1155">
        <v>0.82410000000000005</v>
      </c>
      <c r="M139" s="1155">
        <v>0.82410000000000005</v>
      </c>
    </row>
    <row r="140" spans="1:13">
      <c r="A140" s="1156">
        <v>3.6</v>
      </c>
      <c r="B140" s="1155">
        <v>0.99219999999999997</v>
      </c>
      <c r="C140" s="1155">
        <v>0.99219999999999997</v>
      </c>
      <c r="D140" s="1155">
        <v>0.89190000000000003</v>
      </c>
      <c r="E140" s="1155">
        <v>0.89190000000000003</v>
      </c>
      <c r="F140" s="1155">
        <v>0.89190000000000003</v>
      </c>
      <c r="G140" s="1155">
        <v>0.89190000000000003</v>
      </c>
      <c r="H140" s="1155">
        <v>0.89190000000000003</v>
      </c>
      <c r="I140" s="1155">
        <v>0.81620000000000004</v>
      </c>
      <c r="J140" s="1155">
        <v>0.81620000000000004</v>
      </c>
      <c r="K140" s="1155">
        <v>0.81620000000000004</v>
      </c>
      <c r="L140" s="1155">
        <v>0.81620000000000004</v>
      </c>
      <c r="M140" s="1155">
        <v>0.81620000000000004</v>
      </c>
    </row>
    <row r="141" spans="1:13">
      <c r="A141" s="1156">
        <v>3.7</v>
      </c>
      <c r="B141" s="1155">
        <v>0.98480000000000001</v>
      </c>
      <c r="C141" s="1155">
        <v>0.98480000000000001</v>
      </c>
      <c r="D141" s="1155">
        <v>0.88480000000000003</v>
      </c>
      <c r="E141" s="1155">
        <v>0.88480000000000003</v>
      </c>
      <c r="F141" s="1155">
        <v>0.88480000000000003</v>
      </c>
      <c r="G141" s="1155">
        <v>0.88480000000000003</v>
      </c>
      <c r="H141" s="1155">
        <v>0.88480000000000003</v>
      </c>
      <c r="I141" s="1155">
        <v>0.80869999999999997</v>
      </c>
      <c r="J141" s="1155">
        <v>0.80869999999999997</v>
      </c>
      <c r="K141" s="1155">
        <v>0.80869999999999997</v>
      </c>
      <c r="L141" s="1155">
        <v>0.80869999999999997</v>
      </c>
      <c r="M141" s="1155">
        <v>0.80869999999999997</v>
      </c>
    </row>
    <row r="142" spans="1:13">
      <c r="A142" s="1156">
        <v>3.8</v>
      </c>
      <c r="B142" s="1155">
        <v>0.9778</v>
      </c>
      <c r="C142" s="1155">
        <v>0.9778</v>
      </c>
      <c r="D142" s="1155">
        <v>0.87809999999999999</v>
      </c>
      <c r="E142" s="1155">
        <v>0.87809999999999999</v>
      </c>
      <c r="F142" s="1155">
        <v>0.87809999999999999</v>
      </c>
      <c r="G142" s="1155">
        <v>0.87809999999999999</v>
      </c>
      <c r="H142" s="1155">
        <v>0.87809999999999999</v>
      </c>
      <c r="I142" s="1155">
        <v>0.80159999999999998</v>
      </c>
      <c r="J142" s="1155">
        <v>0.80159999999999998</v>
      </c>
      <c r="K142" s="1155">
        <v>0.80159999999999998</v>
      </c>
      <c r="L142" s="1155">
        <v>0.80159999999999998</v>
      </c>
      <c r="M142" s="1155">
        <v>0.80159999999999998</v>
      </c>
    </row>
    <row r="143" spans="1:13">
      <c r="A143" s="1156">
        <v>3.9</v>
      </c>
      <c r="B143" s="1155">
        <v>0.97119999999999995</v>
      </c>
      <c r="C143" s="1155">
        <v>0.97119999999999995</v>
      </c>
      <c r="D143" s="1155">
        <v>0.87180000000000002</v>
      </c>
      <c r="E143" s="1155">
        <v>0.87180000000000002</v>
      </c>
      <c r="F143" s="1155">
        <v>0.87180000000000002</v>
      </c>
      <c r="G143" s="1155">
        <v>0.87180000000000002</v>
      </c>
      <c r="H143" s="1155">
        <v>0.87180000000000002</v>
      </c>
      <c r="I143" s="1155">
        <v>0.79479999999999995</v>
      </c>
      <c r="J143" s="1155">
        <v>0.79479999999999995</v>
      </c>
      <c r="K143" s="1155">
        <v>0.79479999999999995</v>
      </c>
      <c r="L143" s="1155">
        <v>0.79479999999999995</v>
      </c>
      <c r="M143" s="1155">
        <v>0.79479999999999995</v>
      </c>
    </row>
    <row r="144" spans="1:13">
      <c r="A144" s="1156">
        <v>4</v>
      </c>
      <c r="B144" s="1155">
        <v>0.96499999999999997</v>
      </c>
      <c r="C144" s="1155">
        <v>0.96499999999999997</v>
      </c>
      <c r="D144" s="1155">
        <v>0.86580000000000001</v>
      </c>
      <c r="E144" s="1155">
        <v>0.86580000000000001</v>
      </c>
      <c r="F144" s="1155">
        <v>0.86580000000000001</v>
      </c>
      <c r="G144" s="1155">
        <v>0.86580000000000001</v>
      </c>
      <c r="H144" s="1155">
        <v>0.86580000000000001</v>
      </c>
      <c r="I144" s="1155">
        <v>0.7883</v>
      </c>
      <c r="J144" s="1155">
        <v>0.7883</v>
      </c>
      <c r="K144" s="1155">
        <v>0.7883</v>
      </c>
      <c r="L144" s="1155">
        <v>0.7883</v>
      </c>
      <c r="M144" s="1155">
        <v>0.7883</v>
      </c>
    </row>
    <row r="145" spans="1:13">
      <c r="A145" s="1156">
        <v>4.0999999999999996</v>
      </c>
      <c r="B145" s="1155">
        <v>0.95909999999999995</v>
      </c>
      <c r="C145" s="1155">
        <v>0.95909999999999995</v>
      </c>
      <c r="D145" s="1155">
        <v>0.86009999999999998</v>
      </c>
      <c r="E145" s="1155">
        <v>0.86009999999999998</v>
      </c>
      <c r="F145" s="1155">
        <v>0.86009999999999998</v>
      </c>
      <c r="G145" s="1155">
        <v>0.86009999999999998</v>
      </c>
      <c r="H145" s="1155">
        <v>0.86009999999999998</v>
      </c>
      <c r="I145" s="1155">
        <v>0.78200000000000003</v>
      </c>
      <c r="J145" s="1155">
        <v>0.78200000000000003</v>
      </c>
      <c r="K145" s="1155">
        <v>0.78200000000000003</v>
      </c>
      <c r="L145" s="1155">
        <v>0.78200000000000003</v>
      </c>
      <c r="M145" s="1155">
        <v>0.78200000000000003</v>
      </c>
    </row>
    <row r="146" spans="1:13">
      <c r="A146" s="1156">
        <v>4.2</v>
      </c>
      <c r="B146" s="1155">
        <v>0.95350000000000001</v>
      </c>
      <c r="C146" s="1155">
        <v>0.95350000000000001</v>
      </c>
      <c r="D146" s="1155">
        <v>0.85470000000000002</v>
      </c>
      <c r="E146" s="1155">
        <v>0.85470000000000002</v>
      </c>
      <c r="F146" s="1155">
        <v>0.85470000000000002</v>
      </c>
      <c r="G146" s="1155">
        <v>0.85470000000000002</v>
      </c>
      <c r="H146" s="1155">
        <v>0.85470000000000002</v>
      </c>
      <c r="I146" s="1155">
        <v>0.77600000000000002</v>
      </c>
      <c r="J146" s="1155">
        <v>0.77600000000000002</v>
      </c>
      <c r="K146" s="1155">
        <v>0.77600000000000002</v>
      </c>
      <c r="L146" s="1155">
        <v>0.77600000000000002</v>
      </c>
      <c r="M146" s="1155">
        <v>0.77600000000000002</v>
      </c>
    </row>
    <row r="147" spans="1:13">
      <c r="A147" s="1156">
        <v>4.3</v>
      </c>
      <c r="B147" s="1155">
        <v>0.94820000000000004</v>
      </c>
      <c r="C147" s="1155">
        <v>0.94820000000000004</v>
      </c>
      <c r="D147" s="1155">
        <v>0.84960000000000002</v>
      </c>
      <c r="E147" s="1155">
        <v>0.84960000000000002</v>
      </c>
      <c r="F147" s="1155">
        <v>0.84960000000000002</v>
      </c>
      <c r="G147" s="1155">
        <v>0.84960000000000002</v>
      </c>
      <c r="H147" s="1155">
        <v>0.84960000000000002</v>
      </c>
      <c r="I147" s="1155">
        <v>0.77029999999999998</v>
      </c>
      <c r="J147" s="1155">
        <v>0.77029999999999998</v>
      </c>
      <c r="K147" s="1155">
        <v>0.77029999999999998</v>
      </c>
      <c r="L147" s="1155">
        <v>0.77029999999999998</v>
      </c>
      <c r="M147" s="1155">
        <v>0.77029999999999998</v>
      </c>
    </row>
    <row r="148" spans="1:13">
      <c r="A148" s="1156">
        <v>4.4000000000000004</v>
      </c>
      <c r="B148" s="1155">
        <v>0.94320000000000004</v>
      </c>
      <c r="C148" s="1155">
        <v>0.94320000000000004</v>
      </c>
      <c r="D148" s="1155">
        <v>0.8448</v>
      </c>
      <c r="E148" s="1155">
        <v>0.8448</v>
      </c>
      <c r="F148" s="1155">
        <v>0.8448</v>
      </c>
      <c r="G148" s="1155">
        <v>0.8448</v>
      </c>
      <c r="H148" s="1155">
        <v>0.8448</v>
      </c>
      <c r="I148" s="1155">
        <v>0.76490000000000002</v>
      </c>
      <c r="J148" s="1155">
        <v>0.76490000000000002</v>
      </c>
      <c r="K148" s="1155">
        <v>0.76490000000000002</v>
      </c>
      <c r="L148" s="1155">
        <v>0.76490000000000002</v>
      </c>
      <c r="M148" s="1155">
        <v>0.76490000000000002</v>
      </c>
    </row>
    <row r="149" spans="1:13">
      <c r="A149" s="1156">
        <v>4.5</v>
      </c>
      <c r="B149" s="1155">
        <v>0.9385</v>
      </c>
      <c r="C149" s="1155">
        <v>0.9385</v>
      </c>
      <c r="D149" s="1155">
        <v>0.84019999999999995</v>
      </c>
      <c r="E149" s="1155">
        <v>0.84019999999999995</v>
      </c>
      <c r="F149" s="1155">
        <v>0.84019999999999995</v>
      </c>
      <c r="G149" s="1155">
        <v>0.84019999999999995</v>
      </c>
      <c r="H149" s="1155">
        <v>0.84019999999999995</v>
      </c>
      <c r="I149" s="1155">
        <v>0.75970000000000004</v>
      </c>
      <c r="J149" s="1155">
        <v>0.75970000000000004</v>
      </c>
      <c r="K149" s="1155">
        <v>0.75970000000000004</v>
      </c>
      <c r="L149" s="1155">
        <v>0.75970000000000004</v>
      </c>
      <c r="M149" s="1155">
        <v>0.75970000000000004</v>
      </c>
    </row>
    <row r="150" spans="1:13">
      <c r="A150" s="1156">
        <v>4.5999999999999996</v>
      </c>
      <c r="B150" s="1155">
        <v>0.93410000000000004</v>
      </c>
      <c r="C150" s="1155">
        <v>0.93410000000000004</v>
      </c>
      <c r="D150" s="1155">
        <v>0.83579999999999999</v>
      </c>
      <c r="E150" s="1155">
        <v>0.83579999999999999</v>
      </c>
      <c r="F150" s="1155">
        <v>0.83579999999999999</v>
      </c>
      <c r="G150" s="1155">
        <v>0.83579999999999999</v>
      </c>
      <c r="H150" s="1155">
        <v>0.83579999999999999</v>
      </c>
      <c r="I150" s="1155">
        <v>0.75470000000000004</v>
      </c>
      <c r="J150" s="1155">
        <v>0.75470000000000004</v>
      </c>
      <c r="K150" s="1155">
        <v>0.75470000000000004</v>
      </c>
      <c r="L150" s="1155">
        <v>0.75470000000000004</v>
      </c>
      <c r="M150" s="1155">
        <v>0.75470000000000004</v>
      </c>
    </row>
    <row r="151" spans="1:13">
      <c r="A151" s="1156">
        <v>4.7</v>
      </c>
      <c r="B151" s="1155">
        <v>0.92989999999999995</v>
      </c>
      <c r="C151" s="1155">
        <v>0.92989999999999995</v>
      </c>
      <c r="D151" s="1155">
        <v>0.83160000000000001</v>
      </c>
      <c r="E151" s="1155">
        <v>0.83160000000000001</v>
      </c>
      <c r="F151" s="1155">
        <v>0.83160000000000001</v>
      </c>
      <c r="G151" s="1155">
        <v>0.83160000000000001</v>
      </c>
      <c r="H151" s="1155">
        <v>0.83160000000000001</v>
      </c>
      <c r="I151" s="1155">
        <v>0.74990000000000001</v>
      </c>
      <c r="J151" s="1155">
        <v>0.74990000000000001</v>
      </c>
      <c r="K151" s="1155">
        <v>0.74990000000000001</v>
      </c>
      <c r="L151" s="1155">
        <v>0.74990000000000001</v>
      </c>
      <c r="M151" s="1155">
        <v>0.74990000000000001</v>
      </c>
    </row>
    <row r="152" spans="1:13">
      <c r="A152" s="1156">
        <v>4.8</v>
      </c>
      <c r="B152" s="1155">
        <v>0.92589999999999995</v>
      </c>
      <c r="C152" s="1155">
        <v>0.92589999999999995</v>
      </c>
      <c r="D152" s="1155">
        <v>0.82769999999999999</v>
      </c>
      <c r="E152" s="1155">
        <v>0.82769999999999999</v>
      </c>
      <c r="F152" s="1155">
        <v>0.82769999999999999</v>
      </c>
      <c r="G152" s="1155">
        <v>0.82769999999999999</v>
      </c>
      <c r="H152" s="1155">
        <v>0.82769999999999999</v>
      </c>
      <c r="I152" s="1155">
        <v>0.74529999999999996</v>
      </c>
      <c r="J152" s="1155">
        <v>0.74529999999999996</v>
      </c>
      <c r="K152" s="1155">
        <v>0.74529999999999996</v>
      </c>
      <c r="L152" s="1155">
        <v>0.74529999999999996</v>
      </c>
      <c r="M152" s="1155">
        <v>0.74529999999999996</v>
      </c>
    </row>
    <row r="153" spans="1:13">
      <c r="A153" s="1156">
        <v>4.9000000000000004</v>
      </c>
      <c r="B153" s="1155">
        <v>0.92210000000000003</v>
      </c>
      <c r="C153" s="1155">
        <v>0.92210000000000003</v>
      </c>
      <c r="D153" s="1155">
        <v>0.82389999999999997</v>
      </c>
      <c r="E153" s="1155">
        <v>0.82389999999999997</v>
      </c>
      <c r="F153" s="1155">
        <v>0.82389999999999997</v>
      </c>
      <c r="G153" s="1155">
        <v>0.82389999999999997</v>
      </c>
      <c r="H153" s="1155">
        <v>0.82389999999999997</v>
      </c>
      <c r="I153" s="1155">
        <v>0.7409</v>
      </c>
      <c r="J153" s="1155">
        <v>0.7409</v>
      </c>
      <c r="K153" s="1155">
        <v>0.7409</v>
      </c>
      <c r="L153" s="1155">
        <v>0.7409</v>
      </c>
      <c r="M153" s="1155">
        <v>0.7409</v>
      </c>
    </row>
    <row r="154" spans="1:13">
      <c r="A154" s="1156">
        <v>5</v>
      </c>
      <c r="B154" s="1155">
        <v>0.91849999999999998</v>
      </c>
      <c r="C154" s="1155">
        <v>0.91849999999999998</v>
      </c>
      <c r="D154" s="1155">
        <v>0.82030000000000003</v>
      </c>
      <c r="E154" s="1155">
        <v>0.82030000000000003</v>
      </c>
      <c r="F154" s="1155">
        <v>0.82030000000000003</v>
      </c>
      <c r="G154" s="1155">
        <v>0.82030000000000003</v>
      </c>
      <c r="H154" s="1155">
        <v>0.82030000000000003</v>
      </c>
      <c r="I154" s="1155">
        <v>0.73670000000000002</v>
      </c>
      <c r="J154" s="1155">
        <v>0.73670000000000002</v>
      </c>
      <c r="K154" s="1155">
        <v>0.73670000000000002</v>
      </c>
      <c r="L154" s="1155">
        <v>0.73670000000000002</v>
      </c>
      <c r="M154" s="1155">
        <v>0.73670000000000002</v>
      </c>
    </row>
    <row r="155" spans="1:13">
      <c r="A155" s="1152">
        <v>5.0999999999999996</v>
      </c>
      <c r="B155" s="1155">
        <v>0.91510000000000002</v>
      </c>
      <c r="C155" s="1155">
        <v>0.91510000000000002</v>
      </c>
      <c r="D155" s="1155">
        <v>0.81689999999999996</v>
      </c>
      <c r="E155" s="1155">
        <v>0.81689999999999996</v>
      </c>
      <c r="F155" s="1155">
        <v>0.81689999999999996</v>
      </c>
      <c r="G155" s="1155">
        <v>0.81689999999999996</v>
      </c>
      <c r="H155" s="1155">
        <v>0.81689999999999996</v>
      </c>
      <c r="I155" s="1155">
        <v>0.73270000000000002</v>
      </c>
      <c r="J155" s="1155">
        <v>0.73270000000000002</v>
      </c>
      <c r="K155" s="1155">
        <v>0.73270000000000002</v>
      </c>
      <c r="L155" s="1155">
        <v>0.73270000000000002</v>
      </c>
      <c r="M155" s="1155">
        <v>0.73270000000000002</v>
      </c>
    </row>
    <row r="156" spans="1:13">
      <c r="A156" s="1152">
        <v>5.2</v>
      </c>
      <c r="B156" s="1155">
        <v>0.91190000000000004</v>
      </c>
      <c r="C156" s="1155">
        <v>0.91190000000000004</v>
      </c>
      <c r="D156" s="1155">
        <v>0.81359999999999999</v>
      </c>
      <c r="E156" s="1155">
        <v>0.81359999999999999</v>
      </c>
      <c r="F156" s="1155">
        <v>0.81359999999999999</v>
      </c>
      <c r="G156" s="1155">
        <v>0.81359999999999999</v>
      </c>
      <c r="H156" s="1155">
        <v>0.81359999999999999</v>
      </c>
      <c r="I156" s="1155">
        <v>0.72889999999999999</v>
      </c>
      <c r="J156" s="1155">
        <v>0.72889999999999999</v>
      </c>
      <c r="K156" s="1155">
        <v>0.72889999999999999</v>
      </c>
      <c r="L156" s="1155">
        <v>0.72889999999999999</v>
      </c>
      <c r="M156" s="1155">
        <v>0.72889999999999999</v>
      </c>
    </row>
    <row r="157" spans="1:13">
      <c r="A157" s="1152">
        <v>5.3</v>
      </c>
      <c r="B157" s="1155">
        <v>0.90880000000000005</v>
      </c>
      <c r="C157" s="1155">
        <v>0.90880000000000005</v>
      </c>
      <c r="D157" s="1155">
        <v>0.8105</v>
      </c>
      <c r="E157" s="1155">
        <v>0.8105</v>
      </c>
      <c r="F157" s="1155">
        <v>0.8105</v>
      </c>
      <c r="G157" s="1155">
        <v>0.8105</v>
      </c>
      <c r="H157" s="1155">
        <v>0.8105</v>
      </c>
      <c r="I157" s="1155">
        <v>0.72529999999999994</v>
      </c>
      <c r="J157" s="1155">
        <v>0.72529999999999994</v>
      </c>
      <c r="K157" s="1155">
        <v>0.72529999999999994</v>
      </c>
      <c r="L157" s="1155">
        <v>0.72529999999999994</v>
      </c>
      <c r="M157" s="1155">
        <v>0.72529999999999994</v>
      </c>
    </row>
    <row r="158" spans="1:13">
      <c r="A158" s="1152">
        <v>5.4</v>
      </c>
      <c r="B158" s="1155">
        <v>0.90580000000000005</v>
      </c>
      <c r="C158" s="1155">
        <v>0.90580000000000005</v>
      </c>
      <c r="D158" s="1155">
        <v>0.8075</v>
      </c>
      <c r="E158" s="1155">
        <v>0.8075</v>
      </c>
      <c r="F158" s="1155">
        <v>0.8075</v>
      </c>
      <c r="G158" s="1155">
        <v>0.8075</v>
      </c>
      <c r="H158" s="1155">
        <v>0.8075</v>
      </c>
      <c r="I158" s="1155">
        <v>0.7218</v>
      </c>
      <c r="J158" s="1155">
        <v>0.7218</v>
      </c>
      <c r="K158" s="1155">
        <v>0.7218</v>
      </c>
      <c r="L158" s="1155">
        <v>0.7218</v>
      </c>
      <c r="M158" s="1155">
        <v>0.7218</v>
      </c>
    </row>
    <row r="159" spans="1:13">
      <c r="A159" s="1152">
        <v>5.5</v>
      </c>
      <c r="B159" s="1155">
        <v>0.90290000000000004</v>
      </c>
      <c r="C159" s="1155">
        <v>0.90290000000000004</v>
      </c>
      <c r="D159" s="1155">
        <v>0.80469999999999997</v>
      </c>
      <c r="E159" s="1155">
        <v>0.80469999999999997</v>
      </c>
      <c r="F159" s="1155">
        <v>0.80469999999999997</v>
      </c>
      <c r="G159" s="1155">
        <v>0.80469999999999997</v>
      </c>
      <c r="H159" s="1155">
        <v>0.80469999999999997</v>
      </c>
      <c r="I159" s="1155">
        <v>0.71840000000000004</v>
      </c>
      <c r="J159" s="1155">
        <v>0.71840000000000004</v>
      </c>
      <c r="K159" s="1155">
        <v>0.71840000000000004</v>
      </c>
      <c r="L159" s="1155">
        <v>0.71840000000000004</v>
      </c>
      <c r="M159" s="1155">
        <v>0.71840000000000004</v>
      </c>
    </row>
    <row r="160" spans="1:13">
      <c r="A160" s="1152">
        <v>5.6</v>
      </c>
      <c r="B160" s="1155">
        <v>0.90010000000000001</v>
      </c>
      <c r="C160" s="1155">
        <v>0.90010000000000001</v>
      </c>
      <c r="D160" s="1155">
        <v>0.80200000000000005</v>
      </c>
      <c r="E160" s="1155">
        <v>0.80200000000000005</v>
      </c>
      <c r="F160" s="1155">
        <v>0.80200000000000005</v>
      </c>
      <c r="G160" s="1155">
        <v>0.80200000000000005</v>
      </c>
      <c r="H160" s="1155">
        <v>0.80200000000000005</v>
      </c>
      <c r="I160" s="1155">
        <v>0.71509999999999996</v>
      </c>
      <c r="J160" s="1155">
        <v>0.71509999999999996</v>
      </c>
      <c r="K160" s="1155">
        <v>0.71509999999999996</v>
      </c>
      <c r="L160" s="1155">
        <v>0.71509999999999996</v>
      </c>
      <c r="M160" s="1155">
        <v>0.71509999999999996</v>
      </c>
    </row>
    <row r="161" spans="1:13">
      <c r="A161" s="1156">
        <v>5.7</v>
      </c>
      <c r="B161" s="1155">
        <v>0.89749999999999996</v>
      </c>
      <c r="C161" s="1155">
        <v>0.89749999999999996</v>
      </c>
      <c r="D161" s="1155">
        <v>0.79930000000000001</v>
      </c>
      <c r="E161" s="1155">
        <v>0.79930000000000001</v>
      </c>
      <c r="F161" s="1155">
        <v>0.79930000000000001</v>
      </c>
      <c r="G161" s="1155">
        <v>0.79930000000000001</v>
      </c>
      <c r="H161" s="1155">
        <v>0.79930000000000001</v>
      </c>
      <c r="I161" s="1155">
        <v>0.71189999999999998</v>
      </c>
      <c r="J161" s="1155">
        <v>0.71189999999999998</v>
      </c>
      <c r="K161" s="1155">
        <v>0.71189999999999998</v>
      </c>
      <c r="L161" s="1155">
        <v>0.71189999999999998</v>
      </c>
      <c r="M161" s="1155">
        <v>0.71189999999999998</v>
      </c>
    </row>
    <row r="162" spans="1:13">
      <c r="A162" s="1152">
        <v>5.8</v>
      </c>
      <c r="B162" s="1155">
        <v>0.89500000000000002</v>
      </c>
      <c r="C162" s="1155">
        <v>0.89500000000000002</v>
      </c>
      <c r="D162" s="1155">
        <v>0.79679999999999995</v>
      </c>
      <c r="E162" s="1155">
        <v>0.79679999999999995</v>
      </c>
      <c r="F162" s="1155">
        <v>0.79679999999999995</v>
      </c>
      <c r="G162" s="1155">
        <v>0.79679999999999995</v>
      </c>
      <c r="H162" s="1155">
        <v>0.79679999999999995</v>
      </c>
      <c r="I162" s="1155">
        <v>0.70879999999999999</v>
      </c>
      <c r="J162" s="1155">
        <v>0.70879999999999999</v>
      </c>
      <c r="K162" s="1155">
        <v>0.70879999999999999</v>
      </c>
      <c r="L162" s="1155">
        <v>0.70879999999999999</v>
      </c>
      <c r="M162" s="1155">
        <v>0.70879999999999999</v>
      </c>
    </row>
    <row r="163" spans="1:13">
      <c r="A163" s="1152">
        <v>5.9</v>
      </c>
      <c r="B163" s="1155">
        <v>0.89259999999999995</v>
      </c>
      <c r="C163" s="1155">
        <v>0.89259999999999995</v>
      </c>
      <c r="D163" s="1155">
        <v>0.7944</v>
      </c>
      <c r="E163" s="1155">
        <v>0.7944</v>
      </c>
      <c r="F163" s="1155">
        <v>0.7944</v>
      </c>
      <c r="G163" s="1155">
        <v>0.7944</v>
      </c>
      <c r="H163" s="1155">
        <v>0.7944</v>
      </c>
      <c r="I163" s="1155">
        <v>0.70579999999999998</v>
      </c>
      <c r="J163" s="1155">
        <v>0.70579999999999998</v>
      </c>
      <c r="K163" s="1155">
        <v>0.70579999999999998</v>
      </c>
      <c r="L163" s="1155">
        <v>0.70579999999999998</v>
      </c>
      <c r="M163" s="1155">
        <v>0.70579999999999998</v>
      </c>
    </row>
    <row r="164" spans="1:13">
      <c r="A164" s="1152">
        <v>6</v>
      </c>
      <c r="B164" s="1155">
        <v>0.89029999999999998</v>
      </c>
      <c r="C164" s="1155">
        <v>0.89029999999999998</v>
      </c>
      <c r="D164" s="1155">
        <v>0.79200000000000004</v>
      </c>
      <c r="E164" s="1155">
        <v>0.79200000000000004</v>
      </c>
      <c r="F164" s="1155">
        <v>0.79200000000000004</v>
      </c>
      <c r="G164" s="1155">
        <v>0.79200000000000004</v>
      </c>
      <c r="H164" s="1155">
        <v>0.79200000000000004</v>
      </c>
      <c r="I164" s="1155">
        <v>0.70289999999999997</v>
      </c>
      <c r="J164" s="1155">
        <v>0.70289999999999997</v>
      </c>
      <c r="K164" s="1155">
        <v>0.70289999999999997</v>
      </c>
      <c r="L164" s="1155">
        <v>0.70289999999999997</v>
      </c>
      <c r="M164" s="1155">
        <v>0.70289999999999997</v>
      </c>
    </row>
    <row r="165" spans="1:13">
      <c r="A165" s="1152">
        <v>6.1</v>
      </c>
      <c r="B165" s="1155">
        <v>0.8881</v>
      </c>
      <c r="C165" s="1155">
        <v>0.8881</v>
      </c>
      <c r="D165" s="1155">
        <v>0.78979999999999995</v>
      </c>
      <c r="E165" s="1155">
        <v>0.78979999999999995</v>
      </c>
      <c r="F165" s="1155">
        <v>0.78979999999999995</v>
      </c>
      <c r="G165" s="1155">
        <v>0.78979999999999995</v>
      </c>
      <c r="H165" s="1155">
        <v>0.78979999999999995</v>
      </c>
      <c r="I165" s="1155">
        <v>0.70009999999999994</v>
      </c>
      <c r="J165" s="1155">
        <v>0.70009999999999994</v>
      </c>
      <c r="K165" s="1155">
        <v>0.70009999999999994</v>
      </c>
      <c r="L165" s="1155">
        <v>0.70009999999999994</v>
      </c>
      <c r="M165" s="1155">
        <v>0.70009999999999994</v>
      </c>
    </row>
    <row r="166" spans="1:13">
      <c r="A166" s="1152">
        <v>6.2</v>
      </c>
      <c r="B166" s="1155">
        <v>0.88600000000000001</v>
      </c>
      <c r="C166" s="1155">
        <v>0.88600000000000001</v>
      </c>
      <c r="D166" s="1155">
        <v>0.78759999999999997</v>
      </c>
      <c r="E166" s="1155">
        <v>0.78759999999999997</v>
      </c>
      <c r="F166" s="1155">
        <v>0.78759999999999997</v>
      </c>
      <c r="G166" s="1155">
        <v>0.78759999999999997</v>
      </c>
      <c r="H166" s="1155">
        <v>0.78759999999999997</v>
      </c>
      <c r="I166" s="1155">
        <v>0.69740000000000002</v>
      </c>
      <c r="J166" s="1155">
        <v>0.69740000000000002</v>
      </c>
      <c r="K166" s="1155">
        <v>0.69740000000000002</v>
      </c>
      <c r="L166" s="1155">
        <v>0.69740000000000002</v>
      </c>
      <c r="M166" s="1155">
        <v>0.69740000000000002</v>
      </c>
    </row>
    <row r="167" spans="1:13">
      <c r="A167" s="1152">
        <v>6.3</v>
      </c>
      <c r="B167" s="1155">
        <v>0.88390000000000002</v>
      </c>
      <c r="C167" s="1155">
        <v>0.88390000000000002</v>
      </c>
      <c r="D167" s="1155">
        <v>0.78549999999999998</v>
      </c>
      <c r="E167" s="1155">
        <v>0.78549999999999998</v>
      </c>
      <c r="F167" s="1155">
        <v>0.78549999999999998</v>
      </c>
      <c r="G167" s="1155">
        <v>0.78549999999999998</v>
      </c>
      <c r="H167" s="1155">
        <v>0.78549999999999998</v>
      </c>
      <c r="I167" s="1155">
        <v>0.69479999999999997</v>
      </c>
      <c r="J167" s="1155">
        <v>0.69479999999999997</v>
      </c>
      <c r="K167" s="1155">
        <v>0.69479999999999997</v>
      </c>
      <c r="L167" s="1155">
        <v>0.69479999999999997</v>
      </c>
      <c r="M167" s="1155">
        <v>0.69479999999999997</v>
      </c>
    </row>
    <row r="168" spans="1:13">
      <c r="A168" s="1152">
        <v>6.4</v>
      </c>
      <c r="B168" s="1155">
        <v>0.88190000000000002</v>
      </c>
      <c r="C168" s="1155">
        <v>0.88190000000000002</v>
      </c>
      <c r="D168" s="1155">
        <v>0.78339999999999999</v>
      </c>
      <c r="E168" s="1155">
        <v>0.78339999999999999</v>
      </c>
      <c r="F168" s="1155">
        <v>0.78339999999999999</v>
      </c>
      <c r="G168" s="1155">
        <v>0.78339999999999999</v>
      </c>
      <c r="H168" s="1155">
        <v>0.78339999999999999</v>
      </c>
      <c r="I168" s="1155">
        <v>0.69230000000000003</v>
      </c>
      <c r="J168" s="1155">
        <v>0.69230000000000003</v>
      </c>
      <c r="K168" s="1155">
        <v>0.69230000000000003</v>
      </c>
      <c r="L168" s="1155">
        <v>0.69230000000000003</v>
      </c>
      <c r="M168" s="1155">
        <v>0.69230000000000003</v>
      </c>
    </row>
    <row r="169" spans="1:13">
      <c r="A169" s="1152">
        <v>6.5</v>
      </c>
      <c r="B169" s="1155">
        <v>0.88</v>
      </c>
      <c r="C169" s="1155">
        <v>0.88</v>
      </c>
      <c r="D169" s="1155">
        <v>0.78139999999999998</v>
      </c>
      <c r="E169" s="1155">
        <v>0.78139999999999998</v>
      </c>
      <c r="F169" s="1155">
        <v>0.78139999999999998</v>
      </c>
      <c r="G169" s="1155">
        <v>0.78139999999999998</v>
      </c>
      <c r="H169" s="1155">
        <v>0.78139999999999998</v>
      </c>
      <c r="I169" s="1155">
        <v>0.68989999999999996</v>
      </c>
      <c r="J169" s="1155">
        <v>0.68989999999999996</v>
      </c>
      <c r="K169" s="1155">
        <v>0.68989999999999996</v>
      </c>
      <c r="L169" s="1155">
        <v>0.68989999999999996</v>
      </c>
      <c r="M169" s="1155">
        <v>0.68989999999999996</v>
      </c>
    </row>
    <row r="170" spans="1:13">
      <c r="A170" s="1152">
        <v>6.6</v>
      </c>
      <c r="B170" s="1155">
        <v>0.87809999999999999</v>
      </c>
      <c r="C170" s="1155">
        <v>0.87809999999999999</v>
      </c>
      <c r="D170" s="1155">
        <v>0.77949999999999997</v>
      </c>
      <c r="E170" s="1155">
        <v>0.77949999999999997</v>
      </c>
      <c r="F170" s="1155">
        <v>0.77949999999999997</v>
      </c>
      <c r="G170" s="1155">
        <v>0.77949999999999997</v>
      </c>
      <c r="H170" s="1155">
        <v>0.77949999999999997</v>
      </c>
      <c r="I170" s="1155">
        <v>0.68759999999999999</v>
      </c>
      <c r="J170" s="1155">
        <v>0.68759999999999999</v>
      </c>
      <c r="K170" s="1155">
        <v>0.68759999999999999</v>
      </c>
      <c r="L170" s="1155">
        <v>0.68759999999999999</v>
      </c>
      <c r="M170" s="1155">
        <v>0.68759999999999999</v>
      </c>
    </row>
    <row r="171" spans="1:13">
      <c r="A171" s="1152">
        <v>6.7</v>
      </c>
      <c r="B171" s="1155">
        <v>0.87629999999999997</v>
      </c>
      <c r="C171" s="1155">
        <v>0.87629999999999997</v>
      </c>
      <c r="D171" s="1155">
        <v>0.77759999999999996</v>
      </c>
      <c r="E171" s="1155">
        <v>0.77759999999999996</v>
      </c>
      <c r="F171" s="1155">
        <v>0.77759999999999996</v>
      </c>
      <c r="G171" s="1155">
        <v>0.77759999999999996</v>
      </c>
      <c r="H171" s="1155">
        <v>0.77759999999999996</v>
      </c>
      <c r="I171" s="1155">
        <v>0.68530000000000002</v>
      </c>
      <c r="J171" s="1155">
        <v>0.68530000000000002</v>
      </c>
      <c r="K171" s="1155">
        <v>0.68530000000000002</v>
      </c>
      <c r="L171" s="1155">
        <v>0.68530000000000002</v>
      </c>
      <c r="M171" s="1155">
        <v>0.68530000000000002</v>
      </c>
    </row>
    <row r="172" spans="1:13">
      <c r="A172" s="1152">
        <v>6.8</v>
      </c>
      <c r="B172" s="1155">
        <v>0.87450000000000006</v>
      </c>
      <c r="C172" s="1155">
        <v>0.87450000000000006</v>
      </c>
      <c r="D172" s="1155">
        <v>0.77569999999999995</v>
      </c>
      <c r="E172" s="1155">
        <v>0.77569999999999995</v>
      </c>
      <c r="F172" s="1155">
        <v>0.77569999999999995</v>
      </c>
      <c r="G172" s="1155">
        <v>0.77569999999999995</v>
      </c>
      <c r="H172" s="1155">
        <v>0.77569999999999995</v>
      </c>
      <c r="I172" s="1155">
        <v>0.68310000000000004</v>
      </c>
      <c r="J172" s="1155">
        <v>0.68310000000000004</v>
      </c>
      <c r="K172" s="1155">
        <v>0.68310000000000004</v>
      </c>
      <c r="L172" s="1155">
        <v>0.68310000000000004</v>
      </c>
      <c r="M172" s="1155">
        <v>0.68310000000000004</v>
      </c>
    </row>
    <row r="173" spans="1:13">
      <c r="A173" s="1152">
        <v>6.9</v>
      </c>
      <c r="B173" s="1155">
        <v>0.87280000000000002</v>
      </c>
      <c r="C173" s="1155">
        <v>0.87280000000000002</v>
      </c>
      <c r="D173" s="1155">
        <v>0.77390000000000003</v>
      </c>
      <c r="E173" s="1155">
        <v>0.77390000000000003</v>
      </c>
      <c r="F173" s="1155">
        <v>0.77390000000000003</v>
      </c>
      <c r="G173" s="1155">
        <v>0.77390000000000003</v>
      </c>
      <c r="H173" s="1155">
        <v>0.77390000000000003</v>
      </c>
      <c r="I173" s="1155">
        <v>0.68089999999999995</v>
      </c>
      <c r="J173" s="1155">
        <v>0.68089999999999995</v>
      </c>
      <c r="K173" s="1155">
        <v>0.68089999999999995</v>
      </c>
      <c r="L173" s="1155">
        <v>0.68089999999999995</v>
      </c>
      <c r="M173" s="1155">
        <v>0.68089999999999995</v>
      </c>
    </row>
    <row r="174" spans="1:13">
      <c r="A174" s="1152">
        <v>7</v>
      </c>
      <c r="B174" s="1155">
        <v>0.87109999999999999</v>
      </c>
      <c r="C174" s="1155">
        <v>0.87109999999999999</v>
      </c>
      <c r="D174" s="1155">
        <v>0.77210000000000001</v>
      </c>
      <c r="E174" s="1155">
        <v>0.77210000000000001</v>
      </c>
      <c r="F174" s="1155">
        <v>0.77210000000000001</v>
      </c>
      <c r="G174" s="1155">
        <v>0.77210000000000001</v>
      </c>
      <c r="H174" s="1155">
        <v>0.77210000000000001</v>
      </c>
      <c r="I174" s="1155">
        <v>0.67879999999999996</v>
      </c>
      <c r="J174" s="1155">
        <v>0.67879999999999996</v>
      </c>
      <c r="K174" s="1155">
        <v>0.67879999999999996</v>
      </c>
      <c r="L174" s="1155">
        <v>0.67879999999999996</v>
      </c>
      <c r="M174" s="1155">
        <v>0.67879999999999996</v>
      </c>
    </row>
    <row r="175" spans="1:13">
      <c r="A175" s="1152">
        <v>7.1</v>
      </c>
      <c r="B175" s="1155">
        <v>0.86939999999999995</v>
      </c>
      <c r="C175" s="1155">
        <v>0.86939999999999995</v>
      </c>
      <c r="D175" s="1155">
        <v>0.77039999999999997</v>
      </c>
      <c r="E175" s="1155">
        <v>0.77039999999999997</v>
      </c>
      <c r="F175" s="1155">
        <v>0.77039999999999997</v>
      </c>
      <c r="G175" s="1155">
        <v>0.77039999999999997</v>
      </c>
      <c r="H175" s="1155">
        <v>0.77039999999999997</v>
      </c>
      <c r="I175" s="1155">
        <v>0.67669999999999997</v>
      </c>
      <c r="J175" s="1155">
        <v>0.67669999999999997</v>
      </c>
      <c r="K175" s="1155">
        <v>0.67669999999999997</v>
      </c>
      <c r="L175" s="1155">
        <v>0.67669999999999997</v>
      </c>
      <c r="M175" s="1155">
        <v>0.67669999999999997</v>
      </c>
    </row>
    <row r="176" spans="1:13">
      <c r="A176" s="1152">
        <v>7.2</v>
      </c>
      <c r="B176" s="1155">
        <v>0.86770000000000003</v>
      </c>
      <c r="C176" s="1155">
        <v>0.86770000000000003</v>
      </c>
      <c r="D176" s="1155">
        <v>0.76870000000000005</v>
      </c>
      <c r="E176" s="1155">
        <v>0.76870000000000005</v>
      </c>
      <c r="F176" s="1155">
        <v>0.76870000000000005</v>
      </c>
      <c r="G176" s="1155">
        <v>0.76870000000000005</v>
      </c>
      <c r="H176" s="1155">
        <v>0.76870000000000005</v>
      </c>
      <c r="I176" s="1155">
        <v>0.67469999999999997</v>
      </c>
      <c r="J176" s="1155">
        <v>0.67469999999999997</v>
      </c>
      <c r="K176" s="1155">
        <v>0.67469999999999997</v>
      </c>
      <c r="L176" s="1155">
        <v>0.67469999999999997</v>
      </c>
      <c r="M176" s="1155">
        <v>0.67469999999999997</v>
      </c>
    </row>
    <row r="177" spans="1:13">
      <c r="A177" s="1152">
        <v>7.3</v>
      </c>
      <c r="B177" s="1155">
        <v>0.86609999999999998</v>
      </c>
      <c r="C177" s="1155">
        <v>0.86609999999999998</v>
      </c>
      <c r="D177" s="1155">
        <v>0.76700000000000002</v>
      </c>
      <c r="E177" s="1155">
        <v>0.76700000000000002</v>
      </c>
      <c r="F177" s="1155">
        <v>0.76700000000000002</v>
      </c>
      <c r="G177" s="1155">
        <v>0.76700000000000002</v>
      </c>
      <c r="H177" s="1155">
        <v>0.76700000000000002</v>
      </c>
      <c r="I177" s="1155">
        <v>0.67269999999999996</v>
      </c>
      <c r="J177" s="1155">
        <v>0.67269999999999996</v>
      </c>
      <c r="K177" s="1155">
        <v>0.67269999999999996</v>
      </c>
      <c r="L177" s="1155">
        <v>0.67269999999999996</v>
      </c>
      <c r="M177" s="1155">
        <v>0.67269999999999996</v>
      </c>
    </row>
    <row r="178" spans="1:13">
      <c r="A178" s="1152">
        <v>7.4</v>
      </c>
      <c r="B178" s="1155">
        <v>0.86450000000000005</v>
      </c>
      <c r="C178" s="1155">
        <v>0.86450000000000005</v>
      </c>
      <c r="D178" s="1155">
        <v>0.76529999999999998</v>
      </c>
      <c r="E178" s="1155">
        <v>0.76529999999999998</v>
      </c>
      <c r="F178" s="1155">
        <v>0.76529999999999998</v>
      </c>
      <c r="G178" s="1155">
        <v>0.76529999999999998</v>
      </c>
      <c r="H178" s="1155">
        <v>0.76529999999999998</v>
      </c>
      <c r="I178" s="1155">
        <v>0.67079999999999995</v>
      </c>
      <c r="J178" s="1155">
        <v>0.67079999999999995</v>
      </c>
      <c r="K178" s="1155">
        <v>0.67079999999999995</v>
      </c>
      <c r="L178" s="1155">
        <v>0.67079999999999995</v>
      </c>
      <c r="M178" s="1155">
        <v>0.67079999999999995</v>
      </c>
    </row>
    <row r="179" spans="1:13">
      <c r="A179" s="1152">
        <v>7.5</v>
      </c>
      <c r="B179" s="1155">
        <v>0.86299999999999999</v>
      </c>
      <c r="C179" s="1155">
        <v>0.86299999999999999</v>
      </c>
      <c r="D179" s="1155">
        <v>0.76359999999999995</v>
      </c>
      <c r="E179" s="1155">
        <v>0.76359999999999995</v>
      </c>
      <c r="F179" s="1155">
        <v>0.76359999999999995</v>
      </c>
      <c r="G179" s="1155">
        <v>0.76359999999999995</v>
      </c>
      <c r="H179" s="1155">
        <v>0.76359999999999995</v>
      </c>
      <c r="I179" s="1155">
        <v>0.66890000000000005</v>
      </c>
      <c r="J179" s="1155">
        <v>0.66890000000000005</v>
      </c>
      <c r="K179" s="1155">
        <v>0.66890000000000005</v>
      </c>
      <c r="L179" s="1155">
        <v>0.66890000000000005</v>
      </c>
      <c r="M179" s="1155">
        <v>0.66890000000000005</v>
      </c>
    </row>
    <row r="180" spans="1:13">
      <c r="A180" s="1152">
        <v>7.6</v>
      </c>
      <c r="B180" s="1155">
        <v>0.86150000000000004</v>
      </c>
      <c r="C180" s="1155">
        <v>0.86150000000000004</v>
      </c>
      <c r="D180" s="1155">
        <v>0.76200000000000001</v>
      </c>
      <c r="E180" s="1155">
        <v>0.76200000000000001</v>
      </c>
      <c r="F180" s="1155">
        <v>0.76200000000000001</v>
      </c>
      <c r="G180" s="1155">
        <v>0.76200000000000001</v>
      </c>
      <c r="H180" s="1155">
        <v>0.76200000000000001</v>
      </c>
      <c r="I180" s="1155">
        <v>0.66700000000000004</v>
      </c>
      <c r="J180" s="1155">
        <v>0.66700000000000004</v>
      </c>
      <c r="K180" s="1155">
        <v>0.66700000000000004</v>
      </c>
      <c r="L180" s="1155">
        <v>0.66700000000000004</v>
      </c>
      <c r="M180" s="1155">
        <v>0.66700000000000004</v>
      </c>
    </row>
    <row r="181" spans="1:13">
      <c r="A181" s="1152">
        <v>7.7</v>
      </c>
      <c r="B181" s="1155">
        <v>0.86</v>
      </c>
      <c r="C181" s="1155">
        <v>0.86</v>
      </c>
      <c r="D181" s="1155">
        <v>0.76039999999999996</v>
      </c>
      <c r="E181" s="1155">
        <v>0.76039999999999996</v>
      </c>
      <c r="F181" s="1155">
        <v>0.76039999999999996</v>
      </c>
      <c r="G181" s="1155">
        <v>0.76039999999999996</v>
      </c>
      <c r="H181" s="1155">
        <v>0.76039999999999996</v>
      </c>
      <c r="I181" s="1155">
        <v>0.66510000000000002</v>
      </c>
      <c r="J181" s="1155">
        <v>0.66510000000000002</v>
      </c>
      <c r="K181" s="1155">
        <v>0.66510000000000002</v>
      </c>
      <c r="L181" s="1155">
        <v>0.66510000000000002</v>
      </c>
      <c r="M181" s="1155">
        <v>0.66510000000000002</v>
      </c>
    </row>
    <row r="182" spans="1:13">
      <c r="A182" s="1152">
        <v>7.8</v>
      </c>
      <c r="B182" s="1155">
        <v>0.85850000000000004</v>
      </c>
      <c r="C182" s="1155">
        <v>0.85850000000000004</v>
      </c>
      <c r="D182" s="1155">
        <v>0.75880000000000003</v>
      </c>
      <c r="E182" s="1155">
        <v>0.75880000000000003</v>
      </c>
      <c r="F182" s="1155">
        <v>0.75880000000000003</v>
      </c>
      <c r="G182" s="1155">
        <v>0.75880000000000003</v>
      </c>
      <c r="H182" s="1155">
        <v>0.75880000000000003</v>
      </c>
      <c r="I182" s="1155">
        <v>0.6633</v>
      </c>
      <c r="J182" s="1155">
        <v>0.6633</v>
      </c>
      <c r="K182" s="1155">
        <v>0.6633</v>
      </c>
      <c r="L182" s="1155">
        <v>0.6633</v>
      </c>
      <c r="M182" s="1155">
        <v>0.6633</v>
      </c>
    </row>
    <row r="183" spans="1:13">
      <c r="A183" s="1152">
        <v>7.9</v>
      </c>
      <c r="B183" s="1155">
        <v>0.85699999999999998</v>
      </c>
      <c r="C183" s="1155">
        <v>0.85699999999999998</v>
      </c>
      <c r="D183" s="1155">
        <v>0.75719999999999998</v>
      </c>
      <c r="E183" s="1155">
        <v>0.75719999999999998</v>
      </c>
      <c r="F183" s="1155">
        <v>0.75719999999999998</v>
      </c>
      <c r="G183" s="1155">
        <v>0.75719999999999998</v>
      </c>
      <c r="H183" s="1155">
        <v>0.75719999999999998</v>
      </c>
      <c r="I183" s="1155">
        <v>0.66149999999999998</v>
      </c>
      <c r="J183" s="1155">
        <v>0.66149999999999998</v>
      </c>
      <c r="K183" s="1155">
        <v>0.66149999999999998</v>
      </c>
      <c r="L183" s="1155">
        <v>0.66149999999999998</v>
      </c>
      <c r="M183" s="1155">
        <v>0.66149999999999998</v>
      </c>
    </row>
    <row r="184" spans="1:13">
      <c r="A184" s="1152">
        <v>8</v>
      </c>
      <c r="B184" s="1155">
        <v>0.85550000000000004</v>
      </c>
      <c r="C184" s="1155">
        <v>0.85550000000000004</v>
      </c>
      <c r="D184" s="1155">
        <v>0.75570000000000004</v>
      </c>
      <c r="E184" s="1155">
        <v>0.75570000000000004</v>
      </c>
      <c r="F184" s="1155">
        <v>0.75570000000000004</v>
      </c>
      <c r="G184" s="1155">
        <v>0.75570000000000004</v>
      </c>
      <c r="H184" s="1155">
        <v>0.75570000000000004</v>
      </c>
      <c r="I184" s="1155">
        <v>0.65969999999999995</v>
      </c>
      <c r="J184" s="1155">
        <v>0.65969999999999995</v>
      </c>
      <c r="K184" s="1155">
        <v>0.65969999999999995</v>
      </c>
      <c r="L184" s="1155">
        <v>0.65969999999999995</v>
      </c>
      <c r="M184" s="1155">
        <v>0.65969999999999995</v>
      </c>
    </row>
    <row r="185" spans="1:13">
      <c r="A185" s="1152">
        <v>8.1</v>
      </c>
      <c r="B185" s="1155">
        <v>0.85399999999999998</v>
      </c>
      <c r="C185" s="1155">
        <v>0.85399999999999998</v>
      </c>
      <c r="D185" s="1155">
        <v>0.75419999999999998</v>
      </c>
      <c r="E185" s="1155">
        <v>0.75419999999999998</v>
      </c>
      <c r="F185" s="1155">
        <v>0.75419999999999998</v>
      </c>
      <c r="G185" s="1155">
        <v>0.75419999999999998</v>
      </c>
      <c r="H185" s="1155">
        <v>0.75419999999999998</v>
      </c>
      <c r="I185" s="1155">
        <v>0.65800000000000003</v>
      </c>
      <c r="J185" s="1155">
        <v>0.65800000000000003</v>
      </c>
      <c r="K185" s="1155">
        <v>0.65800000000000003</v>
      </c>
      <c r="L185" s="1155">
        <v>0.65800000000000003</v>
      </c>
      <c r="M185" s="1155">
        <v>0.65800000000000003</v>
      </c>
    </row>
    <row r="186" spans="1:13">
      <c r="A186" s="1152">
        <v>8.1999999999999993</v>
      </c>
      <c r="B186" s="1155">
        <v>0.85250000000000004</v>
      </c>
      <c r="C186" s="1155">
        <v>0.85250000000000004</v>
      </c>
      <c r="D186" s="1155">
        <v>0.75270000000000004</v>
      </c>
      <c r="E186" s="1155">
        <v>0.75270000000000004</v>
      </c>
      <c r="F186" s="1155">
        <v>0.75270000000000004</v>
      </c>
      <c r="G186" s="1155">
        <v>0.75270000000000004</v>
      </c>
      <c r="H186" s="1155">
        <v>0.75270000000000004</v>
      </c>
      <c r="I186" s="1155">
        <v>0.65629999999999999</v>
      </c>
      <c r="J186" s="1155">
        <v>0.65629999999999999</v>
      </c>
      <c r="K186" s="1155">
        <v>0.65629999999999999</v>
      </c>
      <c r="L186" s="1155">
        <v>0.65629999999999999</v>
      </c>
      <c r="M186" s="1155">
        <v>0.65629999999999999</v>
      </c>
    </row>
    <row r="187" spans="1:13">
      <c r="A187" s="1152">
        <v>8.3000000000000007</v>
      </c>
      <c r="B187" s="1155">
        <v>0.85109999999999997</v>
      </c>
      <c r="C187" s="1155">
        <v>0.85109999999999997</v>
      </c>
      <c r="D187" s="1155">
        <v>0.75119999999999998</v>
      </c>
      <c r="E187" s="1155">
        <v>0.75119999999999998</v>
      </c>
      <c r="F187" s="1155">
        <v>0.75119999999999998</v>
      </c>
      <c r="G187" s="1155">
        <v>0.75119999999999998</v>
      </c>
      <c r="H187" s="1155">
        <v>0.75119999999999998</v>
      </c>
      <c r="I187" s="1155">
        <v>0.65459999999999996</v>
      </c>
      <c r="J187" s="1155">
        <v>0.65459999999999996</v>
      </c>
      <c r="K187" s="1155">
        <v>0.65459999999999996</v>
      </c>
      <c r="L187" s="1155">
        <v>0.65459999999999996</v>
      </c>
      <c r="M187" s="1155">
        <v>0.65459999999999996</v>
      </c>
    </row>
    <row r="188" spans="1:13">
      <c r="A188" s="1152">
        <v>8.4</v>
      </c>
      <c r="B188" s="1155">
        <v>0.84970000000000001</v>
      </c>
      <c r="C188" s="1155">
        <v>0.84970000000000001</v>
      </c>
      <c r="D188" s="1155">
        <v>0.74970000000000003</v>
      </c>
      <c r="E188" s="1155">
        <v>0.74970000000000003</v>
      </c>
      <c r="F188" s="1155">
        <v>0.74970000000000003</v>
      </c>
      <c r="G188" s="1155">
        <v>0.74970000000000003</v>
      </c>
      <c r="H188" s="1155">
        <v>0.74970000000000003</v>
      </c>
      <c r="I188" s="1155">
        <v>0.65300000000000002</v>
      </c>
      <c r="J188" s="1155">
        <v>0.65300000000000002</v>
      </c>
      <c r="K188" s="1155">
        <v>0.65300000000000002</v>
      </c>
      <c r="L188" s="1155">
        <v>0.65300000000000002</v>
      </c>
      <c r="M188" s="1155">
        <v>0.65300000000000002</v>
      </c>
    </row>
    <row r="189" spans="1:13">
      <c r="A189" s="1152">
        <v>8.5</v>
      </c>
      <c r="B189" s="1155">
        <v>0.84830000000000005</v>
      </c>
      <c r="C189" s="1155">
        <v>0.84830000000000005</v>
      </c>
      <c r="D189" s="1155">
        <v>0.74819999999999998</v>
      </c>
      <c r="E189" s="1155">
        <v>0.74819999999999998</v>
      </c>
      <c r="F189" s="1155">
        <v>0.74819999999999998</v>
      </c>
      <c r="G189" s="1155">
        <v>0.74819999999999998</v>
      </c>
      <c r="H189" s="1155">
        <v>0.74819999999999998</v>
      </c>
      <c r="I189" s="1155">
        <v>0.65139999999999998</v>
      </c>
      <c r="J189" s="1155">
        <v>0.65139999999999998</v>
      </c>
      <c r="K189" s="1155">
        <v>0.65139999999999998</v>
      </c>
      <c r="L189" s="1155">
        <v>0.65139999999999998</v>
      </c>
      <c r="M189" s="1155">
        <v>0.65139999999999998</v>
      </c>
    </row>
    <row r="190" spans="1:13">
      <c r="A190" s="1152">
        <v>8.6</v>
      </c>
      <c r="B190" s="1155">
        <v>0.84689999999999999</v>
      </c>
      <c r="C190" s="1155">
        <v>0.84689999999999999</v>
      </c>
      <c r="D190" s="1155">
        <v>0.74670000000000003</v>
      </c>
      <c r="E190" s="1155">
        <v>0.74670000000000003</v>
      </c>
      <c r="F190" s="1155">
        <v>0.74670000000000003</v>
      </c>
      <c r="G190" s="1155">
        <v>0.74670000000000003</v>
      </c>
      <c r="H190" s="1155">
        <v>0.74670000000000003</v>
      </c>
      <c r="I190" s="1155">
        <v>0.64980000000000004</v>
      </c>
      <c r="J190" s="1155">
        <v>0.64980000000000004</v>
      </c>
      <c r="K190" s="1155">
        <v>0.64980000000000004</v>
      </c>
      <c r="L190" s="1155">
        <v>0.64980000000000004</v>
      </c>
      <c r="M190" s="1155">
        <v>0.64980000000000004</v>
      </c>
    </row>
    <row r="191" spans="1:13">
      <c r="A191" s="1152">
        <v>8.6999999999999993</v>
      </c>
      <c r="B191" s="1155">
        <v>0.84550000000000003</v>
      </c>
      <c r="C191" s="1155">
        <v>0.84550000000000003</v>
      </c>
      <c r="D191" s="1155">
        <v>0.74519999999999997</v>
      </c>
      <c r="E191" s="1155">
        <v>0.74519999999999997</v>
      </c>
      <c r="F191" s="1155">
        <v>0.74519999999999997</v>
      </c>
      <c r="G191" s="1155">
        <v>0.74519999999999997</v>
      </c>
      <c r="H191" s="1155">
        <v>0.74519999999999997</v>
      </c>
      <c r="I191" s="1155">
        <v>0.6482</v>
      </c>
      <c r="J191" s="1155">
        <v>0.6482</v>
      </c>
      <c r="K191" s="1155">
        <v>0.6482</v>
      </c>
      <c r="L191" s="1155">
        <v>0.6482</v>
      </c>
      <c r="M191" s="1155">
        <v>0.6482</v>
      </c>
    </row>
    <row r="192" spans="1:13">
      <c r="A192" s="1152">
        <v>8.8000000000000007</v>
      </c>
      <c r="B192" s="1155">
        <v>0.84409999999999996</v>
      </c>
      <c r="C192" s="1155">
        <v>0.84409999999999996</v>
      </c>
      <c r="D192" s="1155">
        <v>0.74370000000000003</v>
      </c>
      <c r="E192" s="1155">
        <v>0.74370000000000003</v>
      </c>
      <c r="F192" s="1155">
        <v>0.74370000000000003</v>
      </c>
      <c r="G192" s="1155">
        <v>0.74370000000000003</v>
      </c>
      <c r="H192" s="1155">
        <v>0.74370000000000003</v>
      </c>
      <c r="I192" s="1155">
        <v>0.64659999999999995</v>
      </c>
      <c r="J192" s="1155">
        <v>0.64659999999999995</v>
      </c>
      <c r="K192" s="1155">
        <v>0.64659999999999995</v>
      </c>
      <c r="L192" s="1155">
        <v>0.64659999999999995</v>
      </c>
      <c r="M192" s="1155">
        <v>0.64659999999999995</v>
      </c>
    </row>
    <row r="193" spans="1:13">
      <c r="A193" s="1152">
        <v>8.9</v>
      </c>
      <c r="B193" s="1155">
        <v>0.84279999999999999</v>
      </c>
      <c r="C193" s="1155">
        <v>0.84279999999999999</v>
      </c>
      <c r="D193" s="1155">
        <v>0.74219999999999997</v>
      </c>
      <c r="E193" s="1155">
        <v>0.74219999999999997</v>
      </c>
      <c r="F193" s="1155">
        <v>0.74219999999999997</v>
      </c>
      <c r="G193" s="1155">
        <v>0.74219999999999997</v>
      </c>
      <c r="H193" s="1155">
        <v>0.74219999999999997</v>
      </c>
      <c r="I193" s="1155">
        <v>0.64500000000000002</v>
      </c>
      <c r="J193" s="1155">
        <v>0.64500000000000002</v>
      </c>
      <c r="K193" s="1155">
        <v>0.64500000000000002</v>
      </c>
      <c r="L193" s="1155">
        <v>0.64500000000000002</v>
      </c>
      <c r="M193" s="1155">
        <v>0.64500000000000002</v>
      </c>
    </row>
    <row r="194" spans="1:13">
      <c r="A194" s="1156">
        <v>9</v>
      </c>
      <c r="B194" s="1155">
        <v>0.84150000000000003</v>
      </c>
      <c r="C194" s="1155">
        <v>0.84150000000000003</v>
      </c>
      <c r="D194" s="1155">
        <v>0.74070000000000003</v>
      </c>
      <c r="E194" s="1155">
        <v>0.74070000000000003</v>
      </c>
      <c r="F194" s="1155">
        <v>0.74070000000000003</v>
      </c>
      <c r="G194" s="1155">
        <v>0.74070000000000003</v>
      </c>
      <c r="H194" s="1155">
        <v>0.74070000000000003</v>
      </c>
      <c r="I194" s="1155">
        <v>0.64349999999999996</v>
      </c>
      <c r="J194" s="1155">
        <v>0.64349999999999996</v>
      </c>
      <c r="K194" s="1155">
        <v>0.64349999999999996</v>
      </c>
      <c r="L194" s="1155">
        <v>0.64349999999999996</v>
      </c>
      <c r="M194" s="1155">
        <v>0.64349999999999996</v>
      </c>
    </row>
    <row r="195" spans="1:13">
      <c r="A195" s="1156">
        <v>9.1</v>
      </c>
      <c r="B195" s="1155">
        <v>0.84019999999999995</v>
      </c>
      <c r="C195" s="1155">
        <v>0.84019999999999995</v>
      </c>
      <c r="D195" s="1155">
        <v>0.73919999999999997</v>
      </c>
      <c r="E195" s="1155">
        <v>0.73919999999999997</v>
      </c>
      <c r="F195" s="1155">
        <v>0.73919999999999997</v>
      </c>
      <c r="G195" s="1155">
        <v>0.73919999999999997</v>
      </c>
      <c r="H195" s="1155">
        <v>0.73919999999999997</v>
      </c>
      <c r="I195" s="1155">
        <v>0.64200000000000002</v>
      </c>
      <c r="J195" s="1155">
        <v>0.64200000000000002</v>
      </c>
      <c r="K195" s="1155">
        <v>0.64200000000000002</v>
      </c>
      <c r="L195" s="1155">
        <v>0.64200000000000002</v>
      </c>
      <c r="M195" s="1155">
        <v>0.64200000000000002</v>
      </c>
    </row>
    <row r="196" spans="1:13">
      <c r="A196" s="1156">
        <v>9.1999999999999993</v>
      </c>
      <c r="B196" s="1155">
        <v>0.83889999999999998</v>
      </c>
      <c r="C196" s="1155">
        <v>0.83889999999999998</v>
      </c>
      <c r="D196" s="1155">
        <v>0.73770000000000002</v>
      </c>
      <c r="E196" s="1155">
        <v>0.73770000000000002</v>
      </c>
      <c r="F196" s="1155">
        <v>0.73770000000000002</v>
      </c>
      <c r="G196" s="1155">
        <v>0.73770000000000002</v>
      </c>
      <c r="H196" s="1155">
        <v>0.73770000000000002</v>
      </c>
      <c r="I196" s="1155">
        <v>0.64059999999999995</v>
      </c>
      <c r="J196" s="1155">
        <v>0.64059999999999995</v>
      </c>
      <c r="K196" s="1155">
        <v>0.64059999999999995</v>
      </c>
      <c r="L196" s="1155">
        <v>0.64059999999999995</v>
      </c>
      <c r="M196" s="1155">
        <v>0.64059999999999995</v>
      </c>
    </row>
    <row r="197" spans="1:13">
      <c r="A197" s="1156">
        <v>9.3000000000000007</v>
      </c>
      <c r="B197" s="1155">
        <v>0.83760000000000001</v>
      </c>
      <c r="C197" s="1155">
        <v>0.83760000000000001</v>
      </c>
      <c r="D197" s="1155">
        <v>0.73629999999999995</v>
      </c>
      <c r="E197" s="1155">
        <v>0.73629999999999995</v>
      </c>
      <c r="F197" s="1155">
        <v>0.73629999999999995</v>
      </c>
      <c r="G197" s="1155">
        <v>0.73629999999999995</v>
      </c>
      <c r="H197" s="1155">
        <v>0.73629999999999995</v>
      </c>
      <c r="I197" s="1155">
        <v>0.63919999999999999</v>
      </c>
      <c r="J197" s="1155">
        <v>0.63919999999999999</v>
      </c>
      <c r="K197" s="1155">
        <v>0.63919999999999999</v>
      </c>
      <c r="L197" s="1155">
        <v>0.63919999999999999</v>
      </c>
      <c r="M197" s="1155">
        <v>0.63919999999999999</v>
      </c>
    </row>
    <row r="198" spans="1:13">
      <c r="A198" s="1156">
        <v>9.4</v>
      </c>
      <c r="B198" s="1155">
        <v>0.83630000000000004</v>
      </c>
      <c r="C198" s="1155">
        <v>0.83630000000000004</v>
      </c>
      <c r="D198" s="1155">
        <v>0.7349</v>
      </c>
      <c r="E198" s="1155">
        <v>0.7349</v>
      </c>
      <c r="F198" s="1155">
        <v>0.7349</v>
      </c>
      <c r="G198" s="1155">
        <v>0.7349</v>
      </c>
      <c r="H198" s="1155">
        <v>0.7349</v>
      </c>
      <c r="I198" s="1155">
        <v>0.63780000000000003</v>
      </c>
      <c r="J198" s="1155">
        <v>0.63780000000000003</v>
      </c>
      <c r="K198" s="1155">
        <v>0.63780000000000003</v>
      </c>
      <c r="L198" s="1155">
        <v>0.63780000000000003</v>
      </c>
      <c r="M198" s="1155">
        <v>0.63780000000000003</v>
      </c>
    </row>
    <row r="199" spans="1:13">
      <c r="A199" s="1156">
        <v>9.5</v>
      </c>
      <c r="B199" s="1155">
        <v>0.83499999999999996</v>
      </c>
      <c r="C199" s="1155">
        <v>0.83499999999999996</v>
      </c>
      <c r="D199" s="1155">
        <v>0.73350000000000004</v>
      </c>
      <c r="E199" s="1155">
        <v>0.73350000000000004</v>
      </c>
      <c r="F199" s="1155">
        <v>0.73350000000000004</v>
      </c>
      <c r="G199" s="1155">
        <v>0.73350000000000004</v>
      </c>
      <c r="H199" s="1155">
        <v>0.73350000000000004</v>
      </c>
      <c r="I199" s="1155">
        <v>0.63639999999999997</v>
      </c>
      <c r="J199" s="1155">
        <v>0.63639999999999997</v>
      </c>
      <c r="K199" s="1155">
        <v>0.63639999999999997</v>
      </c>
      <c r="L199" s="1155">
        <v>0.63639999999999997</v>
      </c>
      <c r="M199" s="1155">
        <v>0.63639999999999997</v>
      </c>
    </row>
    <row r="200" spans="1:13">
      <c r="A200" s="1156">
        <v>9.6</v>
      </c>
      <c r="B200" s="1155">
        <v>0.83379999999999999</v>
      </c>
      <c r="C200" s="1155">
        <v>0.83379999999999999</v>
      </c>
      <c r="D200" s="1155">
        <v>0.73209999999999997</v>
      </c>
      <c r="E200" s="1155">
        <v>0.73209999999999997</v>
      </c>
      <c r="F200" s="1155">
        <v>0.73209999999999997</v>
      </c>
      <c r="G200" s="1155">
        <v>0.73209999999999997</v>
      </c>
      <c r="H200" s="1155">
        <v>0.73209999999999997</v>
      </c>
      <c r="I200" s="1155">
        <v>0.63500000000000001</v>
      </c>
      <c r="J200" s="1155">
        <v>0.63500000000000001</v>
      </c>
      <c r="K200" s="1155">
        <v>0.63500000000000001</v>
      </c>
      <c r="L200" s="1155">
        <v>0.63500000000000001</v>
      </c>
      <c r="M200" s="1155">
        <v>0.63500000000000001</v>
      </c>
    </row>
    <row r="201" spans="1:13">
      <c r="A201" s="1156">
        <v>9.6999999999999993</v>
      </c>
      <c r="B201" s="1155">
        <v>0.83260000000000001</v>
      </c>
      <c r="C201" s="1155">
        <v>0.83260000000000001</v>
      </c>
      <c r="D201" s="1155">
        <v>0.73070000000000002</v>
      </c>
      <c r="E201" s="1155">
        <v>0.73070000000000002</v>
      </c>
      <c r="F201" s="1155">
        <v>0.73070000000000002</v>
      </c>
      <c r="G201" s="1155">
        <v>0.73070000000000002</v>
      </c>
      <c r="H201" s="1155">
        <v>0.73070000000000002</v>
      </c>
      <c r="I201" s="1155">
        <v>0.63360000000000005</v>
      </c>
      <c r="J201" s="1155">
        <v>0.63360000000000005</v>
      </c>
      <c r="K201" s="1155">
        <v>0.63360000000000005</v>
      </c>
      <c r="L201" s="1155">
        <v>0.63360000000000005</v>
      </c>
      <c r="M201" s="1155">
        <v>0.63360000000000005</v>
      </c>
    </row>
    <row r="202" spans="1:13">
      <c r="A202" s="1156">
        <v>9.8000000000000007</v>
      </c>
      <c r="B202" s="1155">
        <v>0.83140000000000003</v>
      </c>
      <c r="C202" s="1155">
        <v>0.83140000000000003</v>
      </c>
      <c r="D202" s="1155">
        <v>0.72929999999999995</v>
      </c>
      <c r="E202" s="1155">
        <v>0.72929999999999995</v>
      </c>
      <c r="F202" s="1155">
        <v>0.72929999999999995</v>
      </c>
      <c r="G202" s="1155">
        <v>0.72929999999999995</v>
      </c>
      <c r="H202" s="1155">
        <v>0.72929999999999995</v>
      </c>
      <c r="I202" s="1155">
        <v>0.63219999999999998</v>
      </c>
      <c r="J202" s="1155">
        <v>0.63219999999999998</v>
      </c>
      <c r="K202" s="1155">
        <v>0.63219999999999998</v>
      </c>
      <c r="L202" s="1155">
        <v>0.63219999999999998</v>
      </c>
      <c r="M202" s="1155">
        <v>0.63219999999999998</v>
      </c>
    </row>
    <row r="203" spans="1:13">
      <c r="A203" s="1156">
        <v>9.9</v>
      </c>
      <c r="B203" s="1155">
        <v>0.83020000000000005</v>
      </c>
      <c r="C203" s="1155">
        <v>0.83020000000000005</v>
      </c>
      <c r="D203" s="1155">
        <v>0.72799999999999998</v>
      </c>
      <c r="E203" s="1155">
        <v>0.72799999999999998</v>
      </c>
      <c r="F203" s="1155">
        <v>0.72799999999999998</v>
      </c>
      <c r="G203" s="1155">
        <v>0.72799999999999998</v>
      </c>
      <c r="H203" s="1155">
        <v>0.72799999999999998</v>
      </c>
      <c r="I203" s="1155">
        <v>0.63080000000000003</v>
      </c>
      <c r="J203" s="1155">
        <v>0.63080000000000003</v>
      </c>
      <c r="K203" s="1155">
        <v>0.63080000000000003</v>
      </c>
      <c r="L203" s="1155">
        <v>0.63080000000000003</v>
      </c>
      <c r="M203" s="1155">
        <v>0.63080000000000003</v>
      </c>
    </row>
    <row r="204" spans="1:13">
      <c r="A204" s="1156">
        <v>10</v>
      </c>
      <c r="B204" s="1155">
        <v>0.82899999999999996</v>
      </c>
      <c r="C204" s="1155">
        <v>0.82899999999999996</v>
      </c>
      <c r="D204" s="1155">
        <v>0.72670000000000001</v>
      </c>
      <c r="E204" s="1155">
        <v>0.72670000000000001</v>
      </c>
      <c r="F204" s="1155">
        <v>0.72670000000000001</v>
      </c>
      <c r="G204" s="1155">
        <v>0.72670000000000001</v>
      </c>
      <c r="H204" s="1155">
        <v>0.72670000000000001</v>
      </c>
      <c r="I204" s="1155">
        <v>0.62939999999999996</v>
      </c>
      <c r="J204" s="1155">
        <v>0.62939999999999996</v>
      </c>
      <c r="K204" s="1155">
        <v>0.62939999999999996</v>
      </c>
      <c r="L204" s="1155">
        <v>0.62939999999999996</v>
      </c>
      <c r="M204" s="1155">
        <v>0.62939999999999996</v>
      </c>
    </row>
    <row r="205" spans="1:13" ht="15.6">
      <c r="A205" s="1150" t="s">
        <v>2152</v>
      </c>
      <c r="B205" s="1151"/>
      <c r="C205" s="1151"/>
      <c r="D205" s="1151"/>
      <c r="E205" s="1151"/>
      <c r="F205" s="1151"/>
      <c r="G205" s="1151"/>
      <c r="H205" s="1151"/>
      <c r="I205" s="1151"/>
      <c r="J205" s="1151"/>
      <c r="K205" s="1151"/>
      <c r="L205" s="1151"/>
      <c r="M205" s="1151"/>
    </row>
    <row r="206" spans="1:13">
      <c r="A206" s="1152" t="s">
        <v>105</v>
      </c>
      <c r="B206" s="1153" t="s">
        <v>242</v>
      </c>
      <c r="C206" s="1153" t="s">
        <v>255</v>
      </c>
      <c r="D206" s="1153" t="s">
        <v>267</v>
      </c>
      <c r="E206" s="1153" t="s">
        <v>277</v>
      </c>
      <c r="F206" s="1153" t="s">
        <v>286</v>
      </c>
      <c r="G206" s="1153" t="s">
        <v>294</v>
      </c>
      <c r="H206" s="1154" t="s">
        <v>299</v>
      </c>
      <c r="I206" s="1154" t="s">
        <v>304</v>
      </c>
      <c r="J206" s="1157" t="s">
        <v>307</v>
      </c>
      <c r="K206" s="1157" t="s">
        <v>310</v>
      </c>
      <c r="L206" s="1157" t="s">
        <v>313</v>
      </c>
      <c r="M206" s="1157" t="s">
        <v>316</v>
      </c>
    </row>
    <row r="207" spans="1:13">
      <c r="A207" s="1152">
        <v>0.1</v>
      </c>
      <c r="B207" s="1155">
        <v>12.172000000000001</v>
      </c>
      <c r="C207" s="1155">
        <v>12.172000000000001</v>
      </c>
      <c r="D207" s="1155">
        <v>12.375999999999999</v>
      </c>
      <c r="E207" s="1155">
        <v>12.375999999999999</v>
      </c>
      <c r="F207" s="1155">
        <v>12.375999999999999</v>
      </c>
      <c r="G207" s="1155">
        <v>12.375999999999999</v>
      </c>
      <c r="H207" s="1155">
        <v>12.375999999999999</v>
      </c>
      <c r="I207" s="1155">
        <v>11.071999999999999</v>
      </c>
      <c r="J207" s="1155">
        <v>11.071999999999999</v>
      </c>
      <c r="K207" s="1155">
        <v>11.071999999999999</v>
      </c>
      <c r="L207" s="1155">
        <v>11.071999999999999</v>
      </c>
      <c r="M207" s="1155">
        <v>11.071999999999999</v>
      </c>
    </row>
    <row r="208" spans="1:13">
      <c r="A208" s="1152">
        <v>0.2</v>
      </c>
      <c r="B208" s="1155">
        <v>6.0860000000000003</v>
      </c>
      <c r="C208" s="1155">
        <v>6.0860000000000003</v>
      </c>
      <c r="D208" s="1155">
        <v>6.1879999999999997</v>
      </c>
      <c r="E208" s="1155">
        <v>6.1879999999999997</v>
      </c>
      <c r="F208" s="1155">
        <v>6.1879999999999997</v>
      </c>
      <c r="G208" s="1155">
        <v>6.1879999999999997</v>
      </c>
      <c r="H208" s="1155">
        <v>6.1879999999999997</v>
      </c>
      <c r="I208" s="1155">
        <v>5.5359999999999996</v>
      </c>
      <c r="J208" s="1155">
        <v>5.5359999999999996</v>
      </c>
      <c r="K208" s="1155">
        <v>5.5359999999999996</v>
      </c>
      <c r="L208" s="1155">
        <v>5.5359999999999996</v>
      </c>
      <c r="M208" s="1155">
        <v>5.5359999999999996</v>
      </c>
    </row>
    <row r="209" spans="1:13">
      <c r="A209" s="1152">
        <v>0.3</v>
      </c>
      <c r="B209" s="1155">
        <v>4.0572999999999997</v>
      </c>
      <c r="C209" s="1155">
        <v>4.0572999999999997</v>
      </c>
      <c r="D209" s="1155">
        <v>4.1253000000000002</v>
      </c>
      <c r="E209" s="1155">
        <v>4.1253000000000002</v>
      </c>
      <c r="F209" s="1155">
        <v>4.1253000000000002</v>
      </c>
      <c r="G209" s="1155">
        <v>4.1253000000000002</v>
      </c>
      <c r="H209" s="1155">
        <v>4.1253000000000002</v>
      </c>
      <c r="I209" s="1155">
        <v>3.6907000000000001</v>
      </c>
      <c r="J209" s="1155">
        <v>3.6907000000000001</v>
      </c>
      <c r="K209" s="1155">
        <v>3.6907000000000001</v>
      </c>
      <c r="L209" s="1155">
        <v>3.6907000000000001</v>
      </c>
      <c r="M209" s="1155">
        <v>3.6907000000000001</v>
      </c>
    </row>
    <row r="210" spans="1:13">
      <c r="A210" s="1152">
        <v>0.4</v>
      </c>
      <c r="B210" s="1155">
        <v>3.0430000000000001</v>
      </c>
      <c r="C210" s="1155">
        <v>3.0430000000000001</v>
      </c>
      <c r="D210" s="1155">
        <v>3.0939999999999999</v>
      </c>
      <c r="E210" s="1155">
        <v>3.0939999999999999</v>
      </c>
      <c r="F210" s="1155">
        <v>3.0939999999999999</v>
      </c>
      <c r="G210" s="1155">
        <v>3.0939999999999999</v>
      </c>
      <c r="H210" s="1155">
        <v>3.0939999999999999</v>
      </c>
      <c r="I210" s="1155">
        <v>2.7679999999999998</v>
      </c>
      <c r="J210" s="1155">
        <v>2.7679999999999998</v>
      </c>
      <c r="K210" s="1155">
        <v>2.7679999999999998</v>
      </c>
      <c r="L210" s="1155">
        <v>2.7679999999999998</v>
      </c>
      <c r="M210" s="1155">
        <v>2.7679999999999998</v>
      </c>
    </row>
    <row r="211" spans="1:13">
      <c r="A211" s="1152">
        <v>0.5</v>
      </c>
      <c r="B211" s="1155">
        <v>2.4344000000000001</v>
      </c>
      <c r="C211" s="1155">
        <v>2.4344000000000001</v>
      </c>
      <c r="D211" s="1155">
        <v>2.4752000000000001</v>
      </c>
      <c r="E211" s="1155">
        <v>2.4752000000000001</v>
      </c>
      <c r="F211" s="1155">
        <v>2.4752000000000001</v>
      </c>
      <c r="G211" s="1155">
        <v>2.4752000000000001</v>
      </c>
      <c r="H211" s="1155">
        <v>2.4752000000000001</v>
      </c>
      <c r="I211" s="1155">
        <v>2.2143999999999999</v>
      </c>
      <c r="J211" s="1155">
        <v>2.2143999999999999</v>
      </c>
      <c r="K211" s="1155">
        <v>2.2143999999999999</v>
      </c>
      <c r="L211" s="1155">
        <v>2.2143999999999999</v>
      </c>
      <c r="M211" s="1155">
        <v>2.2143999999999999</v>
      </c>
    </row>
    <row r="212" spans="1:13">
      <c r="A212" s="1152">
        <v>0.6</v>
      </c>
      <c r="B212" s="1155">
        <v>2.0287000000000002</v>
      </c>
      <c r="C212" s="1155">
        <v>2.0287000000000002</v>
      </c>
      <c r="D212" s="1155">
        <v>2.0627</v>
      </c>
      <c r="E212" s="1155">
        <v>2.0627</v>
      </c>
      <c r="F212" s="1155">
        <v>2.0627</v>
      </c>
      <c r="G212" s="1155">
        <v>2.0627</v>
      </c>
      <c r="H212" s="1155">
        <v>2.0627</v>
      </c>
      <c r="I212" s="1155">
        <v>1.8452999999999999</v>
      </c>
      <c r="J212" s="1155">
        <v>1.8452999999999999</v>
      </c>
      <c r="K212" s="1155">
        <v>1.8452999999999999</v>
      </c>
      <c r="L212" s="1155">
        <v>1.8452999999999999</v>
      </c>
      <c r="M212" s="1155">
        <v>1.8452999999999999</v>
      </c>
    </row>
    <row r="213" spans="1:13">
      <c r="A213" s="1152">
        <v>0.7</v>
      </c>
      <c r="B213" s="1155">
        <v>1.7388999999999999</v>
      </c>
      <c r="C213" s="1155">
        <v>1.7388999999999999</v>
      </c>
      <c r="D213" s="1155">
        <v>1.768</v>
      </c>
      <c r="E213" s="1155">
        <v>1.768</v>
      </c>
      <c r="F213" s="1155">
        <v>1.768</v>
      </c>
      <c r="G213" s="1155">
        <v>1.768</v>
      </c>
      <c r="H213" s="1155">
        <v>1.768</v>
      </c>
      <c r="I213" s="1155">
        <v>1.5817000000000001</v>
      </c>
      <c r="J213" s="1155">
        <v>1.5817000000000001</v>
      </c>
      <c r="K213" s="1155">
        <v>1.5817000000000001</v>
      </c>
      <c r="L213" s="1155">
        <v>1.5817000000000001</v>
      </c>
      <c r="M213" s="1155">
        <v>1.5817000000000001</v>
      </c>
    </row>
    <row r="214" spans="1:13">
      <c r="A214" s="1152">
        <v>0.8</v>
      </c>
      <c r="B214" s="1155">
        <v>1.5215000000000001</v>
      </c>
      <c r="C214" s="1155">
        <v>1.5215000000000001</v>
      </c>
      <c r="D214" s="1155">
        <v>1.5469999999999999</v>
      </c>
      <c r="E214" s="1155">
        <v>1.5469999999999999</v>
      </c>
      <c r="F214" s="1155">
        <v>1.5469999999999999</v>
      </c>
      <c r="G214" s="1155">
        <v>1.5469999999999999</v>
      </c>
      <c r="H214" s="1155">
        <v>1.5469999999999999</v>
      </c>
      <c r="I214" s="1155">
        <v>1.3839999999999999</v>
      </c>
      <c r="J214" s="1155">
        <v>1.3839999999999999</v>
      </c>
      <c r="K214" s="1155">
        <v>1.3839999999999999</v>
      </c>
      <c r="L214" s="1155">
        <v>1.3839999999999999</v>
      </c>
      <c r="M214" s="1155">
        <v>1.3839999999999999</v>
      </c>
    </row>
    <row r="215" spans="1:13">
      <c r="A215" s="1152">
        <v>0.9</v>
      </c>
      <c r="B215" s="1155">
        <v>1.3524</v>
      </c>
      <c r="C215" s="1155">
        <v>1.3524</v>
      </c>
      <c r="D215" s="1155">
        <v>1.3751</v>
      </c>
      <c r="E215" s="1155">
        <v>1.3751</v>
      </c>
      <c r="F215" s="1155">
        <v>1.3751</v>
      </c>
      <c r="G215" s="1155">
        <v>1.3751</v>
      </c>
      <c r="H215" s="1155">
        <v>1.3751</v>
      </c>
      <c r="I215" s="1155">
        <v>1.2302</v>
      </c>
      <c r="J215" s="1155">
        <v>1.2302</v>
      </c>
      <c r="K215" s="1155">
        <v>1.2302</v>
      </c>
      <c r="L215" s="1155">
        <v>1.2302</v>
      </c>
      <c r="M215" s="1155">
        <v>1.2302</v>
      </c>
    </row>
    <row r="216" spans="1:13">
      <c r="A216" s="1152">
        <v>1</v>
      </c>
      <c r="B216" s="1155">
        <v>1.2172000000000001</v>
      </c>
      <c r="C216" s="1155">
        <v>1.2172000000000001</v>
      </c>
      <c r="D216" s="1155">
        <v>1.2376</v>
      </c>
      <c r="E216" s="1155">
        <v>1.2376</v>
      </c>
      <c r="F216" s="1155">
        <v>1.2376</v>
      </c>
      <c r="G216" s="1155">
        <v>1.2376</v>
      </c>
      <c r="H216" s="1155">
        <v>1.2376</v>
      </c>
      <c r="I216" s="1155">
        <v>1.1072</v>
      </c>
      <c r="J216" s="1155">
        <v>1.1072</v>
      </c>
      <c r="K216" s="1155">
        <v>1.1072</v>
      </c>
      <c r="L216" s="1155">
        <v>1.1072</v>
      </c>
      <c r="M216" s="1155">
        <v>1.1072</v>
      </c>
    </row>
    <row r="217" spans="1:13">
      <c r="A217" s="1152">
        <v>1.1000000000000001</v>
      </c>
      <c r="B217" s="1155">
        <v>1.198</v>
      </c>
      <c r="C217" s="1155">
        <v>1.198</v>
      </c>
      <c r="D217" s="1155">
        <v>1.2156</v>
      </c>
      <c r="E217" s="1155">
        <v>1.2156</v>
      </c>
      <c r="F217" s="1155">
        <v>1.2156</v>
      </c>
      <c r="G217" s="1155">
        <v>1.2156</v>
      </c>
      <c r="H217" s="1155">
        <v>1.2156</v>
      </c>
      <c r="I217" s="1155">
        <v>1.0829</v>
      </c>
      <c r="J217" s="1155">
        <v>1.0829</v>
      </c>
      <c r="K217" s="1155">
        <v>1.0829</v>
      </c>
      <c r="L217" s="1155">
        <v>1.0829</v>
      </c>
      <c r="M217" s="1155">
        <v>1.0829</v>
      </c>
    </row>
    <row r="218" spans="1:13">
      <c r="A218" s="1152">
        <v>1.2</v>
      </c>
      <c r="B218" s="1155">
        <v>1.1795</v>
      </c>
      <c r="C218" s="1155">
        <v>1.1795</v>
      </c>
      <c r="D218" s="1155">
        <v>1.1947000000000001</v>
      </c>
      <c r="E218" s="1155">
        <v>1.1947000000000001</v>
      </c>
      <c r="F218" s="1155">
        <v>1.1947000000000001</v>
      </c>
      <c r="G218" s="1155">
        <v>1.1947000000000001</v>
      </c>
      <c r="H218" s="1155">
        <v>1.1947000000000001</v>
      </c>
      <c r="I218" s="1155">
        <v>1.0601</v>
      </c>
      <c r="J218" s="1155">
        <v>1.0601</v>
      </c>
      <c r="K218" s="1155">
        <v>1.0601</v>
      </c>
      <c r="L218" s="1155">
        <v>1.0601</v>
      </c>
      <c r="M218" s="1155">
        <v>1.0601</v>
      </c>
    </row>
    <row r="219" spans="1:13">
      <c r="A219" s="1152">
        <v>1.3</v>
      </c>
      <c r="B219" s="1155">
        <v>1.1617999999999999</v>
      </c>
      <c r="C219" s="1155">
        <v>1.1617999999999999</v>
      </c>
      <c r="D219" s="1155">
        <v>1.1748000000000001</v>
      </c>
      <c r="E219" s="1155">
        <v>1.1748000000000001</v>
      </c>
      <c r="F219" s="1155">
        <v>1.1748000000000001</v>
      </c>
      <c r="G219" s="1155">
        <v>1.1748000000000001</v>
      </c>
      <c r="H219" s="1155">
        <v>1.1748000000000001</v>
      </c>
      <c r="I219" s="1155">
        <v>1.0387999999999999</v>
      </c>
      <c r="J219" s="1155">
        <v>1.0387999999999999</v>
      </c>
      <c r="K219" s="1155">
        <v>1.0387999999999999</v>
      </c>
      <c r="L219" s="1155">
        <v>1.0387999999999999</v>
      </c>
      <c r="M219" s="1155">
        <v>1.0387999999999999</v>
      </c>
    </row>
    <row r="220" spans="1:13">
      <c r="A220" s="1152">
        <v>1.4</v>
      </c>
      <c r="B220" s="1155">
        <v>1.1448</v>
      </c>
      <c r="C220" s="1155">
        <v>1.1448</v>
      </c>
      <c r="D220" s="1155">
        <v>1.1557999999999999</v>
      </c>
      <c r="E220" s="1155">
        <v>1.1557999999999999</v>
      </c>
      <c r="F220" s="1155">
        <v>1.1557999999999999</v>
      </c>
      <c r="G220" s="1155">
        <v>1.1557999999999999</v>
      </c>
      <c r="H220" s="1155">
        <v>1.1557999999999999</v>
      </c>
      <c r="I220" s="1155">
        <v>1.0187999999999999</v>
      </c>
      <c r="J220" s="1155">
        <v>1.0187999999999999</v>
      </c>
      <c r="K220" s="1155">
        <v>1.0187999999999999</v>
      </c>
      <c r="L220" s="1155">
        <v>1.0187999999999999</v>
      </c>
      <c r="M220" s="1155">
        <v>1.0187999999999999</v>
      </c>
    </row>
    <row r="221" spans="1:13">
      <c r="A221" s="1152">
        <v>1.5</v>
      </c>
      <c r="B221" s="1155">
        <v>1.1285000000000001</v>
      </c>
      <c r="C221" s="1155">
        <v>1.1285000000000001</v>
      </c>
      <c r="D221" s="1155">
        <v>1.1377999999999999</v>
      </c>
      <c r="E221" s="1155">
        <v>1.1377999999999999</v>
      </c>
      <c r="F221" s="1155">
        <v>1.1377999999999999</v>
      </c>
      <c r="G221" s="1155">
        <v>1.1377999999999999</v>
      </c>
      <c r="H221" s="1155">
        <v>1.1377999999999999</v>
      </c>
      <c r="I221" s="1155">
        <v>1</v>
      </c>
      <c r="J221" s="1155">
        <v>1</v>
      </c>
      <c r="K221" s="1155">
        <v>1</v>
      </c>
      <c r="L221" s="1155">
        <v>1</v>
      </c>
      <c r="M221" s="1155">
        <v>1</v>
      </c>
    </row>
    <row r="222" spans="1:13">
      <c r="A222" s="1152">
        <v>1.6</v>
      </c>
      <c r="B222" s="1155">
        <v>1.1129</v>
      </c>
      <c r="C222" s="1155">
        <v>1.1129</v>
      </c>
      <c r="D222" s="1155">
        <v>1.1206</v>
      </c>
      <c r="E222" s="1155">
        <v>1.1206</v>
      </c>
      <c r="F222" s="1155">
        <v>1.1206</v>
      </c>
      <c r="G222" s="1155">
        <v>1.1206</v>
      </c>
      <c r="H222" s="1155">
        <v>1.1206</v>
      </c>
      <c r="I222" s="1155">
        <v>0.98240000000000005</v>
      </c>
      <c r="J222" s="1155">
        <v>0.98240000000000005</v>
      </c>
      <c r="K222" s="1155">
        <v>0.98240000000000005</v>
      </c>
      <c r="L222" s="1155">
        <v>0.98240000000000005</v>
      </c>
      <c r="M222" s="1155">
        <v>0.98240000000000005</v>
      </c>
    </row>
    <row r="223" spans="1:13">
      <c r="A223" s="1152">
        <v>1.7</v>
      </c>
      <c r="B223" s="1155">
        <v>1.0980000000000001</v>
      </c>
      <c r="C223" s="1155">
        <v>1.0980000000000001</v>
      </c>
      <c r="D223" s="1155">
        <v>1.1043000000000001</v>
      </c>
      <c r="E223" s="1155">
        <v>1.1043000000000001</v>
      </c>
      <c r="F223" s="1155">
        <v>1.1043000000000001</v>
      </c>
      <c r="G223" s="1155">
        <v>1.1043000000000001</v>
      </c>
      <c r="H223" s="1155">
        <v>1.1043000000000001</v>
      </c>
      <c r="I223" s="1155">
        <v>0.96579999999999999</v>
      </c>
      <c r="J223" s="1155">
        <v>0.96579999999999999</v>
      </c>
      <c r="K223" s="1155">
        <v>0.96579999999999999</v>
      </c>
      <c r="L223" s="1155">
        <v>0.96579999999999999</v>
      </c>
      <c r="M223" s="1155">
        <v>0.96579999999999999</v>
      </c>
    </row>
    <row r="224" spans="1:13">
      <c r="A224" s="1152">
        <v>1.8</v>
      </c>
      <c r="B224" s="1155">
        <v>1.0835999999999999</v>
      </c>
      <c r="C224" s="1155">
        <v>1.0835999999999999</v>
      </c>
      <c r="D224" s="1155">
        <v>1.0888</v>
      </c>
      <c r="E224" s="1155">
        <v>1.0888</v>
      </c>
      <c r="F224" s="1155">
        <v>1.0888</v>
      </c>
      <c r="G224" s="1155">
        <v>1.0888</v>
      </c>
      <c r="H224" s="1155">
        <v>1.0888</v>
      </c>
      <c r="I224" s="1155">
        <v>0.95030000000000003</v>
      </c>
      <c r="J224" s="1155">
        <v>0.95030000000000003</v>
      </c>
      <c r="K224" s="1155">
        <v>0.95030000000000003</v>
      </c>
      <c r="L224" s="1155">
        <v>0.95030000000000003</v>
      </c>
      <c r="M224" s="1155">
        <v>0.95030000000000003</v>
      </c>
    </row>
    <row r="225" spans="1:13">
      <c r="A225" s="1152">
        <v>1.9</v>
      </c>
      <c r="B225" s="1155">
        <v>1.0698000000000001</v>
      </c>
      <c r="C225" s="1155">
        <v>1.0698000000000001</v>
      </c>
      <c r="D225" s="1155">
        <v>1.0741000000000001</v>
      </c>
      <c r="E225" s="1155">
        <v>1.0741000000000001</v>
      </c>
      <c r="F225" s="1155">
        <v>1.0741000000000001</v>
      </c>
      <c r="G225" s="1155">
        <v>1.0741000000000001</v>
      </c>
      <c r="H225" s="1155">
        <v>1.0741000000000001</v>
      </c>
      <c r="I225" s="1155">
        <v>0.93610000000000004</v>
      </c>
      <c r="J225" s="1155">
        <v>0.93610000000000004</v>
      </c>
      <c r="K225" s="1155">
        <v>0.93610000000000004</v>
      </c>
      <c r="L225" s="1155">
        <v>0.93610000000000004</v>
      </c>
      <c r="M225" s="1155">
        <v>0.93610000000000004</v>
      </c>
    </row>
    <row r="226" spans="1:13">
      <c r="A226" s="1152">
        <v>2</v>
      </c>
      <c r="B226" s="1155">
        <v>1.0568</v>
      </c>
      <c r="C226" s="1155">
        <v>1.0568</v>
      </c>
      <c r="D226" s="1155">
        <v>1.0601</v>
      </c>
      <c r="E226" s="1155">
        <v>1.0601</v>
      </c>
      <c r="F226" s="1155">
        <v>1.0601</v>
      </c>
      <c r="G226" s="1155">
        <v>1.0601</v>
      </c>
      <c r="H226" s="1155">
        <v>1.0601</v>
      </c>
      <c r="I226" s="1155">
        <v>0.9224</v>
      </c>
      <c r="J226" s="1155">
        <v>0.9224</v>
      </c>
      <c r="K226" s="1155">
        <v>0.9224</v>
      </c>
      <c r="L226" s="1155">
        <v>0.9224</v>
      </c>
      <c r="M226" s="1155">
        <v>0.9224</v>
      </c>
    </row>
    <row r="227" spans="1:13">
      <c r="A227" s="1156">
        <v>2.1</v>
      </c>
      <c r="B227" s="1155">
        <v>1.0443</v>
      </c>
      <c r="C227" s="1155">
        <v>1.0443</v>
      </c>
      <c r="D227" s="1155">
        <v>1.0468</v>
      </c>
      <c r="E227" s="1155">
        <v>1.0468</v>
      </c>
      <c r="F227" s="1155">
        <v>1.0468</v>
      </c>
      <c r="G227" s="1155">
        <v>1.0468</v>
      </c>
      <c r="H227" s="1155">
        <v>1.0468</v>
      </c>
      <c r="I227" s="1155">
        <v>0.90959999999999996</v>
      </c>
      <c r="J227" s="1155">
        <v>0.90959999999999996</v>
      </c>
      <c r="K227" s="1155">
        <v>0.90959999999999996</v>
      </c>
      <c r="L227" s="1155">
        <v>0.90959999999999996</v>
      </c>
      <c r="M227" s="1155">
        <v>0.90959999999999996</v>
      </c>
    </row>
    <row r="228" spans="1:13">
      <c r="A228" s="1156">
        <v>2.2000000000000002</v>
      </c>
      <c r="B228" s="1155">
        <v>1.0325</v>
      </c>
      <c r="C228" s="1155">
        <v>1.0325</v>
      </c>
      <c r="D228" s="1155">
        <v>1.0342</v>
      </c>
      <c r="E228" s="1155">
        <v>1.0342</v>
      </c>
      <c r="F228" s="1155">
        <v>1.0342</v>
      </c>
      <c r="G228" s="1155">
        <v>1.0342</v>
      </c>
      <c r="H228" s="1155">
        <v>1.0342</v>
      </c>
      <c r="I228" s="1155">
        <v>0.89749999999999996</v>
      </c>
      <c r="J228" s="1155">
        <v>0.89749999999999996</v>
      </c>
      <c r="K228" s="1155">
        <v>0.89749999999999996</v>
      </c>
      <c r="L228" s="1155">
        <v>0.89749999999999996</v>
      </c>
      <c r="M228" s="1155">
        <v>0.89749999999999996</v>
      </c>
    </row>
    <row r="229" spans="1:13">
      <c r="A229" s="1156">
        <v>2.2999999999999998</v>
      </c>
      <c r="B229" s="1155">
        <v>1.0209999999999999</v>
      </c>
      <c r="C229" s="1155">
        <v>1.0209999999999999</v>
      </c>
      <c r="D229" s="1155">
        <v>1.0222</v>
      </c>
      <c r="E229" s="1155">
        <v>1.0222</v>
      </c>
      <c r="F229" s="1155">
        <v>1.0222</v>
      </c>
      <c r="G229" s="1155">
        <v>1.0222</v>
      </c>
      <c r="H229" s="1155">
        <v>1.0222</v>
      </c>
      <c r="I229" s="1155">
        <v>0.88619999999999999</v>
      </c>
      <c r="J229" s="1155">
        <v>0.88619999999999999</v>
      </c>
      <c r="K229" s="1155">
        <v>0.88619999999999999</v>
      </c>
      <c r="L229" s="1155">
        <v>0.88619999999999999</v>
      </c>
      <c r="M229" s="1155">
        <v>0.88619999999999999</v>
      </c>
    </row>
    <row r="230" spans="1:13">
      <c r="A230" s="1156">
        <v>2.4</v>
      </c>
      <c r="B230" s="1155">
        <v>1.0102</v>
      </c>
      <c r="C230" s="1155">
        <v>1.0102</v>
      </c>
      <c r="D230" s="1155">
        <v>1.0107999999999999</v>
      </c>
      <c r="E230" s="1155">
        <v>1.0107999999999999</v>
      </c>
      <c r="F230" s="1155">
        <v>1.0107999999999999</v>
      </c>
      <c r="G230" s="1155">
        <v>1.0107999999999999</v>
      </c>
      <c r="H230" s="1155">
        <v>1.0107999999999999</v>
      </c>
      <c r="I230" s="1155">
        <v>0.87529999999999997</v>
      </c>
      <c r="J230" s="1155">
        <v>0.87529999999999997</v>
      </c>
      <c r="K230" s="1155">
        <v>0.87529999999999997</v>
      </c>
      <c r="L230" s="1155">
        <v>0.87529999999999997</v>
      </c>
      <c r="M230" s="1155">
        <v>0.87529999999999997</v>
      </c>
    </row>
    <row r="231" spans="1:13">
      <c r="A231" s="1156">
        <v>2.5</v>
      </c>
      <c r="B231" s="1155">
        <v>1</v>
      </c>
      <c r="C231" s="1155">
        <v>1</v>
      </c>
      <c r="D231" s="1155">
        <v>1</v>
      </c>
      <c r="E231" s="1155">
        <v>1</v>
      </c>
      <c r="F231" s="1155">
        <v>1</v>
      </c>
      <c r="G231" s="1155">
        <v>1</v>
      </c>
      <c r="H231" s="1155">
        <v>1</v>
      </c>
      <c r="I231" s="1155">
        <v>0.86509999999999998</v>
      </c>
      <c r="J231" s="1155">
        <v>0.86509999999999998</v>
      </c>
      <c r="K231" s="1155">
        <v>0.86509999999999998</v>
      </c>
      <c r="L231" s="1155">
        <v>0.86509999999999998</v>
      </c>
      <c r="M231" s="1155">
        <v>0.86509999999999998</v>
      </c>
    </row>
    <row r="232" spans="1:13">
      <c r="A232" s="1156">
        <v>2.6</v>
      </c>
      <c r="B232" s="1155">
        <v>0.99029999999999996</v>
      </c>
      <c r="C232" s="1155">
        <v>0.99029999999999996</v>
      </c>
      <c r="D232" s="1155">
        <v>0.98970000000000002</v>
      </c>
      <c r="E232" s="1155">
        <v>0.98970000000000002</v>
      </c>
      <c r="F232" s="1155">
        <v>0.98970000000000002</v>
      </c>
      <c r="G232" s="1155">
        <v>0.98970000000000002</v>
      </c>
      <c r="H232" s="1155">
        <v>0.98970000000000002</v>
      </c>
      <c r="I232" s="1155">
        <v>0.85529999999999995</v>
      </c>
      <c r="J232" s="1155">
        <v>0.85529999999999995</v>
      </c>
      <c r="K232" s="1155">
        <v>0.85529999999999995</v>
      </c>
      <c r="L232" s="1155">
        <v>0.85529999999999995</v>
      </c>
      <c r="M232" s="1155">
        <v>0.85529999999999995</v>
      </c>
    </row>
    <row r="233" spans="1:13">
      <c r="A233" s="1156">
        <v>2.7</v>
      </c>
      <c r="B233" s="1155">
        <v>0.98109999999999997</v>
      </c>
      <c r="C233" s="1155">
        <v>0.98109999999999997</v>
      </c>
      <c r="D233" s="1155">
        <v>0.97989999999999999</v>
      </c>
      <c r="E233" s="1155">
        <v>0.97989999999999999</v>
      </c>
      <c r="F233" s="1155">
        <v>0.97989999999999999</v>
      </c>
      <c r="G233" s="1155">
        <v>0.97989999999999999</v>
      </c>
      <c r="H233" s="1155">
        <v>0.97989999999999999</v>
      </c>
      <c r="I233" s="1155">
        <v>0.84599999999999997</v>
      </c>
      <c r="J233" s="1155">
        <v>0.84599999999999997</v>
      </c>
      <c r="K233" s="1155">
        <v>0.84599999999999997</v>
      </c>
      <c r="L233" s="1155">
        <v>0.84599999999999997</v>
      </c>
      <c r="M233" s="1155">
        <v>0.84599999999999997</v>
      </c>
    </row>
    <row r="234" spans="1:13">
      <c r="A234" s="1156">
        <v>2.8</v>
      </c>
      <c r="B234" s="1155">
        <v>0.97240000000000004</v>
      </c>
      <c r="C234" s="1155">
        <v>0.97240000000000004</v>
      </c>
      <c r="D234" s="1155">
        <v>0.97060000000000002</v>
      </c>
      <c r="E234" s="1155">
        <v>0.97060000000000002</v>
      </c>
      <c r="F234" s="1155">
        <v>0.97060000000000002</v>
      </c>
      <c r="G234" s="1155">
        <v>0.97060000000000002</v>
      </c>
      <c r="H234" s="1155">
        <v>0.97060000000000002</v>
      </c>
      <c r="I234" s="1155">
        <v>0.83709999999999996</v>
      </c>
      <c r="J234" s="1155">
        <v>0.83709999999999996</v>
      </c>
      <c r="K234" s="1155">
        <v>0.83709999999999996</v>
      </c>
      <c r="L234" s="1155">
        <v>0.83709999999999996</v>
      </c>
      <c r="M234" s="1155">
        <v>0.83709999999999996</v>
      </c>
    </row>
    <row r="235" spans="1:13">
      <c r="A235" s="1156">
        <v>2.9</v>
      </c>
      <c r="B235" s="1155">
        <v>0.96419999999999995</v>
      </c>
      <c r="C235" s="1155">
        <v>0.96419999999999995</v>
      </c>
      <c r="D235" s="1155">
        <v>0.96179999999999999</v>
      </c>
      <c r="E235" s="1155">
        <v>0.96179999999999999</v>
      </c>
      <c r="F235" s="1155">
        <v>0.96179999999999999</v>
      </c>
      <c r="G235" s="1155">
        <v>0.96179999999999999</v>
      </c>
      <c r="H235" s="1155">
        <v>0.96179999999999999</v>
      </c>
      <c r="I235" s="1155">
        <v>0.82850000000000001</v>
      </c>
      <c r="J235" s="1155">
        <v>0.82850000000000001</v>
      </c>
      <c r="K235" s="1155">
        <v>0.82850000000000001</v>
      </c>
      <c r="L235" s="1155">
        <v>0.82850000000000001</v>
      </c>
      <c r="M235" s="1155">
        <v>0.82850000000000001</v>
      </c>
    </row>
    <row r="236" spans="1:13">
      <c r="A236" s="1156">
        <v>3</v>
      </c>
      <c r="B236" s="1155">
        <v>0.95640000000000003</v>
      </c>
      <c r="C236" s="1155">
        <v>0.95640000000000003</v>
      </c>
      <c r="D236" s="1155">
        <v>0.95340000000000003</v>
      </c>
      <c r="E236" s="1155">
        <v>0.95340000000000003</v>
      </c>
      <c r="F236" s="1155">
        <v>0.95340000000000003</v>
      </c>
      <c r="G236" s="1155">
        <v>0.95340000000000003</v>
      </c>
      <c r="H236" s="1155">
        <v>0.95340000000000003</v>
      </c>
      <c r="I236" s="1155">
        <v>0.82040000000000002</v>
      </c>
      <c r="J236" s="1155">
        <v>0.82040000000000002</v>
      </c>
      <c r="K236" s="1155">
        <v>0.82040000000000002</v>
      </c>
      <c r="L236" s="1155">
        <v>0.82040000000000002</v>
      </c>
      <c r="M236" s="1155">
        <v>0.82040000000000002</v>
      </c>
    </row>
    <row r="237" spans="1:13">
      <c r="A237" s="1156">
        <v>3.1</v>
      </c>
      <c r="B237" s="1155">
        <v>0.94899999999999995</v>
      </c>
      <c r="C237" s="1155">
        <v>0.94899999999999995</v>
      </c>
      <c r="D237" s="1155">
        <v>0.94550000000000001</v>
      </c>
      <c r="E237" s="1155">
        <v>0.94550000000000001</v>
      </c>
      <c r="F237" s="1155">
        <v>0.94550000000000001</v>
      </c>
      <c r="G237" s="1155">
        <v>0.94550000000000001</v>
      </c>
      <c r="H237" s="1155">
        <v>0.94550000000000001</v>
      </c>
      <c r="I237" s="1155">
        <v>0.81259999999999999</v>
      </c>
      <c r="J237" s="1155">
        <v>0.81259999999999999</v>
      </c>
      <c r="K237" s="1155">
        <v>0.81259999999999999</v>
      </c>
      <c r="L237" s="1155">
        <v>0.81259999999999999</v>
      </c>
      <c r="M237" s="1155">
        <v>0.81259999999999999</v>
      </c>
    </row>
    <row r="238" spans="1:13">
      <c r="A238" s="1156">
        <v>3.2</v>
      </c>
      <c r="B238" s="1155">
        <v>0.94199999999999995</v>
      </c>
      <c r="C238" s="1155">
        <v>0.94199999999999995</v>
      </c>
      <c r="D238" s="1155">
        <v>0.93789999999999996</v>
      </c>
      <c r="E238" s="1155">
        <v>0.93789999999999996</v>
      </c>
      <c r="F238" s="1155">
        <v>0.93789999999999996</v>
      </c>
      <c r="G238" s="1155">
        <v>0.93789999999999996</v>
      </c>
      <c r="H238" s="1155">
        <v>0.93789999999999996</v>
      </c>
      <c r="I238" s="1155">
        <v>0.80530000000000002</v>
      </c>
      <c r="J238" s="1155">
        <v>0.80530000000000002</v>
      </c>
      <c r="K238" s="1155">
        <v>0.80530000000000002</v>
      </c>
      <c r="L238" s="1155">
        <v>0.80530000000000002</v>
      </c>
      <c r="M238" s="1155">
        <v>0.80530000000000002</v>
      </c>
    </row>
    <row r="239" spans="1:13">
      <c r="A239" s="1156">
        <v>3.3</v>
      </c>
      <c r="B239" s="1155">
        <v>0.93540000000000001</v>
      </c>
      <c r="C239" s="1155">
        <v>0.93540000000000001</v>
      </c>
      <c r="D239" s="1155">
        <v>0.93069999999999997</v>
      </c>
      <c r="E239" s="1155">
        <v>0.93069999999999997</v>
      </c>
      <c r="F239" s="1155">
        <v>0.93069999999999997</v>
      </c>
      <c r="G239" s="1155">
        <v>0.93069999999999997</v>
      </c>
      <c r="H239" s="1155">
        <v>0.93069999999999997</v>
      </c>
      <c r="I239" s="1155">
        <v>0.79820000000000002</v>
      </c>
      <c r="J239" s="1155">
        <v>0.79820000000000002</v>
      </c>
      <c r="K239" s="1155">
        <v>0.79820000000000002</v>
      </c>
      <c r="L239" s="1155">
        <v>0.79820000000000002</v>
      </c>
      <c r="M239" s="1155">
        <v>0.79820000000000002</v>
      </c>
    </row>
    <row r="240" spans="1:13">
      <c r="A240" s="1156">
        <v>3.4</v>
      </c>
      <c r="B240" s="1155">
        <v>0.92920000000000003</v>
      </c>
      <c r="C240" s="1155">
        <v>0.92920000000000003</v>
      </c>
      <c r="D240" s="1155">
        <v>0.92390000000000005</v>
      </c>
      <c r="E240" s="1155">
        <v>0.92390000000000005</v>
      </c>
      <c r="F240" s="1155">
        <v>0.92390000000000005</v>
      </c>
      <c r="G240" s="1155">
        <v>0.92390000000000005</v>
      </c>
      <c r="H240" s="1155">
        <v>0.92390000000000005</v>
      </c>
      <c r="I240" s="1155">
        <v>0.79139999999999999</v>
      </c>
      <c r="J240" s="1155">
        <v>0.79139999999999999</v>
      </c>
      <c r="K240" s="1155">
        <v>0.79139999999999999</v>
      </c>
      <c r="L240" s="1155">
        <v>0.79139999999999999</v>
      </c>
      <c r="M240" s="1155">
        <v>0.79139999999999999</v>
      </c>
    </row>
    <row r="241" spans="1:13">
      <c r="A241" s="1156">
        <v>3.5</v>
      </c>
      <c r="B241" s="1155">
        <v>0.9234</v>
      </c>
      <c r="C241" s="1155">
        <v>0.9234</v>
      </c>
      <c r="D241" s="1155">
        <v>0.91749999999999998</v>
      </c>
      <c r="E241" s="1155">
        <v>0.91749999999999998</v>
      </c>
      <c r="F241" s="1155">
        <v>0.91749999999999998</v>
      </c>
      <c r="G241" s="1155">
        <v>0.91749999999999998</v>
      </c>
      <c r="H241" s="1155">
        <v>0.91749999999999998</v>
      </c>
      <c r="I241" s="1155">
        <v>0.78490000000000004</v>
      </c>
      <c r="J241" s="1155">
        <v>0.78490000000000004</v>
      </c>
      <c r="K241" s="1155">
        <v>0.78490000000000004</v>
      </c>
      <c r="L241" s="1155">
        <v>0.78490000000000004</v>
      </c>
      <c r="M241" s="1155">
        <v>0.78490000000000004</v>
      </c>
    </row>
    <row r="242" spans="1:13">
      <c r="A242" s="1156">
        <v>3.6</v>
      </c>
      <c r="B242" s="1155">
        <v>0.91790000000000005</v>
      </c>
      <c r="C242" s="1155">
        <v>0.91790000000000005</v>
      </c>
      <c r="D242" s="1155">
        <v>0.91139999999999999</v>
      </c>
      <c r="E242" s="1155">
        <v>0.91139999999999999</v>
      </c>
      <c r="F242" s="1155">
        <v>0.91139999999999999</v>
      </c>
      <c r="G242" s="1155">
        <v>0.91139999999999999</v>
      </c>
      <c r="H242" s="1155">
        <v>0.91139999999999999</v>
      </c>
      <c r="I242" s="1155">
        <v>0.77880000000000005</v>
      </c>
      <c r="J242" s="1155">
        <v>0.77880000000000005</v>
      </c>
      <c r="K242" s="1155">
        <v>0.77880000000000005</v>
      </c>
      <c r="L242" s="1155">
        <v>0.77880000000000005</v>
      </c>
      <c r="M242" s="1155">
        <v>0.77880000000000005</v>
      </c>
    </row>
    <row r="243" spans="1:13">
      <c r="A243" s="1156">
        <v>3.7</v>
      </c>
      <c r="B243" s="1155">
        <v>0.91269999999999996</v>
      </c>
      <c r="C243" s="1155">
        <v>0.91269999999999996</v>
      </c>
      <c r="D243" s="1155">
        <v>0.90559999999999996</v>
      </c>
      <c r="E243" s="1155">
        <v>0.90559999999999996</v>
      </c>
      <c r="F243" s="1155">
        <v>0.90559999999999996</v>
      </c>
      <c r="G243" s="1155">
        <v>0.90559999999999996</v>
      </c>
      <c r="H243" s="1155">
        <v>0.90559999999999996</v>
      </c>
      <c r="I243" s="1155">
        <v>0.77300000000000002</v>
      </c>
      <c r="J243" s="1155">
        <v>0.77300000000000002</v>
      </c>
      <c r="K243" s="1155">
        <v>0.77300000000000002</v>
      </c>
      <c r="L243" s="1155">
        <v>0.77300000000000002</v>
      </c>
      <c r="M243" s="1155">
        <v>0.77300000000000002</v>
      </c>
    </row>
    <row r="244" spans="1:13">
      <c r="A244" s="1156">
        <v>3.8</v>
      </c>
      <c r="B244" s="1155">
        <v>0.90780000000000005</v>
      </c>
      <c r="C244" s="1155">
        <v>0.90780000000000005</v>
      </c>
      <c r="D244" s="1155">
        <v>0.90010000000000001</v>
      </c>
      <c r="E244" s="1155">
        <v>0.90010000000000001</v>
      </c>
      <c r="F244" s="1155">
        <v>0.90010000000000001</v>
      </c>
      <c r="G244" s="1155">
        <v>0.90010000000000001</v>
      </c>
      <c r="H244" s="1155">
        <v>0.90010000000000001</v>
      </c>
      <c r="I244" s="1155">
        <v>0.76739999999999997</v>
      </c>
      <c r="J244" s="1155">
        <v>0.76739999999999997</v>
      </c>
      <c r="K244" s="1155">
        <v>0.76739999999999997</v>
      </c>
      <c r="L244" s="1155">
        <v>0.76739999999999997</v>
      </c>
      <c r="M244" s="1155">
        <v>0.76739999999999997</v>
      </c>
    </row>
    <row r="245" spans="1:13">
      <c r="A245" s="1156">
        <v>3.9</v>
      </c>
      <c r="B245" s="1155">
        <v>0.9032</v>
      </c>
      <c r="C245" s="1155">
        <v>0.9032</v>
      </c>
      <c r="D245" s="1155">
        <v>0.89490000000000003</v>
      </c>
      <c r="E245" s="1155">
        <v>0.89490000000000003</v>
      </c>
      <c r="F245" s="1155">
        <v>0.89490000000000003</v>
      </c>
      <c r="G245" s="1155">
        <v>0.89490000000000003</v>
      </c>
      <c r="H245" s="1155">
        <v>0.89490000000000003</v>
      </c>
      <c r="I245" s="1155">
        <v>0.7621</v>
      </c>
      <c r="J245" s="1155">
        <v>0.7621</v>
      </c>
      <c r="K245" s="1155">
        <v>0.7621</v>
      </c>
      <c r="L245" s="1155">
        <v>0.7621</v>
      </c>
      <c r="M245" s="1155">
        <v>0.7621</v>
      </c>
    </row>
    <row r="246" spans="1:13">
      <c r="A246" s="1156">
        <v>4</v>
      </c>
      <c r="B246" s="1155">
        <v>0.89890000000000003</v>
      </c>
      <c r="C246" s="1155">
        <v>0.89890000000000003</v>
      </c>
      <c r="D246" s="1155">
        <v>0.89</v>
      </c>
      <c r="E246" s="1155">
        <v>0.89</v>
      </c>
      <c r="F246" s="1155">
        <v>0.89</v>
      </c>
      <c r="G246" s="1155">
        <v>0.89</v>
      </c>
      <c r="H246" s="1155">
        <v>0.89</v>
      </c>
      <c r="I246" s="1155">
        <v>0.7571</v>
      </c>
      <c r="J246" s="1155">
        <v>0.7571</v>
      </c>
      <c r="K246" s="1155">
        <v>0.7571</v>
      </c>
      <c r="L246" s="1155">
        <v>0.7571</v>
      </c>
      <c r="M246" s="1155">
        <v>0.7571</v>
      </c>
    </row>
    <row r="247" spans="1:13">
      <c r="A247" s="1156">
        <v>4.0999999999999996</v>
      </c>
      <c r="B247" s="1155">
        <v>0.89480000000000004</v>
      </c>
      <c r="C247" s="1155">
        <v>0.89480000000000004</v>
      </c>
      <c r="D247" s="1155">
        <v>0.88539999999999996</v>
      </c>
      <c r="E247" s="1155">
        <v>0.88539999999999996</v>
      </c>
      <c r="F247" s="1155">
        <v>0.88539999999999996</v>
      </c>
      <c r="G247" s="1155">
        <v>0.88539999999999996</v>
      </c>
      <c r="H247" s="1155">
        <v>0.88539999999999996</v>
      </c>
      <c r="I247" s="1155">
        <v>0.75229999999999997</v>
      </c>
      <c r="J247" s="1155">
        <v>0.75229999999999997</v>
      </c>
      <c r="K247" s="1155">
        <v>0.75229999999999997</v>
      </c>
      <c r="L247" s="1155">
        <v>0.75229999999999997</v>
      </c>
      <c r="M247" s="1155">
        <v>0.75229999999999997</v>
      </c>
    </row>
    <row r="248" spans="1:13">
      <c r="A248" s="1156">
        <v>4.2</v>
      </c>
      <c r="B248" s="1155">
        <v>0.89100000000000001</v>
      </c>
      <c r="C248" s="1155">
        <v>0.89100000000000001</v>
      </c>
      <c r="D248" s="1155">
        <v>0.88109999999999999</v>
      </c>
      <c r="E248" s="1155">
        <v>0.88109999999999999</v>
      </c>
      <c r="F248" s="1155">
        <v>0.88109999999999999</v>
      </c>
      <c r="G248" s="1155">
        <v>0.88109999999999999</v>
      </c>
      <c r="H248" s="1155">
        <v>0.88109999999999999</v>
      </c>
      <c r="I248" s="1155">
        <v>0.74780000000000002</v>
      </c>
      <c r="J248" s="1155">
        <v>0.74780000000000002</v>
      </c>
      <c r="K248" s="1155">
        <v>0.74780000000000002</v>
      </c>
      <c r="L248" s="1155">
        <v>0.74780000000000002</v>
      </c>
      <c r="M248" s="1155">
        <v>0.74780000000000002</v>
      </c>
    </row>
    <row r="249" spans="1:13">
      <c r="A249" s="1156">
        <v>4.3</v>
      </c>
      <c r="B249" s="1155">
        <v>0.88739999999999997</v>
      </c>
      <c r="C249" s="1155">
        <v>0.88739999999999997</v>
      </c>
      <c r="D249" s="1155">
        <v>0.877</v>
      </c>
      <c r="E249" s="1155">
        <v>0.877</v>
      </c>
      <c r="F249" s="1155">
        <v>0.877</v>
      </c>
      <c r="G249" s="1155">
        <v>0.877</v>
      </c>
      <c r="H249" s="1155">
        <v>0.877</v>
      </c>
      <c r="I249" s="1155">
        <v>0.74329999999999996</v>
      </c>
      <c r="J249" s="1155">
        <v>0.74329999999999996</v>
      </c>
      <c r="K249" s="1155">
        <v>0.74329999999999996</v>
      </c>
      <c r="L249" s="1155">
        <v>0.74329999999999996</v>
      </c>
      <c r="M249" s="1155">
        <v>0.74329999999999996</v>
      </c>
    </row>
    <row r="250" spans="1:13">
      <c r="A250" s="1156">
        <v>4.4000000000000004</v>
      </c>
      <c r="B250" s="1155">
        <v>0.88400000000000001</v>
      </c>
      <c r="C250" s="1155">
        <v>0.88400000000000001</v>
      </c>
      <c r="D250" s="1155">
        <v>0.87309999999999999</v>
      </c>
      <c r="E250" s="1155">
        <v>0.87309999999999999</v>
      </c>
      <c r="F250" s="1155">
        <v>0.87309999999999999</v>
      </c>
      <c r="G250" s="1155">
        <v>0.87309999999999999</v>
      </c>
      <c r="H250" s="1155">
        <v>0.87309999999999999</v>
      </c>
      <c r="I250" s="1155">
        <v>0.73909999999999998</v>
      </c>
      <c r="J250" s="1155">
        <v>0.73909999999999998</v>
      </c>
      <c r="K250" s="1155">
        <v>0.73909999999999998</v>
      </c>
      <c r="L250" s="1155">
        <v>0.73909999999999998</v>
      </c>
      <c r="M250" s="1155">
        <v>0.73909999999999998</v>
      </c>
    </row>
    <row r="251" spans="1:13">
      <c r="A251" s="1156">
        <v>4.5</v>
      </c>
      <c r="B251" s="1155">
        <v>0.88080000000000003</v>
      </c>
      <c r="C251" s="1155">
        <v>0.88080000000000003</v>
      </c>
      <c r="D251" s="1155">
        <v>0.86939999999999995</v>
      </c>
      <c r="E251" s="1155">
        <v>0.86939999999999995</v>
      </c>
      <c r="F251" s="1155">
        <v>0.86939999999999995</v>
      </c>
      <c r="G251" s="1155">
        <v>0.86939999999999995</v>
      </c>
      <c r="H251" s="1155">
        <v>0.86939999999999995</v>
      </c>
      <c r="I251" s="1155">
        <v>0.73499999999999999</v>
      </c>
      <c r="J251" s="1155">
        <v>0.73499999999999999</v>
      </c>
      <c r="K251" s="1155">
        <v>0.73499999999999999</v>
      </c>
      <c r="L251" s="1155">
        <v>0.73499999999999999</v>
      </c>
      <c r="M251" s="1155">
        <v>0.73499999999999999</v>
      </c>
    </row>
    <row r="252" spans="1:13">
      <c r="A252" s="1156">
        <v>4.5999999999999996</v>
      </c>
      <c r="B252" s="1155">
        <v>0.87780000000000002</v>
      </c>
      <c r="C252" s="1155">
        <v>0.87780000000000002</v>
      </c>
      <c r="D252" s="1155">
        <v>0.8659</v>
      </c>
      <c r="E252" s="1155">
        <v>0.8659</v>
      </c>
      <c r="F252" s="1155">
        <v>0.8659</v>
      </c>
      <c r="G252" s="1155">
        <v>0.8659</v>
      </c>
      <c r="H252" s="1155">
        <v>0.8659</v>
      </c>
      <c r="I252" s="1155">
        <v>0.73109999999999997</v>
      </c>
      <c r="J252" s="1155">
        <v>0.73109999999999997</v>
      </c>
      <c r="K252" s="1155">
        <v>0.73109999999999997</v>
      </c>
      <c r="L252" s="1155">
        <v>0.73109999999999997</v>
      </c>
      <c r="M252" s="1155">
        <v>0.73109999999999997</v>
      </c>
    </row>
    <row r="253" spans="1:13">
      <c r="A253" s="1156">
        <v>4.7</v>
      </c>
      <c r="B253" s="1155">
        <v>0.875</v>
      </c>
      <c r="C253" s="1155">
        <v>0.875</v>
      </c>
      <c r="D253" s="1155">
        <v>0.86260000000000003</v>
      </c>
      <c r="E253" s="1155">
        <v>0.86260000000000003</v>
      </c>
      <c r="F253" s="1155">
        <v>0.86260000000000003</v>
      </c>
      <c r="G253" s="1155">
        <v>0.86260000000000003</v>
      </c>
      <c r="H253" s="1155">
        <v>0.86260000000000003</v>
      </c>
      <c r="I253" s="1155">
        <v>0.72750000000000004</v>
      </c>
      <c r="J253" s="1155">
        <v>0.72750000000000004</v>
      </c>
      <c r="K253" s="1155">
        <v>0.72750000000000004</v>
      </c>
      <c r="L253" s="1155">
        <v>0.72750000000000004</v>
      </c>
      <c r="M253" s="1155">
        <v>0.72750000000000004</v>
      </c>
    </row>
    <row r="254" spans="1:13">
      <c r="A254" s="1156">
        <v>4.8</v>
      </c>
      <c r="B254" s="1155">
        <v>0.87229999999999996</v>
      </c>
      <c r="C254" s="1155">
        <v>0.87229999999999996</v>
      </c>
      <c r="D254" s="1155">
        <v>0.85950000000000004</v>
      </c>
      <c r="E254" s="1155">
        <v>0.85950000000000004</v>
      </c>
      <c r="F254" s="1155">
        <v>0.85950000000000004</v>
      </c>
      <c r="G254" s="1155">
        <v>0.85950000000000004</v>
      </c>
      <c r="H254" s="1155">
        <v>0.85950000000000004</v>
      </c>
      <c r="I254" s="1155">
        <v>0.72399999999999998</v>
      </c>
      <c r="J254" s="1155">
        <v>0.72399999999999998</v>
      </c>
      <c r="K254" s="1155">
        <v>0.72399999999999998</v>
      </c>
      <c r="L254" s="1155">
        <v>0.72399999999999998</v>
      </c>
      <c r="M254" s="1155">
        <v>0.72399999999999998</v>
      </c>
    </row>
    <row r="255" spans="1:13">
      <c r="A255" s="1156">
        <v>4.9000000000000004</v>
      </c>
      <c r="B255" s="1155">
        <v>0.86980000000000002</v>
      </c>
      <c r="C255" s="1155">
        <v>0.86980000000000002</v>
      </c>
      <c r="D255" s="1155">
        <v>0.85660000000000003</v>
      </c>
      <c r="E255" s="1155">
        <v>0.85660000000000003</v>
      </c>
      <c r="F255" s="1155">
        <v>0.85660000000000003</v>
      </c>
      <c r="G255" s="1155">
        <v>0.85660000000000003</v>
      </c>
      <c r="H255" s="1155">
        <v>0.85660000000000003</v>
      </c>
      <c r="I255" s="1155">
        <v>0.7208</v>
      </c>
      <c r="J255" s="1155">
        <v>0.7208</v>
      </c>
      <c r="K255" s="1155">
        <v>0.7208</v>
      </c>
      <c r="L255" s="1155">
        <v>0.7208</v>
      </c>
      <c r="M255" s="1155">
        <v>0.7208</v>
      </c>
    </row>
    <row r="256" spans="1:13">
      <c r="A256" s="1156">
        <v>5</v>
      </c>
      <c r="B256" s="1155">
        <v>0.86739999999999995</v>
      </c>
      <c r="C256" s="1155">
        <v>0.86739999999999995</v>
      </c>
      <c r="D256" s="1155">
        <v>0.8538</v>
      </c>
      <c r="E256" s="1155">
        <v>0.8538</v>
      </c>
      <c r="F256" s="1155">
        <v>0.8538</v>
      </c>
      <c r="G256" s="1155">
        <v>0.8538</v>
      </c>
      <c r="H256" s="1155">
        <v>0.8538</v>
      </c>
      <c r="I256" s="1155">
        <v>0.71760000000000002</v>
      </c>
      <c r="J256" s="1155">
        <v>0.71760000000000002</v>
      </c>
      <c r="K256" s="1155">
        <v>0.71760000000000002</v>
      </c>
      <c r="L256" s="1155">
        <v>0.71760000000000002</v>
      </c>
      <c r="M256" s="1155">
        <v>0.71760000000000002</v>
      </c>
    </row>
    <row r="257" spans="1:13">
      <c r="A257" s="1152">
        <v>5.0999999999999996</v>
      </c>
      <c r="B257" s="1155">
        <v>0.86519999999999997</v>
      </c>
      <c r="C257" s="1155">
        <v>0.86519999999999997</v>
      </c>
      <c r="D257" s="1155">
        <v>0.85109999999999997</v>
      </c>
      <c r="E257" s="1155">
        <v>0.85109999999999997</v>
      </c>
      <c r="F257" s="1155">
        <v>0.85109999999999997</v>
      </c>
      <c r="G257" s="1155">
        <v>0.85109999999999997</v>
      </c>
      <c r="H257" s="1155">
        <v>0.85109999999999997</v>
      </c>
      <c r="I257" s="1155">
        <v>0.7147</v>
      </c>
      <c r="J257" s="1155">
        <v>0.7147</v>
      </c>
      <c r="K257" s="1155">
        <v>0.7147</v>
      </c>
      <c r="L257" s="1155">
        <v>0.7147</v>
      </c>
      <c r="M257" s="1155">
        <v>0.7147</v>
      </c>
    </row>
    <row r="258" spans="1:13">
      <c r="A258" s="1152">
        <v>5.2</v>
      </c>
      <c r="B258" s="1155">
        <v>0.86309999999999998</v>
      </c>
      <c r="C258" s="1155">
        <v>0.86309999999999998</v>
      </c>
      <c r="D258" s="1155">
        <v>0.84860000000000002</v>
      </c>
      <c r="E258" s="1155">
        <v>0.84860000000000002</v>
      </c>
      <c r="F258" s="1155">
        <v>0.84860000000000002</v>
      </c>
      <c r="G258" s="1155">
        <v>0.84860000000000002</v>
      </c>
      <c r="H258" s="1155">
        <v>0.84860000000000002</v>
      </c>
      <c r="I258" s="1155">
        <v>0.71189999999999998</v>
      </c>
      <c r="J258" s="1155">
        <v>0.71189999999999998</v>
      </c>
      <c r="K258" s="1155">
        <v>0.71189999999999998</v>
      </c>
      <c r="L258" s="1155">
        <v>0.71189999999999998</v>
      </c>
      <c r="M258" s="1155">
        <v>0.71189999999999998</v>
      </c>
    </row>
    <row r="259" spans="1:13">
      <c r="A259" s="1152">
        <v>5.3</v>
      </c>
      <c r="B259" s="1155">
        <v>0.86119999999999997</v>
      </c>
      <c r="C259" s="1155">
        <v>0.86119999999999997</v>
      </c>
      <c r="D259" s="1155">
        <v>0.84619999999999995</v>
      </c>
      <c r="E259" s="1155">
        <v>0.84619999999999995</v>
      </c>
      <c r="F259" s="1155">
        <v>0.84619999999999995</v>
      </c>
      <c r="G259" s="1155">
        <v>0.84619999999999995</v>
      </c>
      <c r="H259" s="1155">
        <v>0.84619999999999995</v>
      </c>
      <c r="I259" s="1155">
        <v>0.70909999999999995</v>
      </c>
      <c r="J259" s="1155">
        <v>0.70909999999999995</v>
      </c>
      <c r="K259" s="1155">
        <v>0.70909999999999995</v>
      </c>
      <c r="L259" s="1155">
        <v>0.70909999999999995</v>
      </c>
      <c r="M259" s="1155">
        <v>0.70909999999999995</v>
      </c>
    </row>
    <row r="260" spans="1:13">
      <c r="A260" s="1152">
        <v>5.4</v>
      </c>
      <c r="B260" s="1155">
        <v>0.85940000000000005</v>
      </c>
      <c r="C260" s="1155">
        <v>0.85940000000000005</v>
      </c>
      <c r="D260" s="1155">
        <v>0.84389999999999998</v>
      </c>
      <c r="E260" s="1155">
        <v>0.84389999999999998</v>
      </c>
      <c r="F260" s="1155">
        <v>0.84389999999999998</v>
      </c>
      <c r="G260" s="1155">
        <v>0.84389999999999998</v>
      </c>
      <c r="H260" s="1155">
        <v>0.84389999999999998</v>
      </c>
      <c r="I260" s="1155">
        <v>0.70650000000000002</v>
      </c>
      <c r="J260" s="1155">
        <v>0.70650000000000002</v>
      </c>
      <c r="K260" s="1155">
        <v>0.70650000000000002</v>
      </c>
      <c r="L260" s="1155">
        <v>0.70650000000000002</v>
      </c>
      <c r="M260" s="1155">
        <v>0.70650000000000002</v>
      </c>
    </row>
    <row r="261" spans="1:13">
      <c r="A261" s="1152">
        <v>5.5</v>
      </c>
      <c r="B261" s="1155">
        <v>0.85770000000000002</v>
      </c>
      <c r="C261" s="1155">
        <v>0.85770000000000002</v>
      </c>
      <c r="D261" s="1155">
        <v>0.84179999999999999</v>
      </c>
      <c r="E261" s="1155">
        <v>0.84179999999999999</v>
      </c>
      <c r="F261" s="1155">
        <v>0.84179999999999999</v>
      </c>
      <c r="G261" s="1155">
        <v>0.84179999999999999</v>
      </c>
      <c r="H261" s="1155">
        <v>0.84179999999999999</v>
      </c>
      <c r="I261" s="1155">
        <v>0.70399999999999996</v>
      </c>
      <c r="J261" s="1155">
        <v>0.70399999999999996</v>
      </c>
      <c r="K261" s="1155">
        <v>0.70399999999999996</v>
      </c>
      <c r="L261" s="1155">
        <v>0.70399999999999996</v>
      </c>
      <c r="M261" s="1155">
        <v>0.70399999999999996</v>
      </c>
    </row>
    <row r="262" spans="1:13">
      <c r="A262" s="1152">
        <v>5.6</v>
      </c>
      <c r="B262" s="1155">
        <v>0.85599999999999998</v>
      </c>
      <c r="C262" s="1155">
        <v>0.85599999999999998</v>
      </c>
      <c r="D262" s="1155">
        <v>0.83979999999999999</v>
      </c>
      <c r="E262" s="1155">
        <v>0.83979999999999999</v>
      </c>
      <c r="F262" s="1155">
        <v>0.83979999999999999</v>
      </c>
      <c r="G262" s="1155">
        <v>0.83979999999999999</v>
      </c>
      <c r="H262" s="1155">
        <v>0.83979999999999999</v>
      </c>
      <c r="I262" s="1155">
        <v>0.7016</v>
      </c>
      <c r="J262" s="1155">
        <v>0.7016</v>
      </c>
      <c r="K262" s="1155">
        <v>0.7016</v>
      </c>
      <c r="L262" s="1155">
        <v>0.7016</v>
      </c>
      <c r="M262" s="1155">
        <v>0.7016</v>
      </c>
    </row>
    <row r="263" spans="1:13">
      <c r="A263" s="1156">
        <v>5.7</v>
      </c>
      <c r="B263" s="1155">
        <v>0.85440000000000005</v>
      </c>
      <c r="C263" s="1155">
        <v>0.85440000000000005</v>
      </c>
      <c r="D263" s="1155">
        <v>0.83789999999999998</v>
      </c>
      <c r="E263" s="1155">
        <v>0.83789999999999998</v>
      </c>
      <c r="F263" s="1155">
        <v>0.83789999999999998</v>
      </c>
      <c r="G263" s="1155">
        <v>0.83789999999999998</v>
      </c>
      <c r="H263" s="1155">
        <v>0.83789999999999998</v>
      </c>
      <c r="I263" s="1155">
        <v>0.69940000000000002</v>
      </c>
      <c r="J263" s="1155">
        <v>0.69940000000000002</v>
      </c>
      <c r="K263" s="1155">
        <v>0.69940000000000002</v>
      </c>
      <c r="L263" s="1155">
        <v>0.69940000000000002</v>
      </c>
      <c r="M263" s="1155">
        <v>0.69940000000000002</v>
      </c>
    </row>
    <row r="264" spans="1:13">
      <c r="A264" s="1152">
        <v>5.8</v>
      </c>
      <c r="B264" s="1155">
        <v>0.85289999999999999</v>
      </c>
      <c r="C264" s="1155">
        <v>0.85289999999999999</v>
      </c>
      <c r="D264" s="1155">
        <v>0.83599999999999997</v>
      </c>
      <c r="E264" s="1155">
        <v>0.83599999999999997</v>
      </c>
      <c r="F264" s="1155">
        <v>0.83599999999999997</v>
      </c>
      <c r="G264" s="1155">
        <v>0.83599999999999997</v>
      </c>
      <c r="H264" s="1155">
        <v>0.83599999999999997</v>
      </c>
      <c r="I264" s="1155">
        <v>0.69720000000000004</v>
      </c>
      <c r="J264" s="1155">
        <v>0.69720000000000004</v>
      </c>
      <c r="K264" s="1155">
        <v>0.69720000000000004</v>
      </c>
      <c r="L264" s="1155">
        <v>0.69720000000000004</v>
      </c>
      <c r="M264" s="1155">
        <v>0.69720000000000004</v>
      </c>
    </row>
    <row r="265" spans="1:13">
      <c r="A265" s="1152">
        <v>5.9</v>
      </c>
      <c r="B265" s="1155">
        <v>0.85150000000000003</v>
      </c>
      <c r="C265" s="1155">
        <v>0.85150000000000003</v>
      </c>
      <c r="D265" s="1155">
        <v>0.83430000000000004</v>
      </c>
      <c r="E265" s="1155">
        <v>0.83430000000000004</v>
      </c>
      <c r="F265" s="1155">
        <v>0.83430000000000004</v>
      </c>
      <c r="G265" s="1155">
        <v>0.83430000000000004</v>
      </c>
      <c r="H265" s="1155">
        <v>0.83430000000000004</v>
      </c>
      <c r="I265" s="1155">
        <v>0.69520000000000004</v>
      </c>
      <c r="J265" s="1155">
        <v>0.69520000000000004</v>
      </c>
      <c r="K265" s="1155">
        <v>0.69520000000000004</v>
      </c>
      <c r="L265" s="1155">
        <v>0.69520000000000004</v>
      </c>
      <c r="M265" s="1155">
        <v>0.69520000000000004</v>
      </c>
    </row>
    <row r="266" spans="1:13">
      <c r="A266" s="1152">
        <v>6</v>
      </c>
      <c r="B266" s="1155">
        <v>0.85019999999999996</v>
      </c>
      <c r="C266" s="1155">
        <v>0.85019999999999996</v>
      </c>
      <c r="D266" s="1155">
        <v>0.8327</v>
      </c>
      <c r="E266" s="1155">
        <v>0.8327</v>
      </c>
      <c r="F266" s="1155">
        <v>0.8327</v>
      </c>
      <c r="G266" s="1155">
        <v>0.8327</v>
      </c>
      <c r="H266" s="1155">
        <v>0.8327</v>
      </c>
      <c r="I266" s="1155">
        <v>0.69320000000000004</v>
      </c>
      <c r="J266" s="1155">
        <v>0.69320000000000004</v>
      </c>
      <c r="K266" s="1155">
        <v>0.69320000000000004</v>
      </c>
      <c r="L266" s="1155">
        <v>0.69320000000000004</v>
      </c>
      <c r="M266" s="1155">
        <v>0.69320000000000004</v>
      </c>
    </row>
    <row r="267" spans="1:13">
      <c r="A267" s="1152">
        <v>6.1</v>
      </c>
      <c r="B267" s="1155">
        <v>0.84899999999999998</v>
      </c>
      <c r="C267" s="1155">
        <v>0.84899999999999998</v>
      </c>
      <c r="D267" s="1155">
        <v>0.83109999999999995</v>
      </c>
      <c r="E267" s="1155">
        <v>0.83109999999999995</v>
      </c>
      <c r="F267" s="1155">
        <v>0.83109999999999995</v>
      </c>
      <c r="G267" s="1155">
        <v>0.83109999999999995</v>
      </c>
      <c r="H267" s="1155">
        <v>0.83109999999999995</v>
      </c>
      <c r="I267" s="1155">
        <v>0.69130000000000003</v>
      </c>
      <c r="J267" s="1155">
        <v>0.69130000000000003</v>
      </c>
      <c r="K267" s="1155">
        <v>0.69130000000000003</v>
      </c>
      <c r="L267" s="1155">
        <v>0.69130000000000003</v>
      </c>
      <c r="M267" s="1155">
        <v>0.69130000000000003</v>
      </c>
    </row>
    <row r="268" spans="1:13">
      <c r="A268" s="1152">
        <v>6.2</v>
      </c>
      <c r="B268" s="1155">
        <v>0.8478</v>
      </c>
      <c r="C268" s="1155">
        <v>0.8478</v>
      </c>
      <c r="D268" s="1155">
        <v>0.8296</v>
      </c>
      <c r="E268" s="1155">
        <v>0.8296</v>
      </c>
      <c r="F268" s="1155">
        <v>0.8296</v>
      </c>
      <c r="G268" s="1155">
        <v>0.8296</v>
      </c>
      <c r="H268" s="1155">
        <v>0.8296</v>
      </c>
      <c r="I268" s="1155">
        <v>0.68940000000000001</v>
      </c>
      <c r="J268" s="1155">
        <v>0.68940000000000001</v>
      </c>
      <c r="K268" s="1155">
        <v>0.68940000000000001</v>
      </c>
      <c r="L268" s="1155">
        <v>0.68940000000000001</v>
      </c>
      <c r="M268" s="1155">
        <v>0.68940000000000001</v>
      </c>
    </row>
    <row r="269" spans="1:13">
      <c r="A269" s="1152">
        <v>6.3</v>
      </c>
      <c r="B269" s="1155">
        <v>0.84670000000000001</v>
      </c>
      <c r="C269" s="1155">
        <v>0.84670000000000001</v>
      </c>
      <c r="D269" s="1155">
        <v>0.82820000000000005</v>
      </c>
      <c r="E269" s="1155">
        <v>0.82820000000000005</v>
      </c>
      <c r="F269" s="1155">
        <v>0.82820000000000005</v>
      </c>
      <c r="G269" s="1155">
        <v>0.82820000000000005</v>
      </c>
      <c r="H269" s="1155">
        <v>0.82820000000000005</v>
      </c>
      <c r="I269" s="1155">
        <v>0.68769999999999998</v>
      </c>
      <c r="J269" s="1155">
        <v>0.68769999999999998</v>
      </c>
      <c r="K269" s="1155">
        <v>0.68769999999999998</v>
      </c>
      <c r="L269" s="1155">
        <v>0.68769999999999998</v>
      </c>
      <c r="M269" s="1155">
        <v>0.68769999999999998</v>
      </c>
    </row>
    <row r="270" spans="1:13">
      <c r="A270" s="1152">
        <v>6.4</v>
      </c>
      <c r="B270" s="1155">
        <v>0.84570000000000001</v>
      </c>
      <c r="C270" s="1155">
        <v>0.84570000000000001</v>
      </c>
      <c r="D270" s="1155">
        <v>0.82689999999999997</v>
      </c>
      <c r="E270" s="1155">
        <v>0.82689999999999997</v>
      </c>
      <c r="F270" s="1155">
        <v>0.82689999999999997</v>
      </c>
      <c r="G270" s="1155">
        <v>0.82689999999999997</v>
      </c>
      <c r="H270" s="1155">
        <v>0.82689999999999997</v>
      </c>
      <c r="I270" s="1155">
        <v>0.68610000000000004</v>
      </c>
      <c r="J270" s="1155">
        <v>0.68610000000000004</v>
      </c>
      <c r="K270" s="1155">
        <v>0.68610000000000004</v>
      </c>
      <c r="L270" s="1155">
        <v>0.68610000000000004</v>
      </c>
      <c r="M270" s="1155">
        <v>0.68610000000000004</v>
      </c>
    </row>
    <row r="271" spans="1:13">
      <c r="A271" s="1152">
        <v>6.5</v>
      </c>
      <c r="B271" s="1155">
        <v>0.84470000000000001</v>
      </c>
      <c r="C271" s="1155">
        <v>0.84470000000000001</v>
      </c>
      <c r="D271" s="1155">
        <v>0.82569999999999999</v>
      </c>
      <c r="E271" s="1155">
        <v>0.82569999999999999</v>
      </c>
      <c r="F271" s="1155">
        <v>0.82569999999999999</v>
      </c>
      <c r="G271" s="1155">
        <v>0.82569999999999999</v>
      </c>
      <c r="H271" s="1155">
        <v>0.82569999999999999</v>
      </c>
      <c r="I271" s="1155">
        <v>0.68440000000000001</v>
      </c>
      <c r="J271" s="1155">
        <v>0.68440000000000001</v>
      </c>
      <c r="K271" s="1155">
        <v>0.68440000000000001</v>
      </c>
      <c r="L271" s="1155">
        <v>0.68440000000000001</v>
      </c>
      <c r="M271" s="1155">
        <v>0.68440000000000001</v>
      </c>
    </row>
    <row r="272" spans="1:13">
      <c r="A272" s="1152">
        <v>6.6</v>
      </c>
      <c r="B272" s="1155">
        <v>0.84370000000000001</v>
      </c>
      <c r="C272" s="1155">
        <v>0.84370000000000001</v>
      </c>
      <c r="D272" s="1155">
        <v>0.82450000000000001</v>
      </c>
      <c r="E272" s="1155">
        <v>0.82450000000000001</v>
      </c>
      <c r="F272" s="1155">
        <v>0.82450000000000001</v>
      </c>
      <c r="G272" s="1155">
        <v>0.82450000000000001</v>
      </c>
      <c r="H272" s="1155">
        <v>0.82450000000000001</v>
      </c>
      <c r="I272" s="1155">
        <v>0.68289999999999995</v>
      </c>
      <c r="J272" s="1155">
        <v>0.68289999999999995</v>
      </c>
      <c r="K272" s="1155">
        <v>0.68289999999999995</v>
      </c>
      <c r="L272" s="1155">
        <v>0.68289999999999995</v>
      </c>
      <c r="M272" s="1155">
        <v>0.68289999999999995</v>
      </c>
    </row>
    <row r="273" spans="1:13">
      <c r="A273" s="1152">
        <v>6.7</v>
      </c>
      <c r="B273" s="1155">
        <v>0.8427</v>
      </c>
      <c r="C273" s="1155">
        <v>0.8427</v>
      </c>
      <c r="D273" s="1155">
        <v>0.82330000000000003</v>
      </c>
      <c r="E273" s="1155">
        <v>0.82330000000000003</v>
      </c>
      <c r="F273" s="1155">
        <v>0.82330000000000003</v>
      </c>
      <c r="G273" s="1155">
        <v>0.82330000000000003</v>
      </c>
      <c r="H273" s="1155">
        <v>0.82330000000000003</v>
      </c>
      <c r="I273" s="1155">
        <v>0.68130000000000002</v>
      </c>
      <c r="J273" s="1155">
        <v>0.68130000000000002</v>
      </c>
      <c r="K273" s="1155">
        <v>0.68130000000000002</v>
      </c>
      <c r="L273" s="1155">
        <v>0.68130000000000002</v>
      </c>
      <c r="M273" s="1155">
        <v>0.68130000000000002</v>
      </c>
    </row>
    <row r="274" spans="1:13">
      <c r="A274" s="1152">
        <v>6.8</v>
      </c>
      <c r="B274" s="1155">
        <v>0.84179999999999999</v>
      </c>
      <c r="C274" s="1155">
        <v>0.84179999999999999</v>
      </c>
      <c r="D274" s="1155">
        <v>0.82210000000000005</v>
      </c>
      <c r="E274" s="1155">
        <v>0.82210000000000005</v>
      </c>
      <c r="F274" s="1155">
        <v>0.82210000000000005</v>
      </c>
      <c r="G274" s="1155">
        <v>0.82210000000000005</v>
      </c>
      <c r="H274" s="1155">
        <v>0.82210000000000005</v>
      </c>
      <c r="I274" s="1155">
        <v>0.67979999999999996</v>
      </c>
      <c r="J274" s="1155">
        <v>0.67979999999999996</v>
      </c>
      <c r="K274" s="1155">
        <v>0.67979999999999996</v>
      </c>
      <c r="L274" s="1155">
        <v>0.67979999999999996</v>
      </c>
      <c r="M274" s="1155">
        <v>0.67979999999999996</v>
      </c>
    </row>
    <row r="275" spans="1:13">
      <c r="A275" s="1152">
        <v>6.9</v>
      </c>
      <c r="B275" s="1155">
        <v>0.84089999999999998</v>
      </c>
      <c r="C275" s="1155">
        <v>0.84089999999999998</v>
      </c>
      <c r="D275" s="1155">
        <v>0.82099999999999995</v>
      </c>
      <c r="E275" s="1155">
        <v>0.82099999999999995</v>
      </c>
      <c r="F275" s="1155">
        <v>0.82099999999999995</v>
      </c>
      <c r="G275" s="1155">
        <v>0.82099999999999995</v>
      </c>
      <c r="H275" s="1155">
        <v>0.82099999999999995</v>
      </c>
      <c r="I275" s="1155">
        <v>0.67849999999999999</v>
      </c>
      <c r="J275" s="1155">
        <v>0.67849999999999999</v>
      </c>
      <c r="K275" s="1155">
        <v>0.67849999999999999</v>
      </c>
      <c r="L275" s="1155">
        <v>0.67849999999999999</v>
      </c>
      <c r="M275" s="1155">
        <v>0.67849999999999999</v>
      </c>
    </row>
    <row r="276" spans="1:13">
      <c r="A276" s="1152">
        <v>7</v>
      </c>
      <c r="B276" s="1155">
        <v>0.84009999999999996</v>
      </c>
      <c r="C276" s="1155">
        <v>0.84009999999999996</v>
      </c>
      <c r="D276" s="1155">
        <v>0.81989999999999996</v>
      </c>
      <c r="E276" s="1155">
        <v>0.81989999999999996</v>
      </c>
      <c r="F276" s="1155">
        <v>0.81989999999999996</v>
      </c>
      <c r="G276" s="1155">
        <v>0.81989999999999996</v>
      </c>
      <c r="H276" s="1155">
        <v>0.81989999999999996</v>
      </c>
      <c r="I276" s="1155">
        <v>0.67720000000000002</v>
      </c>
      <c r="J276" s="1155">
        <v>0.67720000000000002</v>
      </c>
      <c r="K276" s="1155">
        <v>0.67720000000000002</v>
      </c>
      <c r="L276" s="1155">
        <v>0.67720000000000002</v>
      </c>
      <c r="M276" s="1155">
        <v>0.67720000000000002</v>
      </c>
    </row>
    <row r="277" spans="1:13">
      <c r="A277" s="1152">
        <v>7.1</v>
      </c>
      <c r="B277" s="1155">
        <v>0.83930000000000005</v>
      </c>
      <c r="C277" s="1155">
        <v>0.83930000000000005</v>
      </c>
      <c r="D277" s="1155">
        <v>0.81889999999999996</v>
      </c>
      <c r="E277" s="1155">
        <v>0.81889999999999996</v>
      </c>
      <c r="F277" s="1155">
        <v>0.81889999999999996</v>
      </c>
      <c r="G277" s="1155">
        <v>0.81889999999999996</v>
      </c>
      <c r="H277" s="1155">
        <v>0.81889999999999996</v>
      </c>
      <c r="I277" s="1155">
        <v>0.67589999999999995</v>
      </c>
      <c r="J277" s="1155">
        <v>0.67589999999999995</v>
      </c>
      <c r="K277" s="1155">
        <v>0.67589999999999995</v>
      </c>
      <c r="L277" s="1155">
        <v>0.67589999999999995</v>
      </c>
      <c r="M277" s="1155">
        <v>0.67589999999999995</v>
      </c>
    </row>
    <row r="278" spans="1:13">
      <c r="A278" s="1152">
        <v>7.2</v>
      </c>
      <c r="B278" s="1155">
        <v>0.83850000000000002</v>
      </c>
      <c r="C278" s="1155">
        <v>0.83850000000000002</v>
      </c>
      <c r="D278" s="1155">
        <v>0.81789999999999996</v>
      </c>
      <c r="E278" s="1155">
        <v>0.81789999999999996</v>
      </c>
      <c r="F278" s="1155">
        <v>0.81789999999999996</v>
      </c>
      <c r="G278" s="1155">
        <v>0.81789999999999996</v>
      </c>
      <c r="H278" s="1155">
        <v>0.81789999999999996</v>
      </c>
      <c r="I278" s="1155">
        <v>0.67459999999999998</v>
      </c>
      <c r="J278" s="1155">
        <v>0.67459999999999998</v>
      </c>
      <c r="K278" s="1155">
        <v>0.67459999999999998</v>
      </c>
      <c r="L278" s="1155">
        <v>0.67459999999999998</v>
      </c>
      <c r="M278" s="1155">
        <v>0.67459999999999998</v>
      </c>
    </row>
    <row r="279" spans="1:13">
      <c r="A279" s="1152">
        <v>7.3</v>
      </c>
      <c r="B279" s="1155">
        <v>0.8377</v>
      </c>
      <c r="C279" s="1155">
        <v>0.8377</v>
      </c>
      <c r="D279" s="1155">
        <v>0.81689999999999996</v>
      </c>
      <c r="E279" s="1155">
        <v>0.81689999999999996</v>
      </c>
      <c r="F279" s="1155">
        <v>0.81689999999999996</v>
      </c>
      <c r="G279" s="1155">
        <v>0.81689999999999996</v>
      </c>
      <c r="H279" s="1155">
        <v>0.81689999999999996</v>
      </c>
      <c r="I279" s="1155">
        <v>0.6734</v>
      </c>
      <c r="J279" s="1155">
        <v>0.6734</v>
      </c>
      <c r="K279" s="1155">
        <v>0.6734</v>
      </c>
      <c r="L279" s="1155">
        <v>0.6734</v>
      </c>
      <c r="M279" s="1155">
        <v>0.6734</v>
      </c>
    </row>
    <row r="280" spans="1:13">
      <c r="A280" s="1152">
        <v>7.4</v>
      </c>
      <c r="B280" s="1155">
        <v>0.83699999999999997</v>
      </c>
      <c r="C280" s="1155">
        <v>0.83699999999999997</v>
      </c>
      <c r="D280" s="1155">
        <v>0.81599999999999995</v>
      </c>
      <c r="E280" s="1155">
        <v>0.81599999999999995</v>
      </c>
      <c r="F280" s="1155">
        <v>0.81599999999999995</v>
      </c>
      <c r="G280" s="1155">
        <v>0.81599999999999995</v>
      </c>
      <c r="H280" s="1155">
        <v>0.81599999999999995</v>
      </c>
      <c r="I280" s="1155">
        <v>0.67210000000000003</v>
      </c>
      <c r="J280" s="1155">
        <v>0.67210000000000003</v>
      </c>
      <c r="K280" s="1155">
        <v>0.67210000000000003</v>
      </c>
      <c r="L280" s="1155">
        <v>0.67210000000000003</v>
      </c>
      <c r="M280" s="1155">
        <v>0.67210000000000003</v>
      </c>
    </row>
    <row r="281" spans="1:13">
      <c r="A281" s="1152">
        <v>7.5</v>
      </c>
      <c r="B281" s="1155">
        <v>0.83630000000000004</v>
      </c>
      <c r="C281" s="1155">
        <v>0.83630000000000004</v>
      </c>
      <c r="D281" s="1155">
        <v>0.81510000000000005</v>
      </c>
      <c r="E281" s="1155">
        <v>0.81510000000000005</v>
      </c>
      <c r="F281" s="1155">
        <v>0.81510000000000005</v>
      </c>
      <c r="G281" s="1155">
        <v>0.81510000000000005</v>
      </c>
      <c r="H281" s="1155">
        <v>0.81510000000000005</v>
      </c>
      <c r="I281" s="1155">
        <v>0.67090000000000005</v>
      </c>
      <c r="J281" s="1155">
        <v>0.67090000000000005</v>
      </c>
      <c r="K281" s="1155">
        <v>0.67090000000000005</v>
      </c>
      <c r="L281" s="1155">
        <v>0.67090000000000005</v>
      </c>
      <c r="M281" s="1155">
        <v>0.67090000000000005</v>
      </c>
    </row>
    <row r="282" spans="1:13">
      <c r="A282" s="1152">
        <v>7.6</v>
      </c>
      <c r="B282" s="1155">
        <v>0.83560000000000001</v>
      </c>
      <c r="C282" s="1155">
        <v>0.83560000000000001</v>
      </c>
      <c r="D282" s="1155">
        <v>0.81420000000000003</v>
      </c>
      <c r="E282" s="1155">
        <v>0.81420000000000003</v>
      </c>
      <c r="F282" s="1155">
        <v>0.81420000000000003</v>
      </c>
      <c r="G282" s="1155">
        <v>0.81420000000000003</v>
      </c>
      <c r="H282" s="1155">
        <v>0.81420000000000003</v>
      </c>
      <c r="I282" s="1155">
        <v>0.66979999999999995</v>
      </c>
      <c r="J282" s="1155">
        <v>0.66979999999999995</v>
      </c>
      <c r="K282" s="1155">
        <v>0.66979999999999995</v>
      </c>
      <c r="L282" s="1155">
        <v>0.66979999999999995</v>
      </c>
      <c r="M282" s="1155">
        <v>0.66979999999999995</v>
      </c>
    </row>
    <row r="283" spans="1:13">
      <c r="A283" s="1152">
        <v>7.7</v>
      </c>
      <c r="B283" s="1155">
        <v>0.83489999999999998</v>
      </c>
      <c r="C283" s="1155">
        <v>0.83489999999999998</v>
      </c>
      <c r="D283" s="1155">
        <v>0.81330000000000002</v>
      </c>
      <c r="E283" s="1155">
        <v>0.81330000000000002</v>
      </c>
      <c r="F283" s="1155">
        <v>0.81330000000000002</v>
      </c>
      <c r="G283" s="1155">
        <v>0.81330000000000002</v>
      </c>
      <c r="H283" s="1155">
        <v>0.81330000000000002</v>
      </c>
      <c r="I283" s="1155">
        <v>0.66869999999999996</v>
      </c>
      <c r="J283" s="1155">
        <v>0.66869999999999996</v>
      </c>
      <c r="K283" s="1155">
        <v>0.66869999999999996</v>
      </c>
      <c r="L283" s="1155">
        <v>0.66869999999999996</v>
      </c>
      <c r="M283" s="1155">
        <v>0.66869999999999996</v>
      </c>
    </row>
    <row r="284" spans="1:13">
      <c r="A284" s="1152">
        <v>7.8</v>
      </c>
      <c r="B284" s="1155">
        <v>0.83420000000000005</v>
      </c>
      <c r="C284" s="1155">
        <v>0.83420000000000005</v>
      </c>
      <c r="D284" s="1155">
        <v>0.81240000000000001</v>
      </c>
      <c r="E284" s="1155">
        <v>0.81240000000000001</v>
      </c>
      <c r="F284" s="1155">
        <v>0.81240000000000001</v>
      </c>
      <c r="G284" s="1155">
        <v>0.81240000000000001</v>
      </c>
      <c r="H284" s="1155">
        <v>0.81240000000000001</v>
      </c>
      <c r="I284" s="1155">
        <v>0.66759999999999997</v>
      </c>
      <c r="J284" s="1155">
        <v>0.66759999999999997</v>
      </c>
      <c r="K284" s="1155">
        <v>0.66759999999999997</v>
      </c>
      <c r="L284" s="1155">
        <v>0.66759999999999997</v>
      </c>
      <c r="M284" s="1155">
        <v>0.66759999999999997</v>
      </c>
    </row>
    <row r="285" spans="1:13">
      <c r="A285" s="1152">
        <v>7.9</v>
      </c>
      <c r="B285" s="1155">
        <v>0.83350000000000002</v>
      </c>
      <c r="C285" s="1155">
        <v>0.83350000000000002</v>
      </c>
      <c r="D285" s="1155">
        <v>0.81159999999999999</v>
      </c>
      <c r="E285" s="1155">
        <v>0.81159999999999999</v>
      </c>
      <c r="F285" s="1155">
        <v>0.81159999999999999</v>
      </c>
      <c r="G285" s="1155">
        <v>0.81159999999999999</v>
      </c>
      <c r="H285" s="1155">
        <v>0.81159999999999999</v>
      </c>
      <c r="I285" s="1155">
        <v>0.66649999999999998</v>
      </c>
      <c r="J285" s="1155">
        <v>0.66649999999999998</v>
      </c>
      <c r="K285" s="1155">
        <v>0.66649999999999998</v>
      </c>
      <c r="L285" s="1155">
        <v>0.66649999999999998</v>
      </c>
      <c r="M285" s="1155">
        <v>0.66649999999999998</v>
      </c>
    </row>
    <row r="286" spans="1:13">
      <c r="A286" s="1152">
        <v>8</v>
      </c>
      <c r="B286" s="1155">
        <v>0.83279999999999998</v>
      </c>
      <c r="C286" s="1155">
        <v>0.83279999999999998</v>
      </c>
      <c r="D286" s="1155">
        <v>0.81079999999999997</v>
      </c>
      <c r="E286" s="1155">
        <v>0.81079999999999997</v>
      </c>
      <c r="F286" s="1155">
        <v>0.81079999999999997</v>
      </c>
      <c r="G286" s="1155">
        <v>0.81079999999999997</v>
      </c>
      <c r="H286" s="1155">
        <v>0.81079999999999997</v>
      </c>
      <c r="I286" s="1155">
        <v>0.66549999999999998</v>
      </c>
      <c r="J286" s="1155">
        <v>0.66549999999999998</v>
      </c>
      <c r="K286" s="1155">
        <v>0.66549999999999998</v>
      </c>
      <c r="L286" s="1155">
        <v>0.66549999999999998</v>
      </c>
      <c r="M286" s="1155">
        <v>0.66549999999999998</v>
      </c>
    </row>
    <row r="287" spans="1:13">
      <c r="A287" s="1152">
        <v>8.1</v>
      </c>
      <c r="B287" s="1155">
        <v>0.83220000000000005</v>
      </c>
      <c r="C287" s="1155">
        <v>0.83220000000000005</v>
      </c>
      <c r="D287" s="1155">
        <v>0.81</v>
      </c>
      <c r="E287" s="1155">
        <v>0.81</v>
      </c>
      <c r="F287" s="1155">
        <v>0.81</v>
      </c>
      <c r="G287" s="1155">
        <v>0.81</v>
      </c>
      <c r="H287" s="1155">
        <v>0.81</v>
      </c>
      <c r="I287" s="1155">
        <v>0.66439999999999999</v>
      </c>
      <c r="J287" s="1155">
        <v>0.66439999999999999</v>
      </c>
      <c r="K287" s="1155">
        <v>0.66439999999999999</v>
      </c>
      <c r="L287" s="1155">
        <v>0.66439999999999999</v>
      </c>
      <c r="M287" s="1155">
        <v>0.66439999999999999</v>
      </c>
    </row>
    <row r="288" spans="1:13">
      <c r="A288" s="1152">
        <v>8.1999999999999993</v>
      </c>
      <c r="B288" s="1155">
        <v>0.83160000000000001</v>
      </c>
      <c r="C288" s="1155">
        <v>0.83160000000000001</v>
      </c>
      <c r="D288" s="1155">
        <v>0.80920000000000003</v>
      </c>
      <c r="E288" s="1155">
        <v>0.80920000000000003</v>
      </c>
      <c r="F288" s="1155">
        <v>0.80920000000000003</v>
      </c>
      <c r="G288" s="1155">
        <v>0.80920000000000003</v>
      </c>
      <c r="H288" s="1155">
        <v>0.80920000000000003</v>
      </c>
      <c r="I288" s="1155">
        <v>0.66339999999999999</v>
      </c>
      <c r="J288" s="1155">
        <v>0.66339999999999999</v>
      </c>
      <c r="K288" s="1155">
        <v>0.66339999999999999</v>
      </c>
      <c r="L288" s="1155">
        <v>0.66339999999999999</v>
      </c>
      <c r="M288" s="1155">
        <v>0.66339999999999999</v>
      </c>
    </row>
    <row r="289" spans="1:13">
      <c r="A289" s="1152">
        <v>8.3000000000000007</v>
      </c>
      <c r="B289" s="1155">
        <v>0.83099999999999996</v>
      </c>
      <c r="C289" s="1155">
        <v>0.83099999999999996</v>
      </c>
      <c r="D289" s="1155">
        <v>0.80840000000000001</v>
      </c>
      <c r="E289" s="1155">
        <v>0.80840000000000001</v>
      </c>
      <c r="F289" s="1155">
        <v>0.80840000000000001</v>
      </c>
      <c r="G289" s="1155">
        <v>0.80840000000000001</v>
      </c>
      <c r="H289" s="1155">
        <v>0.80840000000000001</v>
      </c>
      <c r="I289" s="1155">
        <v>0.66239999999999999</v>
      </c>
      <c r="J289" s="1155">
        <v>0.66239999999999999</v>
      </c>
      <c r="K289" s="1155">
        <v>0.66239999999999999</v>
      </c>
      <c r="L289" s="1155">
        <v>0.66239999999999999</v>
      </c>
      <c r="M289" s="1155">
        <v>0.66239999999999999</v>
      </c>
    </row>
    <row r="290" spans="1:13">
      <c r="A290" s="1152">
        <v>8.4</v>
      </c>
      <c r="B290" s="1155">
        <v>0.83040000000000003</v>
      </c>
      <c r="C290" s="1155">
        <v>0.83040000000000003</v>
      </c>
      <c r="D290" s="1155">
        <v>0.80759999999999998</v>
      </c>
      <c r="E290" s="1155">
        <v>0.80759999999999998</v>
      </c>
      <c r="F290" s="1155">
        <v>0.80759999999999998</v>
      </c>
      <c r="G290" s="1155">
        <v>0.80759999999999998</v>
      </c>
      <c r="H290" s="1155">
        <v>0.80759999999999998</v>
      </c>
      <c r="I290" s="1155">
        <v>0.66139999999999999</v>
      </c>
      <c r="J290" s="1155">
        <v>0.66139999999999999</v>
      </c>
      <c r="K290" s="1155">
        <v>0.66139999999999999</v>
      </c>
      <c r="L290" s="1155">
        <v>0.66139999999999999</v>
      </c>
      <c r="M290" s="1155">
        <v>0.66139999999999999</v>
      </c>
    </row>
    <row r="291" spans="1:13">
      <c r="A291" s="1152">
        <v>8.5</v>
      </c>
      <c r="B291" s="1155">
        <v>0.82979999999999998</v>
      </c>
      <c r="C291" s="1155">
        <v>0.82979999999999998</v>
      </c>
      <c r="D291" s="1155">
        <v>0.80679999999999996</v>
      </c>
      <c r="E291" s="1155">
        <v>0.80679999999999996</v>
      </c>
      <c r="F291" s="1155">
        <v>0.80679999999999996</v>
      </c>
      <c r="G291" s="1155">
        <v>0.80679999999999996</v>
      </c>
      <c r="H291" s="1155">
        <v>0.80679999999999996</v>
      </c>
      <c r="I291" s="1155">
        <v>0.66049999999999998</v>
      </c>
      <c r="J291" s="1155">
        <v>0.66049999999999998</v>
      </c>
      <c r="K291" s="1155">
        <v>0.66049999999999998</v>
      </c>
      <c r="L291" s="1155">
        <v>0.66049999999999998</v>
      </c>
      <c r="M291" s="1155">
        <v>0.66049999999999998</v>
      </c>
    </row>
    <row r="292" spans="1:13">
      <c r="A292" s="1152">
        <v>8.6</v>
      </c>
      <c r="B292" s="1155">
        <v>0.82920000000000005</v>
      </c>
      <c r="C292" s="1155">
        <v>0.82920000000000005</v>
      </c>
      <c r="D292" s="1155">
        <v>0.80600000000000005</v>
      </c>
      <c r="E292" s="1155">
        <v>0.80600000000000005</v>
      </c>
      <c r="F292" s="1155">
        <v>0.80600000000000005</v>
      </c>
      <c r="G292" s="1155">
        <v>0.80600000000000005</v>
      </c>
      <c r="H292" s="1155">
        <v>0.80600000000000005</v>
      </c>
      <c r="I292" s="1155">
        <v>0.65949999999999998</v>
      </c>
      <c r="J292" s="1155">
        <v>0.65949999999999998</v>
      </c>
      <c r="K292" s="1155">
        <v>0.65949999999999998</v>
      </c>
      <c r="L292" s="1155">
        <v>0.65949999999999998</v>
      </c>
      <c r="M292" s="1155">
        <v>0.65949999999999998</v>
      </c>
    </row>
    <row r="293" spans="1:13">
      <c r="A293" s="1152">
        <v>8.6999999999999993</v>
      </c>
      <c r="B293" s="1155">
        <v>0.8286</v>
      </c>
      <c r="C293" s="1155">
        <v>0.8286</v>
      </c>
      <c r="D293" s="1155">
        <v>0.80520000000000003</v>
      </c>
      <c r="E293" s="1155">
        <v>0.80520000000000003</v>
      </c>
      <c r="F293" s="1155">
        <v>0.80520000000000003</v>
      </c>
      <c r="G293" s="1155">
        <v>0.80520000000000003</v>
      </c>
      <c r="H293" s="1155">
        <v>0.80520000000000003</v>
      </c>
      <c r="I293" s="1155">
        <v>0.65859999999999996</v>
      </c>
      <c r="J293" s="1155">
        <v>0.65859999999999996</v>
      </c>
      <c r="K293" s="1155">
        <v>0.65859999999999996</v>
      </c>
      <c r="L293" s="1155">
        <v>0.65859999999999996</v>
      </c>
      <c r="M293" s="1155">
        <v>0.65859999999999996</v>
      </c>
    </row>
    <row r="294" spans="1:13">
      <c r="A294" s="1152">
        <v>8.8000000000000007</v>
      </c>
      <c r="B294" s="1155">
        <v>0.82799999999999996</v>
      </c>
      <c r="C294" s="1155">
        <v>0.82799999999999996</v>
      </c>
      <c r="D294" s="1155">
        <v>0.8044</v>
      </c>
      <c r="E294" s="1155">
        <v>0.8044</v>
      </c>
      <c r="F294" s="1155">
        <v>0.8044</v>
      </c>
      <c r="G294" s="1155">
        <v>0.8044</v>
      </c>
      <c r="H294" s="1155">
        <v>0.8044</v>
      </c>
      <c r="I294" s="1155">
        <v>0.65759999999999996</v>
      </c>
      <c r="J294" s="1155">
        <v>0.65759999999999996</v>
      </c>
      <c r="K294" s="1155">
        <v>0.65759999999999996</v>
      </c>
      <c r="L294" s="1155">
        <v>0.65759999999999996</v>
      </c>
      <c r="M294" s="1155">
        <v>0.65759999999999996</v>
      </c>
    </row>
    <row r="295" spans="1:13">
      <c r="A295" s="1152">
        <v>8.9</v>
      </c>
      <c r="B295" s="1155">
        <v>0.82740000000000002</v>
      </c>
      <c r="C295" s="1155">
        <v>0.82740000000000002</v>
      </c>
      <c r="D295" s="1155">
        <v>0.80359999999999998</v>
      </c>
      <c r="E295" s="1155">
        <v>0.80359999999999998</v>
      </c>
      <c r="F295" s="1155">
        <v>0.80359999999999998</v>
      </c>
      <c r="G295" s="1155">
        <v>0.80359999999999998</v>
      </c>
      <c r="H295" s="1155">
        <v>0.80359999999999998</v>
      </c>
      <c r="I295" s="1155">
        <v>0.65669999999999995</v>
      </c>
      <c r="J295" s="1155">
        <v>0.65669999999999995</v>
      </c>
      <c r="K295" s="1155">
        <v>0.65669999999999995</v>
      </c>
      <c r="L295" s="1155">
        <v>0.65669999999999995</v>
      </c>
      <c r="M295" s="1155">
        <v>0.65669999999999995</v>
      </c>
    </row>
    <row r="296" spans="1:13">
      <c r="A296" s="1156">
        <v>9</v>
      </c>
      <c r="B296" s="1155">
        <v>0.82679999999999998</v>
      </c>
      <c r="C296" s="1155">
        <v>0.82679999999999998</v>
      </c>
      <c r="D296" s="1155">
        <v>0.80279999999999996</v>
      </c>
      <c r="E296" s="1155">
        <v>0.80279999999999996</v>
      </c>
      <c r="F296" s="1155">
        <v>0.80279999999999996</v>
      </c>
      <c r="G296" s="1155">
        <v>0.80279999999999996</v>
      </c>
      <c r="H296" s="1155">
        <v>0.80279999999999996</v>
      </c>
      <c r="I296" s="1155">
        <v>0.65569999999999995</v>
      </c>
      <c r="J296" s="1155">
        <v>0.65569999999999995</v>
      </c>
      <c r="K296" s="1155">
        <v>0.65569999999999995</v>
      </c>
      <c r="L296" s="1155">
        <v>0.65569999999999995</v>
      </c>
      <c r="M296" s="1155">
        <v>0.65569999999999995</v>
      </c>
    </row>
    <row r="297" spans="1:13">
      <c r="A297" s="1156">
        <v>9.1</v>
      </c>
      <c r="B297" s="1155">
        <v>0.82620000000000005</v>
      </c>
      <c r="C297" s="1155">
        <v>0.82620000000000005</v>
      </c>
      <c r="D297" s="1155">
        <v>0.80200000000000005</v>
      </c>
      <c r="E297" s="1155">
        <v>0.80200000000000005</v>
      </c>
      <c r="F297" s="1155">
        <v>0.80200000000000005</v>
      </c>
      <c r="G297" s="1155">
        <v>0.80200000000000005</v>
      </c>
      <c r="H297" s="1155">
        <v>0.80200000000000005</v>
      </c>
      <c r="I297" s="1155">
        <v>0.65480000000000005</v>
      </c>
      <c r="J297" s="1155">
        <v>0.65480000000000005</v>
      </c>
      <c r="K297" s="1155">
        <v>0.65480000000000005</v>
      </c>
      <c r="L297" s="1155">
        <v>0.65480000000000005</v>
      </c>
      <c r="M297" s="1155">
        <v>0.65480000000000005</v>
      </c>
    </row>
    <row r="298" spans="1:13">
      <c r="A298" s="1156">
        <v>9.1999999999999993</v>
      </c>
      <c r="B298" s="1155">
        <v>0.8256</v>
      </c>
      <c r="C298" s="1155">
        <v>0.8256</v>
      </c>
      <c r="D298" s="1155">
        <v>0.80120000000000002</v>
      </c>
      <c r="E298" s="1155">
        <v>0.80120000000000002</v>
      </c>
      <c r="F298" s="1155">
        <v>0.80120000000000002</v>
      </c>
      <c r="G298" s="1155">
        <v>0.80120000000000002</v>
      </c>
      <c r="H298" s="1155">
        <v>0.80120000000000002</v>
      </c>
      <c r="I298" s="1155">
        <v>0.65380000000000005</v>
      </c>
      <c r="J298" s="1155">
        <v>0.65380000000000005</v>
      </c>
      <c r="K298" s="1155">
        <v>0.65380000000000005</v>
      </c>
      <c r="L298" s="1155">
        <v>0.65380000000000005</v>
      </c>
      <c r="M298" s="1155">
        <v>0.65380000000000005</v>
      </c>
    </row>
    <row r="299" spans="1:13">
      <c r="A299" s="1156">
        <v>9.3000000000000007</v>
      </c>
      <c r="B299" s="1155">
        <v>0.82499999999999996</v>
      </c>
      <c r="C299" s="1155">
        <v>0.82499999999999996</v>
      </c>
      <c r="D299" s="1155">
        <v>0.8004</v>
      </c>
      <c r="E299" s="1155">
        <v>0.8004</v>
      </c>
      <c r="F299" s="1155">
        <v>0.8004</v>
      </c>
      <c r="G299" s="1155">
        <v>0.8004</v>
      </c>
      <c r="H299" s="1155">
        <v>0.8004</v>
      </c>
      <c r="I299" s="1155">
        <v>0.65290000000000004</v>
      </c>
      <c r="J299" s="1155">
        <v>0.65290000000000004</v>
      </c>
      <c r="K299" s="1155">
        <v>0.65290000000000004</v>
      </c>
      <c r="L299" s="1155">
        <v>0.65290000000000004</v>
      </c>
      <c r="M299" s="1155">
        <v>0.65290000000000004</v>
      </c>
    </row>
    <row r="300" spans="1:13">
      <c r="A300" s="1156">
        <v>9.4</v>
      </c>
      <c r="B300" s="1155">
        <v>0.82440000000000002</v>
      </c>
      <c r="C300" s="1155">
        <v>0.82440000000000002</v>
      </c>
      <c r="D300" s="1155">
        <v>0.79959999999999998</v>
      </c>
      <c r="E300" s="1155">
        <v>0.79959999999999998</v>
      </c>
      <c r="F300" s="1155">
        <v>0.79959999999999998</v>
      </c>
      <c r="G300" s="1155">
        <v>0.79959999999999998</v>
      </c>
      <c r="H300" s="1155">
        <v>0.79959999999999998</v>
      </c>
      <c r="I300" s="1155">
        <v>0.65190000000000003</v>
      </c>
      <c r="J300" s="1155">
        <v>0.65190000000000003</v>
      </c>
      <c r="K300" s="1155">
        <v>0.65190000000000003</v>
      </c>
      <c r="L300" s="1155">
        <v>0.65190000000000003</v>
      </c>
      <c r="M300" s="1155">
        <v>0.65190000000000003</v>
      </c>
    </row>
    <row r="301" spans="1:13">
      <c r="A301" s="1156">
        <v>9.5</v>
      </c>
      <c r="B301" s="1155">
        <v>0.82379999999999998</v>
      </c>
      <c r="C301" s="1155">
        <v>0.82379999999999998</v>
      </c>
      <c r="D301" s="1155">
        <v>0.79879999999999995</v>
      </c>
      <c r="E301" s="1155">
        <v>0.79879999999999995</v>
      </c>
      <c r="F301" s="1155">
        <v>0.79879999999999995</v>
      </c>
      <c r="G301" s="1155">
        <v>0.79879999999999995</v>
      </c>
      <c r="H301" s="1155">
        <v>0.79879999999999995</v>
      </c>
      <c r="I301" s="1155">
        <v>0.65100000000000002</v>
      </c>
      <c r="J301" s="1155">
        <v>0.65100000000000002</v>
      </c>
      <c r="K301" s="1155">
        <v>0.65100000000000002</v>
      </c>
      <c r="L301" s="1155">
        <v>0.65100000000000002</v>
      </c>
      <c r="M301" s="1155">
        <v>0.65100000000000002</v>
      </c>
    </row>
    <row r="302" spans="1:13">
      <c r="A302" s="1156">
        <v>9.6</v>
      </c>
      <c r="B302" s="1155">
        <v>0.82320000000000004</v>
      </c>
      <c r="C302" s="1155">
        <v>0.82320000000000004</v>
      </c>
      <c r="D302" s="1155">
        <v>0.79800000000000004</v>
      </c>
      <c r="E302" s="1155">
        <v>0.79800000000000004</v>
      </c>
      <c r="F302" s="1155">
        <v>0.79800000000000004</v>
      </c>
      <c r="G302" s="1155">
        <v>0.79800000000000004</v>
      </c>
      <c r="H302" s="1155">
        <v>0.79800000000000004</v>
      </c>
      <c r="I302" s="1155">
        <v>0.65</v>
      </c>
      <c r="J302" s="1155">
        <v>0.65</v>
      </c>
      <c r="K302" s="1155">
        <v>0.65</v>
      </c>
      <c r="L302" s="1155">
        <v>0.65</v>
      </c>
      <c r="M302" s="1155">
        <v>0.65</v>
      </c>
    </row>
    <row r="303" spans="1:13">
      <c r="A303" s="1156">
        <v>9.6999999999999993</v>
      </c>
      <c r="B303" s="1155">
        <v>0.8226</v>
      </c>
      <c r="C303" s="1155">
        <v>0.8226</v>
      </c>
      <c r="D303" s="1155">
        <v>0.79720000000000002</v>
      </c>
      <c r="E303" s="1155">
        <v>0.79720000000000002</v>
      </c>
      <c r="F303" s="1155">
        <v>0.79720000000000002</v>
      </c>
      <c r="G303" s="1155">
        <v>0.79720000000000002</v>
      </c>
      <c r="H303" s="1155">
        <v>0.79720000000000002</v>
      </c>
      <c r="I303" s="1155">
        <v>0.64900000000000002</v>
      </c>
      <c r="J303" s="1155">
        <v>0.64900000000000002</v>
      </c>
      <c r="K303" s="1155">
        <v>0.64900000000000002</v>
      </c>
      <c r="L303" s="1155">
        <v>0.64900000000000002</v>
      </c>
      <c r="M303" s="1155">
        <v>0.64900000000000002</v>
      </c>
    </row>
    <row r="304" spans="1:13">
      <c r="A304" s="1156">
        <v>9.8000000000000007</v>
      </c>
      <c r="B304" s="1155">
        <v>0.82199999999999995</v>
      </c>
      <c r="C304" s="1155">
        <v>0.82199999999999995</v>
      </c>
      <c r="D304" s="1155">
        <v>0.7964</v>
      </c>
      <c r="E304" s="1155">
        <v>0.7964</v>
      </c>
      <c r="F304" s="1155">
        <v>0.7964</v>
      </c>
      <c r="G304" s="1155">
        <v>0.7964</v>
      </c>
      <c r="H304" s="1155">
        <v>0.7964</v>
      </c>
      <c r="I304" s="1155">
        <v>0.64810000000000001</v>
      </c>
      <c r="J304" s="1155">
        <v>0.64810000000000001</v>
      </c>
      <c r="K304" s="1155">
        <v>0.64810000000000001</v>
      </c>
      <c r="L304" s="1155">
        <v>0.64810000000000001</v>
      </c>
      <c r="M304" s="1155">
        <v>0.64810000000000001</v>
      </c>
    </row>
    <row r="305" spans="1:13">
      <c r="A305" s="1156">
        <v>9.9</v>
      </c>
      <c r="B305" s="1155">
        <v>0.82140000000000002</v>
      </c>
      <c r="C305" s="1155">
        <v>0.82140000000000002</v>
      </c>
      <c r="D305" s="1155">
        <v>0.79559999999999997</v>
      </c>
      <c r="E305" s="1155">
        <v>0.79559999999999997</v>
      </c>
      <c r="F305" s="1155">
        <v>0.79559999999999997</v>
      </c>
      <c r="G305" s="1155">
        <v>0.79559999999999997</v>
      </c>
      <c r="H305" s="1155">
        <v>0.79559999999999997</v>
      </c>
      <c r="I305" s="1155">
        <v>0.64710000000000001</v>
      </c>
      <c r="J305" s="1155">
        <v>0.64710000000000001</v>
      </c>
      <c r="K305" s="1155">
        <v>0.64710000000000001</v>
      </c>
      <c r="L305" s="1155">
        <v>0.64710000000000001</v>
      </c>
      <c r="M305" s="1155">
        <v>0.64710000000000001</v>
      </c>
    </row>
    <row r="306" spans="1:13">
      <c r="A306" s="1156">
        <v>10</v>
      </c>
      <c r="B306" s="1155">
        <v>0.82079999999999997</v>
      </c>
      <c r="C306" s="1155">
        <v>0.82079999999999997</v>
      </c>
      <c r="D306" s="1155">
        <v>0.79479999999999995</v>
      </c>
      <c r="E306" s="1155">
        <v>0.79479999999999995</v>
      </c>
      <c r="F306" s="1155">
        <v>0.79479999999999995</v>
      </c>
      <c r="G306" s="1155">
        <v>0.79479999999999995</v>
      </c>
      <c r="H306" s="1155">
        <v>0.79479999999999995</v>
      </c>
      <c r="I306" s="1155">
        <v>0.6462</v>
      </c>
      <c r="J306" s="1155">
        <v>0.6462</v>
      </c>
      <c r="K306" s="1155">
        <v>0.6462</v>
      </c>
      <c r="L306" s="1155">
        <v>0.6462</v>
      </c>
      <c r="M306" s="1155">
        <v>0.6462</v>
      </c>
    </row>
    <row r="307" spans="1:13" ht="15.6">
      <c r="A307" s="1150" t="s">
        <v>2153</v>
      </c>
      <c r="B307" s="1151"/>
      <c r="C307" s="1151"/>
      <c r="D307" s="1151"/>
      <c r="E307" s="1151"/>
      <c r="F307" s="1151"/>
      <c r="G307" s="1151"/>
      <c r="H307" s="1151"/>
      <c r="I307" s="1151"/>
      <c r="J307" s="1151"/>
      <c r="K307" s="1151"/>
      <c r="L307" s="1151"/>
      <c r="M307" s="1151"/>
    </row>
    <row r="308" spans="1:13">
      <c r="A308" s="1152" t="s">
        <v>105</v>
      </c>
      <c r="B308" s="1153" t="s">
        <v>242</v>
      </c>
      <c r="C308" s="1153" t="s">
        <v>255</v>
      </c>
      <c r="D308" s="1153" t="s">
        <v>267</v>
      </c>
      <c r="E308" s="1153" t="s">
        <v>277</v>
      </c>
      <c r="F308" s="1153" t="s">
        <v>286</v>
      </c>
      <c r="G308" s="1153" t="s">
        <v>294</v>
      </c>
      <c r="H308" s="1154" t="s">
        <v>299</v>
      </c>
      <c r="I308" s="1154" t="s">
        <v>304</v>
      </c>
      <c r="J308" s="1157" t="s">
        <v>307</v>
      </c>
      <c r="K308" s="1157" t="s">
        <v>310</v>
      </c>
      <c r="L308" s="1157" t="s">
        <v>313</v>
      </c>
      <c r="M308" s="1157" t="s">
        <v>316</v>
      </c>
    </row>
    <row r="309" spans="1:13">
      <c r="A309" s="1152">
        <v>0.1</v>
      </c>
      <c r="B309" s="1155">
        <v>11.506</v>
      </c>
      <c r="C309" s="1155">
        <v>11.506</v>
      </c>
      <c r="D309" s="1155">
        <v>12.015000000000001</v>
      </c>
      <c r="E309" s="1155">
        <v>12.015000000000001</v>
      </c>
      <c r="F309" s="1155">
        <v>12.015000000000001</v>
      </c>
      <c r="G309" s="1155">
        <v>11.118</v>
      </c>
      <c r="H309" s="1155">
        <v>11.118</v>
      </c>
      <c r="I309" s="1155">
        <v>10</v>
      </c>
      <c r="J309" s="1155">
        <v>10</v>
      </c>
      <c r="K309" s="1155">
        <v>10</v>
      </c>
      <c r="L309" s="1155">
        <v>10</v>
      </c>
      <c r="M309" s="1155">
        <v>10</v>
      </c>
    </row>
    <row r="310" spans="1:13">
      <c r="A310" s="1152">
        <v>0.2</v>
      </c>
      <c r="B310" s="1155">
        <v>5.7530000000000001</v>
      </c>
      <c r="C310" s="1155">
        <v>5.7530000000000001</v>
      </c>
      <c r="D310" s="1155">
        <v>6.0075000000000003</v>
      </c>
      <c r="E310" s="1155">
        <v>6.0075000000000003</v>
      </c>
      <c r="F310" s="1155">
        <v>6.0075000000000003</v>
      </c>
      <c r="G310" s="1155">
        <v>5.5590000000000002</v>
      </c>
      <c r="H310" s="1155">
        <v>5.5590000000000002</v>
      </c>
      <c r="I310" s="1155">
        <v>5</v>
      </c>
      <c r="J310" s="1155">
        <v>5</v>
      </c>
      <c r="K310" s="1155">
        <v>5</v>
      </c>
      <c r="L310" s="1155">
        <v>5</v>
      </c>
      <c r="M310" s="1155">
        <v>5</v>
      </c>
    </row>
    <row r="311" spans="1:13">
      <c r="A311" s="1152">
        <v>0.3</v>
      </c>
      <c r="B311" s="1155">
        <v>3.8353000000000002</v>
      </c>
      <c r="C311" s="1155">
        <v>3.8353000000000002</v>
      </c>
      <c r="D311" s="1155">
        <v>4.0049999999999999</v>
      </c>
      <c r="E311" s="1155">
        <v>4.0049999999999999</v>
      </c>
      <c r="F311" s="1155">
        <v>4.0049999999999999</v>
      </c>
      <c r="G311" s="1155">
        <v>3.706</v>
      </c>
      <c r="H311" s="1155">
        <v>3.706</v>
      </c>
      <c r="I311" s="1155">
        <v>3.3332999999999999</v>
      </c>
      <c r="J311" s="1155">
        <v>3.3332999999999999</v>
      </c>
      <c r="K311" s="1155">
        <v>3.3332999999999999</v>
      </c>
      <c r="L311" s="1155">
        <v>3.3332999999999999</v>
      </c>
      <c r="M311" s="1155">
        <v>3.3332999999999999</v>
      </c>
    </row>
    <row r="312" spans="1:13">
      <c r="A312" s="1152">
        <v>0.4</v>
      </c>
      <c r="B312" s="1155">
        <v>2.8765000000000001</v>
      </c>
      <c r="C312" s="1155">
        <v>2.8765000000000001</v>
      </c>
      <c r="D312" s="1155">
        <v>3.0038</v>
      </c>
      <c r="E312" s="1155">
        <v>3.0038</v>
      </c>
      <c r="F312" s="1155">
        <v>3.0038</v>
      </c>
      <c r="G312" s="1155">
        <v>2.7795000000000001</v>
      </c>
      <c r="H312" s="1155">
        <v>2.7795000000000001</v>
      </c>
      <c r="I312" s="1155">
        <v>2.5</v>
      </c>
      <c r="J312" s="1155">
        <v>2.5</v>
      </c>
      <c r="K312" s="1155">
        <v>2.5</v>
      </c>
      <c r="L312" s="1155">
        <v>2.5</v>
      </c>
      <c r="M312" s="1155">
        <v>2.5</v>
      </c>
    </row>
    <row r="313" spans="1:13">
      <c r="A313" s="1152">
        <v>0.5</v>
      </c>
      <c r="B313" s="1155">
        <v>2.3012000000000001</v>
      </c>
      <c r="C313" s="1155">
        <v>2.3012000000000001</v>
      </c>
      <c r="D313" s="1155">
        <v>2.403</v>
      </c>
      <c r="E313" s="1155">
        <v>2.403</v>
      </c>
      <c r="F313" s="1155">
        <v>2.403</v>
      </c>
      <c r="G313" s="1155">
        <v>2.2235999999999998</v>
      </c>
      <c r="H313" s="1155">
        <v>2.2235999999999998</v>
      </c>
      <c r="I313" s="1155">
        <v>2</v>
      </c>
      <c r="J313" s="1155">
        <v>2</v>
      </c>
      <c r="K313" s="1155">
        <v>2</v>
      </c>
      <c r="L313" s="1155">
        <v>2</v>
      </c>
      <c r="M313" s="1155">
        <v>2</v>
      </c>
    </row>
    <row r="314" spans="1:13">
      <c r="A314" s="1152">
        <v>0.6</v>
      </c>
      <c r="B314" s="1155">
        <v>1.9177</v>
      </c>
      <c r="C314" s="1155">
        <v>1.9177</v>
      </c>
      <c r="D314" s="1155">
        <v>2.0024999999999999</v>
      </c>
      <c r="E314" s="1155">
        <v>2.0024999999999999</v>
      </c>
      <c r="F314" s="1155">
        <v>2.0024999999999999</v>
      </c>
      <c r="G314" s="1155">
        <v>1.853</v>
      </c>
      <c r="H314" s="1155">
        <v>1.853</v>
      </c>
      <c r="I314" s="1155">
        <v>1.6667000000000001</v>
      </c>
      <c r="J314" s="1155">
        <v>1.6667000000000001</v>
      </c>
      <c r="K314" s="1155">
        <v>1.6667000000000001</v>
      </c>
      <c r="L314" s="1155">
        <v>1.6667000000000001</v>
      </c>
      <c r="M314" s="1155">
        <v>1.6667000000000001</v>
      </c>
    </row>
    <row r="315" spans="1:13">
      <c r="A315" s="1152">
        <v>0.7</v>
      </c>
      <c r="B315" s="1155">
        <v>1.6436999999999999</v>
      </c>
      <c r="C315" s="1155">
        <v>1.6436999999999999</v>
      </c>
      <c r="D315" s="1155">
        <v>1.7163999999999999</v>
      </c>
      <c r="E315" s="1155">
        <v>1.7163999999999999</v>
      </c>
      <c r="F315" s="1155">
        <v>1.7163999999999999</v>
      </c>
      <c r="G315" s="1155">
        <v>1.5883</v>
      </c>
      <c r="H315" s="1155">
        <v>1.5883</v>
      </c>
      <c r="I315" s="1155">
        <v>1.4286000000000001</v>
      </c>
      <c r="J315" s="1155">
        <v>1.4286000000000001</v>
      </c>
      <c r="K315" s="1155">
        <v>1.4286000000000001</v>
      </c>
      <c r="L315" s="1155">
        <v>1.4286000000000001</v>
      </c>
      <c r="M315" s="1155">
        <v>1.4286000000000001</v>
      </c>
    </row>
    <row r="316" spans="1:13">
      <c r="A316" s="1152">
        <v>0.8</v>
      </c>
      <c r="B316" s="1155">
        <v>1.4382999999999999</v>
      </c>
      <c r="C316" s="1155">
        <v>1.4382999999999999</v>
      </c>
      <c r="D316" s="1155">
        <v>1.5019</v>
      </c>
      <c r="E316" s="1155">
        <v>1.5019</v>
      </c>
      <c r="F316" s="1155">
        <v>1.5019</v>
      </c>
      <c r="G316" s="1155">
        <v>1.3897999999999999</v>
      </c>
      <c r="H316" s="1155">
        <v>1.3897999999999999</v>
      </c>
      <c r="I316" s="1155">
        <v>1.25</v>
      </c>
      <c r="J316" s="1155">
        <v>1.25</v>
      </c>
      <c r="K316" s="1155">
        <v>1.25</v>
      </c>
      <c r="L316" s="1155">
        <v>1.25</v>
      </c>
      <c r="M316" s="1155">
        <v>1.25</v>
      </c>
    </row>
    <row r="317" spans="1:13">
      <c r="A317" s="1152">
        <v>0.9</v>
      </c>
      <c r="B317" s="1155">
        <v>1.2784</v>
      </c>
      <c r="C317" s="1155">
        <v>1.2784</v>
      </c>
      <c r="D317" s="1155">
        <v>1.335</v>
      </c>
      <c r="E317" s="1155">
        <v>1.335</v>
      </c>
      <c r="F317" s="1155">
        <v>1.335</v>
      </c>
      <c r="G317" s="1155">
        <v>1.2353000000000001</v>
      </c>
      <c r="H317" s="1155">
        <v>1.2353000000000001</v>
      </c>
      <c r="I317" s="1155">
        <v>1.1111</v>
      </c>
      <c r="J317" s="1155">
        <v>1.1111</v>
      </c>
      <c r="K317" s="1155">
        <v>1.1111</v>
      </c>
      <c r="L317" s="1155">
        <v>1.1111</v>
      </c>
      <c r="M317" s="1155">
        <v>1.1111</v>
      </c>
    </row>
    <row r="318" spans="1:13">
      <c r="A318" s="1152">
        <v>1</v>
      </c>
      <c r="B318" s="1155">
        <v>1.1506000000000001</v>
      </c>
      <c r="C318" s="1155">
        <v>1.1506000000000001</v>
      </c>
      <c r="D318" s="1155">
        <v>1.2015</v>
      </c>
      <c r="E318" s="1155">
        <v>1.2015</v>
      </c>
      <c r="F318" s="1155">
        <v>1.2015</v>
      </c>
      <c r="G318" s="1155">
        <v>1.1117999999999999</v>
      </c>
      <c r="H318" s="1155">
        <v>1.1117999999999999</v>
      </c>
      <c r="I318" s="1155">
        <v>1</v>
      </c>
      <c r="J318" s="1155">
        <v>1</v>
      </c>
      <c r="K318" s="1155">
        <v>1</v>
      </c>
      <c r="L318" s="1155">
        <v>1</v>
      </c>
      <c r="M318" s="1155">
        <v>1</v>
      </c>
    </row>
    <row r="319" spans="1:13">
      <c r="A319" s="1152">
        <v>1.1000000000000001</v>
      </c>
      <c r="B319" s="1155">
        <v>1.1158999999999999</v>
      </c>
      <c r="C319" s="1155">
        <v>1.1158999999999999</v>
      </c>
      <c r="D319" s="1155">
        <v>1.1440999999999999</v>
      </c>
      <c r="E319" s="1155">
        <v>1.1440999999999999</v>
      </c>
      <c r="F319" s="1155">
        <v>1.1440999999999999</v>
      </c>
      <c r="G319" s="1155">
        <v>1.0492999999999999</v>
      </c>
      <c r="H319" s="1155">
        <v>1.0492999999999999</v>
      </c>
      <c r="I319" s="1155">
        <v>0.93730000000000002</v>
      </c>
      <c r="J319" s="1155">
        <v>0.93730000000000002</v>
      </c>
      <c r="K319" s="1155">
        <v>0.93730000000000002</v>
      </c>
      <c r="L319" s="1155">
        <v>0.93730000000000002</v>
      </c>
      <c r="M319" s="1155">
        <v>0.93730000000000002</v>
      </c>
    </row>
    <row r="320" spans="1:13">
      <c r="A320" s="1152">
        <v>1.2</v>
      </c>
      <c r="B320" s="1155">
        <v>1.0837000000000001</v>
      </c>
      <c r="C320" s="1155">
        <v>1.0837000000000001</v>
      </c>
      <c r="D320" s="1155">
        <v>1.0972999999999999</v>
      </c>
      <c r="E320" s="1155">
        <v>1.0972999999999999</v>
      </c>
      <c r="F320" s="1155">
        <v>1.0972999999999999</v>
      </c>
      <c r="G320" s="1155">
        <v>1</v>
      </c>
      <c r="H320" s="1155">
        <v>1</v>
      </c>
      <c r="I320" s="1155">
        <v>0.88890000000000002</v>
      </c>
      <c r="J320" s="1155">
        <v>0.88890000000000002</v>
      </c>
      <c r="K320" s="1155">
        <v>0.88890000000000002</v>
      </c>
      <c r="L320" s="1155">
        <v>0.88890000000000002</v>
      </c>
      <c r="M320" s="1155">
        <v>0.88890000000000002</v>
      </c>
    </row>
    <row r="321" spans="1:13">
      <c r="A321" s="1152">
        <v>1.3</v>
      </c>
      <c r="B321" s="1155">
        <v>1.0538000000000001</v>
      </c>
      <c r="C321" s="1155">
        <v>1.0538000000000001</v>
      </c>
      <c r="D321" s="1155">
        <v>1.0589999999999999</v>
      </c>
      <c r="E321" s="1155">
        <v>1.0589999999999999</v>
      </c>
      <c r="F321" s="1155">
        <v>1.0589999999999999</v>
      </c>
      <c r="G321" s="1155">
        <v>0.96140000000000003</v>
      </c>
      <c r="H321" s="1155">
        <v>0.96140000000000003</v>
      </c>
      <c r="I321" s="1155">
        <v>0.85209999999999997</v>
      </c>
      <c r="J321" s="1155">
        <v>0.85209999999999997</v>
      </c>
      <c r="K321" s="1155">
        <v>0.85209999999999997</v>
      </c>
      <c r="L321" s="1155">
        <v>0.85209999999999997</v>
      </c>
      <c r="M321" s="1155">
        <v>0.85209999999999997</v>
      </c>
    </row>
    <row r="322" spans="1:13">
      <c r="A322" s="1152">
        <v>1.4</v>
      </c>
      <c r="B322" s="1155">
        <v>1.026</v>
      </c>
      <c r="C322" s="1155">
        <v>1.026</v>
      </c>
      <c r="D322" s="1155">
        <v>1.0271999999999999</v>
      </c>
      <c r="E322" s="1155">
        <v>1.0271999999999999</v>
      </c>
      <c r="F322" s="1155">
        <v>1.0271999999999999</v>
      </c>
      <c r="G322" s="1155">
        <v>0.93079999999999996</v>
      </c>
      <c r="H322" s="1155">
        <v>0.93079999999999996</v>
      </c>
      <c r="I322" s="1155">
        <v>0.82379999999999998</v>
      </c>
      <c r="J322" s="1155">
        <v>0.82379999999999998</v>
      </c>
      <c r="K322" s="1155">
        <v>0.82379999999999998</v>
      </c>
      <c r="L322" s="1155">
        <v>0.82379999999999998</v>
      </c>
      <c r="M322" s="1155">
        <v>0.82379999999999998</v>
      </c>
    </row>
    <row r="323" spans="1:13">
      <c r="A323" s="1152">
        <v>1.5</v>
      </c>
      <c r="B323" s="1155">
        <v>1</v>
      </c>
      <c r="C323" s="1155">
        <v>1</v>
      </c>
      <c r="D323" s="1155">
        <v>1</v>
      </c>
      <c r="E323" s="1155">
        <v>1</v>
      </c>
      <c r="F323" s="1155">
        <v>1</v>
      </c>
      <c r="G323" s="1155">
        <v>0.90559999999999996</v>
      </c>
      <c r="H323" s="1155">
        <v>0.90559999999999996</v>
      </c>
      <c r="I323" s="1155">
        <v>0.80110000000000003</v>
      </c>
      <c r="J323" s="1155">
        <v>0.80110000000000003</v>
      </c>
      <c r="K323" s="1155">
        <v>0.80110000000000003</v>
      </c>
      <c r="L323" s="1155">
        <v>0.80110000000000003</v>
      </c>
      <c r="M323" s="1155">
        <v>0.80110000000000003</v>
      </c>
    </row>
    <row r="324" spans="1:13">
      <c r="A324" s="1152">
        <v>1.6</v>
      </c>
      <c r="B324" s="1155">
        <v>0.97570000000000001</v>
      </c>
      <c r="C324" s="1155">
        <v>0.97570000000000001</v>
      </c>
      <c r="D324" s="1155">
        <v>0.97519999999999996</v>
      </c>
      <c r="E324" s="1155">
        <v>0.97519999999999996</v>
      </c>
      <c r="F324" s="1155">
        <v>0.97519999999999996</v>
      </c>
      <c r="G324" s="1155">
        <v>0.8831</v>
      </c>
      <c r="H324" s="1155">
        <v>0.8831</v>
      </c>
      <c r="I324" s="1155">
        <v>0.78100000000000003</v>
      </c>
      <c r="J324" s="1155">
        <v>0.78100000000000003</v>
      </c>
      <c r="K324" s="1155">
        <v>0.78100000000000003</v>
      </c>
      <c r="L324" s="1155">
        <v>0.78100000000000003</v>
      </c>
      <c r="M324" s="1155">
        <v>0.78100000000000003</v>
      </c>
    </row>
    <row r="325" spans="1:13">
      <c r="A325" s="1152">
        <v>1.7</v>
      </c>
      <c r="B325" s="1155">
        <v>0.95289999999999997</v>
      </c>
      <c r="C325" s="1155">
        <v>0.95289999999999997</v>
      </c>
      <c r="D325" s="1155">
        <v>0.95189999999999997</v>
      </c>
      <c r="E325" s="1155">
        <v>0.95189999999999997</v>
      </c>
      <c r="F325" s="1155">
        <v>0.95189999999999997</v>
      </c>
      <c r="G325" s="1155">
        <v>0.86180000000000001</v>
      </c>
      <c r="H325" s="1155">
        <v>0.86180000000000001</v>
      </c>
      <c r="I325" s="1155">
        <v>0.7621</v>
      </c>
      <c r="J325" s="1155">
        <v>0.7621</v>
      </c>
      <c r="K325" s="1155">
        <v>0.7621</v>
      </c>
      <c r="L325" s="1155">
        <v>0.7621</v>
      </c>
      <c r="M325" s="1155">
        <v>0.7621</v>
      </c>
    </row>
    <row r="326" spans="1:13">
      <c r="A326" s="1152">
        <v>1.8</v>
      </c>
      <c r="B326" s="1155">
        <v>0.93149999999999999</v>
      </c>
      <c r="C326" s="1155">
        <v>0.93149999999999999</v>
      </c>
      <c r="D326" s="1155">
        <v>0.93</v>
      </c>
      <c r="E326" s="1155">
        <v>0.93</v>
      </c>
      <c r="F326" s="1155">
        <v>0.93</v>
      </c>
      <c r="G326" s="1155">
        <v>0.84179999999999999</v>
      </c>
      <c r="H326" s="1155">
        <v>0.84179999999999999</v>
      </c>
      <c r="I326" s="1155">
        <v>0.74419999999999997</v>
      </c>
      <c r="J326" s="1155">
        <v>0.74419999999999997</v>
      </c>
      <c r="K326" s="1155">
        <v>0.74419999999999997</v>
      </c>
      <c r="L326" s="1155">
        <v>0.74419999999999997</v>
      </c>
      <c r="M326" s="1155">
        <v>0.74419999999999997</v>
      </c>
    </row>
    <row r="327" spans="1:13">
      <c r="A327" s="1152">
        <v>1.9</v>
      </c>
      <c r="B327" s="1155">
        <v>0.91139999999999999</v>
      </c>
      <c r="C327" s="1155">
        <v>0.91139999999999999</v>
      </c>
      <c r="D327" s="1155">
        <v>0.90939999999999999</v>
      </c>
      <c r="E327" s="1155">
        <v>0.90939999999999999</v>
      </c>
      <c r="F327" s="1155">
        <v>0.90939999999999999</v>
      </c>
      <c r="G327" s="1155">
        <v>0.82289999999999996</v>
      </c>
      <c r="H327" s="1155">
        <v>0.82289999999999996</v>
      </c>
      <c r="I327" s="1155">
        <v>0.72740000000000005</v>
      </c>
      <c r="J327" s="1155">
        <v>0.72740000000000005</v>
      </c>
      <c r="K327" s="1155">
        <v>0.72740000000000005</v>
      </c>
      <c r="L327" s="1155">
        <v>0.72740000000000005</v>
      </c>
      <c r="M327" s="1155">
        <v>0.72740000000000005</v>
      </c>
    </row>
    <row r="328" spans="1:13">
      <c r="A328" s="1152">
        <v>2</v>
      </c>
      <c r="B328" s="1155">
        <v>0.89270000000000005</v>
      </c>
      <c r="C328" s="1155">
        <v>0.89270000000000005</v>
      </c>
      <c r="D328" s="1155">
        <v>0.8901</v>
      </c>
      <c r="E328" s="1155">
        <v>0.8901</v>
      </c>
      <c r="F328" s="1155">
        <v>0.8901</v>
      </c>
      <c r="G328" s="1155">
        <v>0.80530000000000002</v>
      </c>
      <c r="H328" s="1155">
        <v>0.80530000000000002</v>
      </c>
      <c r="I328" s="1155">
        <v>0.71160000000000001</v>
      </c>
      <c r="J328" s="1155">
        <v>0.71160000000000001</v>
      </c>
      <c r="K328" s="1155">
        <v>0.71160000000000001</v>
      </c>
      <c r="L328" s="1155">
        <v>0.71160000000000001</v>
      </c>
      <c r="M328" s="1155">
        <v>0.71160000000000001</v>
      </c>
    </row>
    <row r="329" spans="1:13">
      <c r="A329" s="1156">
        <v>2.1</v>
      </c>
      <c r="B329" s="1155">
        <v>0.87519999999999998</v>
      </c>
      <c r="C329" s="1155">
        <v>0.87519999999999998</v>
      </c>
      <c r="D329" s="1155">
        <v>0.872</v>
      </c>
      <c r="E329" s="1155">
        <v>0.872</v>
      </c>
      <c r="F329" s="1155">
        <v>0.872</v>
      </c>
      <c r="G329" s="1155">
        <v>0.78869999999999996</v>
      </c>
      <c r="H329" s="1155">
        <v>0.78869999999999996</v>
      </c>
      <c r="I329" s="1155">
        <v>0.69669999999999999</v>
      </c>
      <c r="J329" s="1155">
        <v>0.69669999999999999</v>
      </c>
      <c r="K329" s="1155">
        <v>0.69669999999999999</v>
      </c>
      <c r="L329" s="1155">
        <v>0.69669999999999999</v>
      </c>
      <c r="M329" s="1155">
        <v>0.69669999999999999</v>
      </c>
    </row>
    <row r="330" spans="1:13">
      <c r="A330" s="1156">
        <v>2.2000000000000002</v>
      </c>
      <c r="B330" s="1155">
        <v>0.85880000000000001</v>
      </c>
      <c r="C330" s="1155">
        <v>0.85880000000000001</v>
      </c>
      <c r="D330" s="1155">
        <v>0.85499999999999998</v>
      </c>
      <c r="E330" s="1155">
        <v>0.85499999999999998</v>
      </c>
      <c r="F330" s="1155">
        <v>0.85499999999999998</v>
      </c>
      <c r="G330" s="1155">
        <v>0.77300000000000002</v>
      </c>
      <c r="H330" s="1155">
        <v>0.77300000000000002</v>
      </c>
      <c r="I330" s="1155">
        <v>0.68269999999999997</v>
      </c>
      <c r="J330" s="1155">
        <v>0.68269999999999997</v>
      </c>
      <c r="K330" s="1155">
        <v>0.68269999999999997</v>
      </c>
      <c r="L330" s="1155">
        <v>0.68269999999999997</v>
      </c>
      <c r="M330" s="1155">
        <v>0.68269999999999997</v>
      </c>
    </row>
    <row r="331" spans="1:13">
      <c r="A331" s="1156">
        <v>2.2999999999999998</v>
      </c>
      <c r="B331" s="1155">
        <v>0.84360000000000002</v>
      </c>
      <c r="C331" s="1155">
        <v>0.84360000000000002</v>
      </c>
      <c r="D331" s="1155">
        <v>0.83899999999999997</v>
      </c>
      <c r="E331" s="1155">
        <v>0.83899999999999997</v>
      </c>
      <c r="F331" s="1155">
        <v>0.83899999999999997</v>
      </c>
      <c r="G331" s="1155">
        <v>0.75839999999999996</v>
      </c>
      <c r="H331" s="1155">
        <v>0.75839999999999996</v>
      </c>
      <c r="I331" s="1155">
        <v>0.66949999999999998</v>
      </c>
      <c r="J331" s="1155">
        <v>0.66949999999999998</v>
      </c>
      <c r="K331" s="1155">
        <v>0.66949999999999998</v>
      </c>
      <c r="L331" s="1155">
        <v>0.66949999999999998</v>
      </c>
      <c r="M331" s="1155">
        <v>0.66949999999999998</v>
      </c>
    </row>
    <row r="332" spans="1:13">
      <c r="A332" s="1156">
        <v>2.4</v>
      </c>
      <c r="B332" s="1155">
        <v>0.82940000000000003</v>
      </c>
      <c r="C332" s="1155">
        <v>0.82940000000000003</v>
      </c>
      <c r="D332" s="1155">
        <v>0.82410000000000005</v>
      </c>
      <c r="E332" s="1155">
        <v>0.82410000000000005</v>
      </c>
      <c r="F332" s="1155">
        <v>0.82410000000000005</v>
      </c>
      <c r="G332" s="1155">
        <v>0.74460000000000004</v>
      </c>
      <c r="H332" s="1155">
        <v>0.74460000000000004</v>
      </c>
      <c r="I332" s="1155">
        <v>0.65710000000000002</v>
      </c>
      <c r="J332" s="1155">
        <v>0.65710000000000002</v>
      </c>
      <c r="K332" s="1155">
        <v>0.65710000000000002</v>
      </c>
      <c r="L332" s="1155">
        <v>0.65710000000000002</v>
      </c>
      <c r="M332" s="1155">
        <v>0.65710000000000002</v>
      </c>
    </row>
    <row r="333" spans="1:13">
      <c r="A333" s="1156">
        <v>2.5</v>
      </c>
      <c r="B333" s="1155">
        <v>0.81620000000000004</v>
      </c>
      <c r="C333" s="1155">
        <v>0.81620000000000004</v>
      </c>
      <c r="D333" s="1155">
        <v>0.81020000000000003</v>
      </c>
      <c r="E333" s="1155">
        <v>0.81020000000000003</v>
      </c>
      <c r="F333" s="1155">
        <v>0.81020000000000003</v>
      </c>
      <c r="G333" s="1155">
        <v>0.73180000000000001</v>
      </c>
      <c r="H333" s="1155">
        <v>0.73180000000000001</v>
      </c>
      <c r="I333" s="1155">
        <v>0.64549999999999996</v>
      </c>
      <c r="J333" s="1155">
        <v>0.64549999999999996</v>
      </c>
      <c r="K333" s="1155">
        <v>0.64549999999999996</v>
      </c>
      <c r="L333" s="1155">
        <v>0.64549999999999996</v>
      </c>
      <c r="M333" s="1155">
        <v>0.64549999999999996</v>
      </c>
    </row>
    <row r="334" spans="1:13">
      <c r="A334" s="1156">
        <v>2.6</v>
      </c>
      <c r="B334" s="1155">
        <v>0.80389999999999995</v>
      </c>
      <c r="C334" s="1155">
        <v>0.80389999999999995</v>
      </c>
      <c r="D334" s="1155">
        <v>0.79710000000000003</v>
      </c>
      <c r="E334" s="1155">
        <v>0.79710000000000003</v>
      </c>
      <c r="F334" s="1155">
        <v>0.79710000000000003</v>
      </c>
      <c r="G334" s="1155">
        <v>0.71970000000000001</v>
      </c>
      <c r="H334" s="1155">
        <v>0.71970000000000001</v>
      </c>
      <c r="I334" s="1155">
        <v>0.63460000000000005</v>
      </c>
      <c r="J334" s="1155">
        <v>0.63460000000000005</v>
      </c>
      <c r="K334" s="1155">
        <v>0.63460000000000005</v>
      </c>
      <c r="L334" s="1155">
        <v>0.63460000000000005</v>
      </c>
      <c r="M334" s="1155">
        <v>0.63460000000000005</v>
      </c>
    </row>
    <row r="335" spans="1:13">
      <c r="A335" s="1156">
        <v>2.7</v>
      </c>
      <c r="B335" s="1155">
        <v>0.79249999999999998</v>
      </c>
      <c r="C335" s="1155">
        <v>0.79249999999999998</v>
      </c>
      <c r="D335" s="1155">
        <v>0.78490000000000004</v>
      </c>
      <c r="E335" s="1155">
        <v>0.78490000000000004</v>
      </c>
      <c r="F335" s="1155">
        <v>0.78490000000000004</v>
      </c>
      <c r="G335" s="1155">
        <v>0.70840000000000003</v>
      </c>
      <c r="H335" s="1155">
        <v>0.70840000000000003</v>
      </c>
      <c r="I335" s="1155">
        <v>0.62439999999999996</v>
      </c>
      <c r="J335" s="1155">
        <v>0.62439999999999996</v>
      </c>
      <c r="K335" s="1155">
        <v>0.62439999999999996</v>
      </c>
      <c r="L335" s="1155">
        <v>0.62439999999999996</v>
      </c>
      <c r="M335" s="1155">
        <v>0.62439999999999996</v>
      </c>
    </row>
    <row r="336" spans="1:13">
      <c r="A336" s="1156">
        <v>2.8</v>
      </c>
      <c r="B336" s="1155">
        <v>0.78190000000000004</v>
      </c>
      <c r="C336" s="1155">
        <v>0.78190000000000004</v>
      </c>
      <c r="D336" s="1155">
        <v>0.77359999999999995</v>
      </c>
      <c r="E336" s="1155">
        <v>0.77359999999999995</v>
      </c>
      <c r="F336" s="1155">
        <v>0.77359999999999995</v>
      </c>
      <c r="G336" s="1155">
        <v>0.69789999999999996</v>
      </c>
      <c r="H336" s="1155">
        <v>0.69789999999999996</v>
      </c>
      <c r="I336" s="1155">
        <v>0.61480000000000001</v>
      </c>
      <c r="J336" s="1155">
        <v>0.61480000000000001</v>
      </c>
      <c r="K336" s="1155">
        <v>0.61480000000000001</v>
      </c>
      <c r="L336" s="1155">
        <v>0.61480000000000001</v>
      </c>
      <c r="M336" s="1155">
        <v>0.61480000000000001</v>
      </c>
    </row>
    <row r="337" spans="1:13">
      <c r="A337" s="1156">
        <v>2.9</v>
      </c>
      <c r="B337" s="1155">
        <v>0.77210000000000001</v>
      </c>
      <c r="C337" s="1155">
        <v>0.77210000000000001</v>
      </c>
      <c r="D337" s="1155">
        <v>0.76300000000000001</v>
      </c>
      <c r="E337" s="1155">
        <v>0.76300000000000001</v>
      </c>
      <c r="F337" s="1155">
        <v>0.76300000000000001</v>
      </c>
      <c r="G337" s="1155">
        <v>0.68799999999999994</v>
      </c>
      <c r="H337" s="1155">
        <v>0.68799999999999994</v>
      </c>
      <c r="I337" s="1155">
        <v>0.60589999999999999</v>
      </c>
      <c r="J337" s="1155">
        <v>0.60589999999999999</v>
      </c>
      <c r="K337" s="1155">
        <v>0.60589999999999999</v>
      </c>
      <c r="L337" s="1155">
        <v>0.60589999999999999</v>
      </c>
      <c r="M337" s="1155">
        <v>0.60589999999999999</v>
      </c>
    </row>
    <row r="338" spans="1:13">
      <c r="A338" s="1156">
        <v>3</v>
      </c>
      <c r="B338" s="1155">
        <v>0.7631</v>
      </c>
      <c r="C338" s="1155">
        <v>0.7631</v>
      </c>
      <c r="D338" s="1155">
        <v>0.75309999999999999</v>
      </c>
      <c r="E338" s="1155">
        <v>0.75309999999999999</v>
      </c>
      <c r="F338" s="1155">
        <v>0.75309999999999999</v>
      </c>
      <c r="G338" s="1155">
        <v>0.67879999999999996</v>
      </c>
      <c r="H338" s="1155">
        <v>0.67879999999999996</v>
      </c>
      <c r="I338" s="1155">
        <v>0.59750000000000003</v>
      </c>
      <c r="J338" s="1155">
        <v>0.59750000000000003</v>
      </c>
      <c r="K338" s="1155">
        <v>0.59750000000000003</v>
      </c>
      <c r="L338" s="1155">
        <v>0.59750000000000003</v>
      </c>
      <c r="M338" s="1155">
        <v>0.59750000000000003</v>
      </c>
    </row>
    <row r="339" spans="1:13">
      <c r="A339" s="1156">
        <v>3.1</v>
      </c>
      <c r="B339" s="1155">
        <v>0.75470000000000004</v>
      </c>
      <c r="C339" s="1155">
        <v>0.75470000000000004</v>
      </c>
      <c r="D339" s="1155">
        <v>0.74399999999999999</v>
      </c>
      <c r="E339" s="1155">
        <v>0.74399999999999999</v>
      </c>
      <c r="F339" s="1155">
        <v>0.74399999999999999</v>
      </c>
      <c r="G339" s="1155">
        <v>0.67020000000000002</v>
      </c>
      <c r="H339" s="1155">
        <v>0.67020000000000002</v>
      </c>
      <c r="I339" s="1155">
        <v>0.5897</v>
      </c>
      <c r="J339" s="1155">
        <v>0.5897</v>
      </c>
      <c r="K339" s="1155">
        <v>0.5897</v>
      </c>
      <c r="L339" s="1155">
        <v>0.5897</v>
      </c>
      <c r="M339" s="1155">
        <v>0.5897</v>
      </c>
    </row>
    <row r="340" spans="1:13">
      <c r="A340" s="1156">
        <v>3.2</v>
      </c>
      <c r="B340" s="1155">
        <v>0.747</v>
      </c>
      <c r="C340" s="1155">
        <v>0.747</v>
      </c>
      <c r="D340" s="1155">
        <v>0.73540000000000005</v>
      </c>
      <c r="E340" s="1155">
        <v>0.73540000000000005</v>
      </c>
      <c r="F340" s="1155">
        <v>0.73540000000000005</v>
      </c>
      <c r="G340" s="1155">
        <v>0.66220000000000001</v>
      </c>
      <c r="H340" s="1155">
        <v>0.66220000000000001</v>
      </c>
      <c r="I340" s="1155">
        <v>0.58230000000000004</v>
      </c>
      <c r="J340" s="1155">
        <v>0.58230000000000004</v>
      </c>
      <c r="K340" s="1155">
        <v>0.58230000000000004</v>
      </c>
      <c r="L340" s="1155">
        <v>0.58230000000000004</v>
      </c>
      <c r="M340" s="1155">
        <v>0.58230000000000004</v>
      </c>
    </row>
    <row r="341" spans="1:13">
      <c r="A341" s="1156">
        <v>3.3</v>
      </c>
      <c r="B341" s="1155">
        <v>0.7399</v>
      </c>
      <c r="C341" s="1155">
        <v>0.7399</v>
      </c>
      <c r="D341" s="1155">
        <v>0.72750000000000004</v>
      </c>
      <c r="E341" s="1155">
        <v>0.72750000000000004</v>
      </c>
      <c r="F341" s="1155">
        <v>0.72750000000000004</v>
      </c>
      <c r="G341" s="1155">
        <v>0.65480000000000005</v>
      </c>
      <c r="H341" s="1155">
        <v>0.65480000000000005</v>
      </c>
      <c r="I341" s="1155">
        <v>0.57540000000000002</v>
      </c>
      <c r="J341" s="1155">
        <v>0.57540000000000002</v>
      </c>
      <c r="K341" s="1155">
        <v>0.57540000000000002</v>
      </c>
      <c r="L341" s="1155">
        <v>0.57540000000000002</v>
      </c>
      <c r="M341" s="1155">
        <v>0.57540000000000002</v>
      </c>
    </row>
    <row r="342" spans="1:13">
      <c r="A342" s="1156">
        <v>3.4</v>
      </c>
      <c r="B342" s="1155">
        <v>0.73340000000000005</v>
      </c>
      <c r="C342" s="1155">
        <v>0.73340000000000005</v>
      </c>
      <c r="D342" s="1155">
        <v>0.72009999999999996</v>
      </c>
      <c r="E342" s="1155">
        <v>0.72009999999999996</v>
      </c>
      <c r="F342" s="1155">
        <v>0.72009999999999996</v>
      </c>
      <c r="G342" s="1155">
        <v>0.64780000000000004</v>
      </c>
      <c r="H342" s="1155">
        <v>0.64780000000000004</v>
      </c>
      <c r="I342" s="1155">
        <v>0.56899999999999995</v>
      </c>
      <c r="J342" s="1155">
        <v>0.56899999999999995</v>
      </c>
      <c r="K342" s="1155">
        <v>0.56899999999999995</v>
      </c>
      <c r="L342" s="1155">
        <v>0.56899999999999995</v>
      </c>
      <c r="M342" s="1155">
        <v>0.56899999999999995</v>
      </c>
    </row>
    <row r="343" spans="1:13">
      <c r="A343" s="1156">
        <v>3.5</v>
      </c>
      <c r="B343" s="1155">
        <v>0.72740000000000005</v>
      </c>
      <c r="C343" s="1155">
        <v>0.72740000000000005</v>
      </c>
      <c r="D343" s="1155">
        <v>0.71330000000000005</v>
      </c>
      <c r="E343" s="1155">
        <v>0.71330000000000005</v>
      </c>
      <c r="F343" s="1155">
        <v>0.71330000000000005</v>
      </c>
      <c r="G343" s="1155">
        <v>0.64129999999999998</v>
      </c>
      <c r="H343" s="1155">
        <v>0.64129999999999998</v>
      </c>
      <c r="I343" s="1155">
        <v>0.56310000000000004</v>
      </c>
      <c r="J343" s="1155">
        <v>0.56310000000000004</v>
      </c>
      <c r="K343" s="1155">
        <v>0.56310000000000004</v>
      </c>
      <c r="L343" s="1155">
        <v>0.56310000000000004</v>
      </c>
      <c r="M343" s="1155">
        <v>0.56310000000000004</v>
      </c>
    </row>
    <row r="344" spans="1:13">
      <c r="A344" s="1156">
        <v>3.6</v>
      </c>
      <c r="B344" s="1155">
        <v>0.72189999999999999</v>
      </c>
      <c r="C344" s="1155">
        <v>0.72189999999999999</v>
      </c>
      <c r="D344" s="1155">
        <v>0.70699999999999996</v>
      </c>
      <c r="E344" s="1155">
        <v>0.70699999999999996</v>
      </c>
      <c r="F344" s="1155">
        <v>0.70699999999999996</v>
      </c>
      <c r="G344" s="1155">
        <v>0.63529999999999998</v>
      </c>
      <c r="H344" s="1155">
        <v>0.63529999999999998</v>
      </c>
      <c r="I344" s="1155">
        <v>0.5575</v>
      </c>
      <c r="J344" s="1155">
        <v>0.5575</v>
      </c>
      <c r="K344" s="1155">
        <v>0.5575</v>
      </c>
      <c r="L344" s="1155">
        <v>0.5575</v>
      </c>
      <c r="M344" s="1155">
        <v>0.5575</v>
      </c>
    </row>
    <row r="345" spans="1:13">
      <c r="A345" s="1156">
        <v>3.7</v>
      </c>
      <c r="B345" s="1155">
        <v>0.71679999999999999</v>
      </c>
      <c r="C345" s="1155">
        <v>0.71679999999999999</v>
      </c>
      <c r="D345" s="1155">
        <v>0.70109999999999995</v>
      </c>
      <c r="E345" s="1155">
        <v>0.70109999999999995</v>
      </c>
      <c r="F345" s="1155">
        <v>0.70109999999999995</v>
      </c>
      <c r="G345" s="1155">
        <v>0.62970000000000004</v>
      </c>
      <c r="H345" s="1155">
        <v>0.62970000000000004</v>
      </c>
      <c r="I345" s="1155">
        <v>0.55230000000000001</v>
      </c>
      <c r="J345" s="1155">
        <v>0.55230000000000001</v>
      </c>
      <c r="K345" s="1155">
        <v>0.55230000000000001</v>
      </c>
      <c r="L345" s="1155">
        <v>0.55230000000000001</v>
      </c>
      <c r="M345" s="1155">
        <v>0.55230000000000001</v>
      </c>
    </row>
    <row r="346" spans="1:13">
      <c r="A346" s="1156">
        <v>3.8</v>
      </c>
      <c r="B346" s="1155">
        <v>0.71220000000000006</v>
      </c>
      <c r="C346" s="1155">
        <v>0.71220000000000006</v>
      </c>
      <c r="D346" s="1155">
        <v>0.6956</v>
      </c>
      <c r="E346" s="1155">
        <v>0.6956</v>
      </c>
      <c r="F346" s="1155">
        <v>0.6956</v>
      </c>
      <c r="G346" s="1155">
        <v>0.62439999999999996</v>
      </c>
      <c r="H346" s="1155">
        <v>0.62439999999999996</v>
      </c>
      <c r="I346" s="1155">
        <v>0.5474</v>
      </c>
      <c r="J346" s="1155">
        <v>0.5474</v>
      </c>
      <c r="K346" s="1155">
        <v>0.5474</v>
      </c>
      <c r="L346" s="1155">
        <v>0.5474</v>
      </c>
      <c r="M346" s="1155">
        <v>0.5474</v>
      </c>
    </row>
    <row r="347" spans="1:13">
      <c r="A347" s="1156">
        <v>3.9</v>
      </c>
      <c r="B347" s="1155">
        <v>0.70799999999999996</v>
      </c>
      <c r="C347" s="1155">
        <v>0.70799999999999996</v>
      </c>
      <c r="D347" s="1155">
        <v>0.69059999999999999</v>
      </c>
      <c r="E347" s="1155">
        <v>0.69059999999999999</v>
      </c>
      <c r="F347" s="1155">
        <v>0.69059999999999999</v>
      </c>
      <c r="G347" s="1155">
        <v>0.61950000000000005</v>
      </c>
      <c r="H347" s="1155">
        <v>0.61950000000000005</v>
      </c>
      <c r="I347" s="1155">
        <v>0.54279999999999995</v>
      </c>
      <c r="J347" s="1155">
        <v>0.54279999999999995</v>
      </c>
      <c r="K347" s="1155">
        <v>0.54279999999999995</v>
      </c>
      <c r="L347" s="1155">
        <v>0.54279999999999995</v>
      </c>
      <c r="M347" s="1155">
        <v>0.54279999999999995</v>
      </c>
    </row>
    <row r="348" spans="1:13">
      <c r="A348" s="1156">
        <v>4</v>
      </c>
      <c r="B348" s="1155">
        <v>0.70409999999999995</v>
      </c>
      <c r="C348" s="1155">
        <v>0.70409999999999995</v>
      </c>
      <c r="D348" s="1155">
        <v>0.68589999999999995</v>
      </c>
      <c r="E348" s="1155">
        <v>0.68589999999999995</v>
      </c>
      <c r="F348" s="1155">
        <v>0.68589999999999995</v>
      </c>
      <c r="G348" s="1155">
        <v>0.61499999999999999</v>
      </c>
      <c r="H348" s="1155">
        <v>0.61499999999999999</v>
      </c>
      <c r="I348" s="1155">
        <v>0.53859999999999997</v>
      </c>
      <c r="J348" s="1155">
        <v>0.53859999999999997</v>
      </c>
      <c r="K348" s="1155">
        <v>0.53859999999999997</v>
      </c>
      <c r="L348" s="1155">
        <v>0.53859999999999997</v>
      </c>
      <c r="M348" s="1155">
        <v>0.53859999999999997</v>
      </c>
    </row>
    <row r="349" spans="1:13">
      <c r="A349" s="1156">
        <v>4.0999999999999996</v>
      </c>
      <c r="B349" s="1155">
        <v>0.7006</v>
      </c>
      <c r="C349" s="1155">
        <v>0.7006</v>
      </c>
      <c r="D349" s="1155">
        <v>0.68159999999999998</v>
      </c>
      <c r="E349" s="1155">
        <v>0.68159999999999998</v>
      </c>
      <c r="F349" s="1155">
        <v>0.68159999999999998</v>
      </c>
      <c r="G349" s="1155">
        <v>0.61080000000000001</v>
      </c>
      <c r="H349" s="1155">
        <v>0.61080000000000001</v>
      </c>
      <c r="I349" s="1155">
        <v>0.53459999999999996</v>
      </c>
      <c r="J349" s="1155">
        <v>0.53459999999999996</v>
      </c>
      <c r="K349" s="1155">
        <v>0.53459999999999996</v>
      </c>
      <c r="L349" s="1155">
        <v>0.53459999999999996</v>
      </c>
      <c r="M349" s="1155">
        <v>0.53459999999999996</v>
      </c>
    </row>
    <row r="350" spans="1:13">
      <c r="A350" s="1156">
        <v>4.2</v>
      </c>
      <c r="B350" s="1155">
        <v>0.69740000000000002</v>
      </c>
      <c r="C350" s="1155">
        <v>0.69740000000000002</v>
      </c>
      <c r="D350" s="1155">
        <v>0.67759999999999998</v>
      </c>
      <c r="E350" s="1155">
        <v>0.67759999999999998</v>
      </c>
      <c r="F350" s="1155">
        <v>0.67759999999999998</v>
      </c>
      <c r="G350" s="1155">
        <v>0.60699999999999998</v>
      </c>
      <c r="H350" s="1155">
        <v>0.60699999999999998</v>
      </c>
      <c r="I350" s="1155">
        <v>0.53090000000000004</v>
      </c>
      <c r="J350" s="1155">
        <v>0.53090000000000004</v>
      </c>
      <c r="K350" s="1155">
        <v>0.53090000000000004</v>
      </c>
      <c r="L350" s="1155">
        <v>0.53090000000000004</v>
      </c>
      <c r="M350" s="1155">
        <v>0.53090000000000004</v>
      </c>
    </row>
    <row r="351" spans="1:13">
      <c r="A351" s="1156">
        <v>4.3</v>
      </c>
      <c r="B351" s="1155">
        <v>0.69450000000000001</v>
      </c>
      <c r="C351" s="1155">
        <v>0.69450000000000001</v>
      </c>
      <c r="D351" s="1155">
        <v>0.67390000000000005</v>
      </c>
      <c r="E351" s="1155">
        <v>0.67390000000000005</v>
      </c>
      <c r="F351" s="1155">
        <v>0.67390000000000005</v>
      </c>
      <c r="G351" s="1155">
        <v>0.60329999999999995</v>
      </c>
      <c r="H351" s="1155">
        <v>0.60329999999999995</v>
      </c>
      <c r="I351" s="1155">
        <v>0.52739999999999998</v>
      </c>
      <c r="J351" s="1155">
        <v>0.52739999999999998</v>
      </c>
      <c r="K351" s="1155">
        <v>0.52739999999999998</v>
      </c>
      <c r="L351" s="1155">
        <v>0.52739999999999998</v>
      </c>
      <c r="M351" s="1155">
        <v>0.52739999999999998</v>
      </c>
    </row>
    <row r="352" spans="1:13">
      <c r="A352" s="1156">
        <v>4.4000000000000004</v>
      </c>
      <c r="B352" s="1155">
        <v>0.69179999999999997</v>
      </c>
      <c r="C352" s="1155">
        <v>0.69179999999999997</v>
      </c>
      <c r="D352" s="1155">
        <v>0.67049999999999998</v>
      </c>
      <c r="E352" s="1155">
        <v>0.67049999999999998</v>
      </c>
      <c r="F352" s="1155">
        <v>0.67049999999999998</v>
      </c>
      <c r="G352" s="1155">
        <v>0.59989999999999999</v>
      </c>
      <c r="H352" s="1155">
        <v>0.59989999999999999</v>
      </c>
      <c r="I352" s="1155">
        <v>0.5242</v>
      </c>
      <c r="J352" s="1155">
        <v>0.5242</v>
      </c>
      <c r="K352" s="1155">
        <v>0.5242</v>
      </c>
      <c r="L352" s="1155">
        <v>0.5242</v>
      </c>
      <c r="M352" s="1155">
        <v>0.5242</v>
      </c>
    </row>
    <row r="353" spans="1:13">
      <c r="A353" s="1156">
        <v>4.5</v>
      </c>
      <c r="B353" s="1155">
        <v>0.68940000000000001</v>
      </c>
      <c r="C353" s="1155">
        <v>0.68940000000000001</v>
      </c>
      <c r="D353" s="1155">
        <v>0.6673</v>
      </c>
      <c r="E353" s="1155">
        <v>0.6673</v>
      </c>
      <c r="F353" s="1155">
        <v>0.6673</v>
      </c>
      <c r="G353" s="1155">
        <v>0.59670000000000001</v>
      </c>
      <c r="H353" s="1155">
        <v>0.59670000000000001</v>
      </c>
      <c r="I353" s="1155">
        <v>0.52110000000000001</v>
      </c>
      <c r="J353" s="1155">
        <v>0.52110000000000001</v>
      </c>
      <c r="K353" s="1155">
        <v>0.52110000000000001</v>
      </c>
      <c r="L353" s="1155">
        <v>0.52110000000000001</v>
      </c>
      <c r="M353" s="1155">
        <v>0.52110000000000001</v>
      </c>
    </row>
    <row r="354" spans="1:13">
      <c r="A354" s="1156">
        <v>4.5999999999999996</v>
      </c>
      <c r="B354" s="1155">
        <v>0.68720000000000003</v>
      </c>
      <c r="C354" s="1155">
        <v>0.68720000000000003</v>
      </c>
      <c r="D354" s="1155">
        <v>0.6643</v>
      </c>
      <c r="E354" s="1155">
        <v>0.6643</v>
      </c>
      <c r="F354" s="1155">
        <v>0.6643</v>
      </c>
      <c r="G354" s="1155">
        <v>0.59379999999999999</v>
      </c>
      <c r="H354" s="1155">
        <v>0.59379999999999999</v>
      </c>
      <c r="I354" s="1155">
        <v>0.51819999999999999</v>
      </c>
      <c r="J354" s="1155">
        <v>0.51819999999999999</v>
      </c>
      <c r="K354" s="1155">
        <v>0.51819999999999999</v>
      </c>
      <c r="L354" s="1155">
        <v>0.51819999999999999</v>
      </c>
      <c r="M354" s="1155">
        <v>0.51819999999999999</v>
      </c>
    </row>
    <row r="355" spans="1:13">
      <c r="A355" s="1156">
        <v>4.7</v>
      </c>
      <c r="B355" s="1155">
        <v>0.68520000000000003</v>
      </c>
      <c r="C355" s="1155">
        <v>0.68520000000000003</v>
      </c>
      <c r="D355" s="1155">
        <v>0.66149999999999998</v>
      </c>
      <c r="E355" s="1155">
        <v>0.66149999999999998</v>
      </c>
      <c r="F355" s="1155">
        <v>0.66149999999999998</v>
      </c>
      <c r="G355" s="1155">
        <v>0.59109999999999996</v>
      </c>
      <c r="H355" s="1155">
        <v>0.59109999999999996</v>
      </c>
      <c r="I355" s="1155">
        <v>0.51559999999999995</v>
      </c>
      <c r="J355" s="1155">
        <v>0.51559999999999995</v>
      </c>
      <c r="K355" s="1155">
        <v>0.51559999999999995</v>
      </c>
      <c r="L355" s="1155">
        <v>0.51559999999999995</v>
      </c>
      <c r="M355" s="1155">
        <v>0.51559999999999995</v>
      </c>
    </row>
    <row r="356" spans="1:13">
      <c r="A356" s="1156">
        <v>4.8</v>
      </c>
      <c r="B356" s="1155">
        <v>0.68340000000000001</v>
      </c>
      <c r="C356" s="1155">
        <v>0.68340000000000001</v>
      </c>
      <c r="D356" s="1155">
        <v>0.65900000000000003</v>
      </c>
      <c r="E356" s="1155">
        <v>0.65900000000000003</v>
      </c>
      <c r="F356" s="1155">
        <v>0.65900000000000003</v>
      </c>
      <c r="G356" s="1155">
        <v>0.58850000000000002</v>
      </c>
      <c r="H356" s="1155">
        <v>0.58850000000000002</v>
      </c>
      <c r="I356" s="1155">
        <v>0.51300000000000001</v>
      </c>
      <c r="J356" s="1155">
        <v>0.51300000000000001</v>
      </c>
      <c r="K356" s="1155">
        <v>0.51300000000000001</v>
      </c>
      <c r="L356" s="1155">
        <v>0.51300000000000001</v>
      </c>
      <c r="M356" s="1155">
        <v>0.51300000000000001</v>
      </c>
    </row>
    <row r="357" spans="1:13">
      <c r="A357" s="1156">
        <v>4.9000000000000004</v>
      </c>
      <c r="B357" s="1155">
        <v>0.68179999999999996</v>
      </c>
      <c r="C357" s="1155">
        <v>0.68179999999999996</v>
      </c>
      <c r="D357" s="1155">
        <v>0.65659999999999996</v>
      </c>
      <c r="E357" s="1155">
        <v>0.65659999999999996</v>
      </c>
      <c r="F357" s="1155">
        <v>0.65659999999999996</v>
      </c>
      <c r="G357" s="1155">
        <v>0.58599999999999997</v>
      </c>
      <c r="H357" s="1155">
        <v>0.58599999999999997</v>
      </c>
      <c r="I357" s="1155">
        <v>0.51060000000000005</v>
      </c>
      <c r="J357" s="1155">
        <v>0.51060000000000005</v>
      </c>
      <c r="K357" s="1155">
        <v>0.51060000000000005</v>
      </c>
      <c r="L357" s="1155">
        <v>0.51060000000000005</v>
      </c>
      <c r="M357" s="1155">
        <v>0.51060000000000005</v>
      </c>
    </row>
    <row r="358" spans="1:13">
      <c r="A358" s="1156">
        <v>5</v>
      </c>
      <c r="B358" s="1155">
        <v>0.68030000000000002</v>
      </c>
      <c r="C358" s="1155">
        <v>0.68030000000000002</v>
      </c>
      <c r="D358" s="1155">
        <v>0.65439999999999998</v>
      </c>
      <c r="E358" s="1155">
        <v>0.65439999999999998</v>
      </c>
      <c r="F358" s="1155">
        <v>0.65439999999999998</v>
      </c>
      <c r="G358" s="1155">
        <v>0.58379999999999999</v>
      </c>
      <c r="H358" s="1155">
        <v>0.58379999999999999</v>
      </c>
      <c r="I358" s="1155">
        <v>0.50839999999999996</v>
      </c>
      <c r="J358" s="1155">
        <v>0.50839999999999996</v>
      </c>
      <c r="K358" s="1155">
        <v>0.50839999999999996</v>
      </c>
      <c r="L358" s="1155">
        <v>0.50839999999999996</v>
      </c>
      <c r="M358" s="1155">
        <v>0.50839999999999996</v>
      </c>
    </row>
    <row r="359" spans="1:13">
      <c r="A359" s="1152">
        <v>5.0999999999999996</v>
      </c>
      <c r="B359" s="1155">
        <v>0.67889999999999995</v>
      </c>
      <c r="C359" s="1155">
        <v>0.67889999999999995</v>
      </c>
      <c r="D359" s="1155">
        <v>0.65229999999999999</v>
      </c>
      <c r="E359" s="1155">
        <v>0.65229999999999999</v>
      </c>
      <c r="F359" s="1155">
        <v>0.65229999999999999</v>
      </c>
      <c r="G359" s="1155">
        <v>0.58160000000000001</v>
      </c>
      <c r="H359" s="1155">
        <v>0.58160000000000001</v>
      </c>
      <c r="I359" s="1155">
        <v>0.50629999999999997</v>
      </c>
      <c r="J359" s="1155">
        <v>0.50629999999999997</v>
      </c>
      <c r="K359" s="1155">
        <v>0.50629999999999997</v>
      </c>
      <c r="L359" s="1155">
        <v>0.50629999999999997</v>
      </c>
      <c r="M359" s="1155">
        <v>0.50629999999999997</v>
      </c>
    </row>
    <row r="360" spans="1:13">
      <c r="A360" s="1152">
        <v>5.2</v>
      </c>
      <c r="B360" s="1155">
        <v>0.67749999999999999</v>
      </c>
      <c r="C360" s="1155">
        <v>0.67749999999999999</v>
      </c>
      <c r="D360" s="1155">
        <v>0.65029999999999999</v>
      </c>
      <c r="E360" s="1155">
        <v>0.65029999999999999</v>
      </c>
      <c r="F360" s="1155">
        <v>0.65029999999999999</v>
      </c>
      <c r="G360" s="1155">
        <v>0.57950000000000002</v>
      </c>
      <c r="H360" s="1155">
        <v>0.57950000000000002</v>
      </c>
      <c r="I360" s="1155">
        <v>0.50419999999999998</v>
      </c>
      <c r="J360" s="1155">
        <v>0.50419999999999998</v>
      </c>
      <c r="K360" s="1155">
        <v>0.50419999999999998</v>
      </c>
      <c r="L360" s="1155">
        <v>0.50419999999999998</v>
      </c>
      <c r="M360" s="1155">
        <v>0.50419999999999998</v>
      </c>
    </row>
    <row r="361" spans="1:13">
      <c r="A361" s="1152">
        <v>5.3</v>
      </c>
      <c r="B361" s="1155">
        <v>0.67620000000000002</v>
      </c>
      <c r="C361" s="1155">
        <v>0.67620000000000002</v>
      </c>
      <c r="D361" s="1155">
        <v>0.64839999999999998</v>
      </c>
      <c r="E361" s="1155">
        <v>0.64839999999999998</v>
      </c>
      <c r="F361" s="1155">
        <v>0.64839999999999998</v>
      </c>
      <c r="G361" s="1155">
        <v>0.5776</v>
      </c>
      <c r="H361" s="1155">
        <v>0.5776</v>
      </c>
      <c r="I361" s="1155">
        <v>0.50229999999999997</v>
      </c>
      <c r="J361" s="1155">
        <v>0.50229999999999997</v>
      </c>
      <c r="K361" s="1155">
        <v>0.50229999999999997</v>
      </c>
      <c r="L361" s="1155">
        <v>0.50229999999999997</v>
      </c>
      <c r="M361" s="1155">
        <v>0.50229999999999997</v>
      </c>
    </row>
    <row r="362" spans="1:13">
      <c r="A362" s="1152">
        <v>5.4</v>
      </c>
      <c r="B362" s="1155">
        <v>0.67500000000000004</v>
      </c>
      <c r="C362" s="1155">
        <v>0.67500000000000004</v>
      </c>
      <c r="D362" s="1155">
        <v>0.64670000000000005</v>
      </c>
      <c r="E362" s="1155">
        <v>0.64670000000000005</v>
      </c>
      <c r="F362" s="1155">
        <v>0.64670000000000005</v>
      </c>
      <c r="G362" s="1155">
        <v>0.57579999999999998</v>
      </c>
      <c r="H362" s="1155">
        <v>0.57579999999999998</v>
      </c>
      <c r="I362" s="1155">
        <v>0.50039999999999996</v>
      </c>
      <c r="J362" s="1155">
        <v>0.50039999999999996</v>
      </c>
      <c r="K362" s="1155">
        <v>0.50039999999999996</v>
      </c>
      <c r="L362" s="1155">
        <v>0.50039999999999996</v>
      </c>
      <c r="M362" s="1155">
        <v>0.50039999999999996</v>
      </c>
    </row>
    <row r="363" spans="1:13">
      <c r="A363" s="1152">
        <v>5.5</v>
      </c>
      <c r="B363" s="1155">
        <v>0.67379999999999995</v>
      </c>
      <c r="C363" s="1155">
        <v>0.67379999999999995</v>
      </c>
      <c r="D363" s="1155">
        <v>0.64500000000000002</v>
      </c>
      <c r="E363" s="1155">
        <v>0.64500000000000002</v>
      </c>
      <c r="F363" s="1155">
        <v>0.64500000000000002</v>
      </c>
      <c r="G363" s="1155">
        <v>0.57399999999999995</v>
      </c>
      <c r="H363" s="1155">
        <v>0.57399999999999995</v>
      </c>
      <c r="I363" s="1155">
        <v>0.49869999999999998</v>
      </c>
      <c r="J363" s="1155">
        <v>0.49869999999999998</v>
      </c>
      <c r="K363" s="1155">
        <v>0.49869999999999998</v>
      </c>
      <c r="L363" s="1155">
        <v>0.49869999999999998</v>
      </c>
      <c r="M363" s="1155">
        <v>0.49869999999999998</v>
      </c>
    </row>
    <row r="364" spans="1:13">
      <c r="A364" s="1152">
        <v>5.6</v>
      </c>
      <c r="B364" s="1155">
        <v>0.67259999999999998</v>
      </c>
      <c r="C364" s="1155">
        <v>0.67259999999999998</v>
      </c>
      <c r="D364" s="1155">
        <v>0.64339999999999997</v>
      </c>
      <c r="E364" s="1155">
        <v>0.64339999999999997</v>
      </c>
      <c r="F364" s="1155">
        <v>0.64339999999999997</v>
      </c>
      <c r="G364" s="1155">
        <v>0.57240000000000002</v>
      </c>
      <c r="H364" s="1155">
        <v>0.57240000000000002</v>
      </c>
      <c r="I364" s="1155">
        <v>0.49690000000000001</v>
      </c>
      <c r="J364" s="1155">
        <v>0.49690000000000001</v>
      </c>
      <c r="K364" s="1155">
        <v>0.49690000000000001</v>
      </c>
      <c r="L364" s="1155">
        <v>0.49690000000000001</v>
      </c>
      <c r="M364" s="1155">
        <v>0.49690000000000001</v>
      </c>
    </row>
    <row r="365" spans="1:13">
      <c r="A365" s="1156">
        <v>5.7</v>
      </c>
      <c r="B365" s="1155">
        <v>0.6714</v>
      </c>
      <c r="C365" s="1155">
        <v>0.6714</v>
      </c>
      <c r="D365" s="1155">
        <v>0.64190000000000003</v>
      </c>
      <c r="E365" s="1155">
        <v>0.64190000000000003</v>
      </c>
      <c r="F365" s="1155">
        <v>0.64190000000000003</v>
      </c>
      <c r="G365" s="1155">
        <v>0.57069999999999999</v>
      </c>
      <c r="H365" s="1155">
        <v>0.57069999999999999</v>
      </c>
      <c r="I365" s="1155">
        <v>0.49519999999999997</v>
      </c>
      <c r="J365" s="1155">
        <v>0.49519999999999997</v>
      </c>
      <c r="K365" s="1155">
        <v>0.49519999999999997</v>
      </c>
      <c r="L365" s="1155">
        <v>0.49519999999999997</v>
      </c>
      <c r="M365" s="1155">
        <v>0.49519999999999997</v>
      </c>
    </row>
    <row r="366" spans="1:13">
      <c r="A366" s="1152">
        <v>5.8</v>
      </c>
      <c r="B366" s="1155">
        <v>0.67020000000000002</v>
      </c>
      <c r="C366" s="1155">
        <v>0.67020000000000002</v>
      </c>
      <c r="D366" s="1155">
        <v>0.64039999999999997</v>
      </c>
      <c r="E366" s="1155">
        <v>0.64039999999999997</v>
      </c>
      <c r="F366" s="1155">
        <v>0.64039999999999997</v>
      </c>
      <c r="G366" s="1155">
        <v>0.56910000000000005</v>
      </c>
      <c r="H366" s="1155">
        <v>0.56910000000000005</v>
      </c>
      <c r="I366" s="1155">
        <v>0.49359999999999998</v>
      </c>
      <c r="J366" s="1155">
        <v>0.49359999999999998</v>
      </c>
      <c r="K366" s="1155">
        <v>0.49359999999999998</v>
      </c>
      <c r="L366" s="1155">
        <v>0.49359999999999998</v>
      </c>
      <c r="M366" s="1155">
        <v>0.49359999999999998</v>
      </c>
    </row>
    <row r="367" spans="1:13">
      <c r="A367" s="1152">
        <v>5.9</v>
      </c>
      <c r="B367" s="1155">
        <v>0.66910000000000003</v>
      </c>
      <c r="C367" s="1155">
        <v>0.66910000000000003</v>
      </c>
      <c r="D367" s="1155">
        <v>0.63890000000000002</v>
      </c>
      <c r="E367" s="1155">
        <v>0.63890000000000002</v>
      </c>
      <c r="F367" s="1155">
        <v>0.63890000000000002</v>
      </c>
      <c r="G367" s="1155">
        <v>0.5675</v>
      </c>
      <c r="H367" s="1155">
        <v>0.5675</v>
      </c>
      <c r="I367" s="1155">
        <v>0.4919</v>
      </c>
      <c r="J367" s="1155">
        <v>0.4919</v>
      </c>
      <c r="K367" s="1155">
        <v>0.4919</v>
      </c>
      <c r="L367" s="1155">
        <v>0.4919</v>
      </c>
      <c r="M367" s="1155">
        <v>0.4919</v>
      </c>
    </row>
    <row r="368" spans="1:13">
      <c r="A368" s="1152">
        <v>6</v>
      </c>
      <c r="B368" s="1155">
        <v>0.66800000000000004</v>
      </c>
      <c r="C368" s="1155">
        <v>0.66800000000000004</v>
      </c>
      <c r="D368" s="1155">
        <v>0.63739999999999997</v>
      </c>
      <c r="E368" s="1155">
        <v>0.63739999999999997</v>
      </c>
      <c r="F368" s="1155">
        <v>0.63739999999999997</v>
      </c>
      <c r="G368" s="1155">
        <v>0.56589999999999996</v>
      </c>
      <c r="H368" s="1155">
        <v>0.56589999999999996</v>
      </c>
      <c r="I368" s="1155">
        <v>0.49020000000000002</v>
      </c>
      <c r="J368" s="1155">
        <v>0.49020000000000002</v>
      </c>
      <c r="K368" s="1155">
        <v>0.49020000000000002</v>
      </c>
      <c r="L368" s="1155">
        <v>0.49020000000000002</v>
      </c>
      <c r="M368" s="1155">
        <v>0.49020000000000002</v>
      </c>
    </row>
    <row r="369" spans="1:13">
      <c r="A369" s="1152">
        <v>6.1</v>
      </c>
      <c r="B369" s="1155">
        <v>0.66690000000000005</v>
      </c>
      <c r="C369" s="1155">
        <v>0.66690000000000005</v>
      </c>
      <c r="D369" s="1155">
        <v>0.63590000000000002</v>
      </c>
      <c r="E369" s="1155">
        <v>0.63590000000000002</v>
      </c>
      <c r="F369" s="1155">
        <v>0.63590000000000002</v>
      </c>
      <c r="G369" s="1155">
        <v>0.56440000000000001</v>
      </c>
      <c r="H369" s="1155">
        <v>0.56440000000000001</v>
      </c>
      <c r="I369" s="1155">
        <v>0.48849999999999999</v>
      </c>
      <c r="J369" s="1155">
        <v>0.48849999999999999</v>
      </c>
      <c r="K369" s="1155">
        <v>0.48849999999999999</v>
      </c>
      <c r="L369" s="1155">
        <v>0.48849999999999999</v>
      </c>
      <c r="M369" s="1155">
        <v>0.48849999999999999</v>
      </c>
    </row>
    <row r="370" spans="1:13">
      <c r="A370" s="1152">
        <v>6.2</v>
      </c>
      <c r="B370" s="1155">
        <v>0.66579999999999995</v>
      </c>
      <c r="C370" s="1155">
        <v>0.66579999999999995</v>
      </c>
      <c r="D370" s="1155">
        <v>0.63439999999999996</v>
      </c>
      <c r="E370" s="1155">
        <v>0.63439999999999996</v>
      </c>
      <c r="F370" s="1155">
        <v>0.63439999999999996</v>
      </c>
      <c r="G370" s="1155">
        <v>0.56289999999999996</v>
      </c>
      <c r="H370" s="1155">
        <v>0.56289999999999996</v>
      </c>
      <c r="I370" s="1155">
        <v>0.48680000000000001</v>
      </c>
      <c r="J370" s="1155">
        <v>0.48680000000000001</v>
      </c>
      <c r="K370" s="1155">
        <v>0.48680000000000001</v>
      </c>
      <c r="L370" s="1155">
        <v>0.48680000000000001</v>
      </c>
      <c r="M370" s="1155">
        <v>0.48680000000000001</v>
      </c>
    </row>
    <row r="371" spans="1:13">
      <c r="A371" s="1152">
        <v>6.3</v>
      </c>
      <c r="B371" s="1155">
        <v>0.66469999999999996</v>
      </c>
      <c r="C371" s="1155">
        <v>0.66469999999999996</v>
      </c>
      <c r="D371" s="1155">
        <v>0.63290000000000002</v>
      </c>
      <c r="E371" s="1155">
        <v>0.63290000000000002</v>
      </c>
      <c r="F371" s="1155">
        <v>0.63290000000000002</v>
      </c>
      <c r="G371" s="1155">
        <v>0.56130000000000002</v>
      </c>
      <c r="H371" s="1155">
        <v>0.56130000000000002</v>
      </c>
      <c r="I371" s="1155">
        <v>0.48509999999999998</v>
      </c>
      <c r="J371" s="1155">
        <v>0.48509999999999998</v>
      </c>
      <c r="K371" s="1155">
        <v>0.48509999999999998</v>
      </c>
      <c r="L371" s="1155">
        <v>0.48509999999999998</v>
      </c>
      <c r="M371" s="1155">
        <v>0.48509999999999998</v>
      </c>
    </row>
    <row r="372" spans="1:13">
      <c r="A372" s="1152">
        <v>6.4</v>
      </c>
      <c r="B372" s="1155">
        <v>0.66359999999999997</v>
      </c>
      <c r="C372" s="1155">
        <v>0.66359999999999997</v>
      </c>
      <c r="D372" s="1155">
        <v>0.63139999999999996</v>
      </c>
      <c r="E372" s="1155">
        <v>0.63139999999999996</v>
      </c>
      <c r="F372" s="1155">
        <v>0.63139999999999996</v>
      </c>
      <c r="G372" s="1155">
        <v>0.55979999999999996</v>
      </c>
      <c r="H372" s="1155">
        <v>0.55979999999999996</v>
      </c>
      <c r="I372" s="1155">
        <v>0.48349999999999999</v>
      </c>
      <c r="J372" s="1155">
        <v>0.48349999999999999</v>
      </c>
      <c r="K372" s="1155">
        <v>0.48349999999999999</v>
      </c>
      <c r="L372" s="1155">
        <v>0.48349999999999999</v>
      </c>
      <c r="M372" s="1155">
        <v>0.48349999999999999</v>
      </c>
    </row>
    <row r="373" spans="1:13">
      <c r="A373" s="1152">
        <v>6.5</v>
      </c>
      <c r="B373" s="1155">
        <v>0.66249999999999998</v>
      </c>
      <c r="C373" s="1155">
        <v>0.66249999999999998</v>
      </c>
      <c r="D373" s="1155">
        <v>0.63</v>
      </c>
      <c r="E373" s="1155">
        <v>0.63</v>
      </c>
      <c r="F373" s="1155">
        <v>0.63</v>
      </c>
      <c r="G373" s="1155">
        <v>0.55820000000000003</v>
      </c>
      <c r="H373" s="1155">
        <v>0.55820000000000003</v>
      </c>
      <c r="I373" s="1155">
        <v>0.4819</v>
      </c>
      <c r="J373" s="1155">
        <v>0.4819</v>
      </c>
      <c r="K373" s="1155">
        <v>0.4819</v>
      </c>
      <c r="L373" s="1155">
        <v>0.4819</v>
      </c>
      <c r="M373" s="1155">
        <v>0.4819</v>
      </c>
    </row>
    <row r="374" spans="1:13">
      <c r="A374" s="1152">
        <v>6.6</v>
      </c>
      <c r="B374" s="1155">
        <v>0.66149999999999998</v>
      </c>
      <c r="C374" s="1155">
        <v>0.66149999999999998</v>
      </c>
      <c r="D374" s="1155">
        <v>0.62860000000000005</v>
      </c>
      <c r="E374" s="1155">
        <v>0.62860000000000005</v>
      </c>
      <c r="F374" s="1155">
        <v>0.62860000000000005</v>
      </c>
      <c r="G374" s="1155">
        <v>0.55669999999999997</v>
      </c>
      <c r="H374" s="1155">
        <v>0.55669999999999997</v>
      </c>
      <c r="I374" s="1155">
        <v>0.4803</v>
      </c>
      <c r="J374" s="1155">
        <v>0.4803</v>
      </c>
      <c r="K374" s="1155">
        <v>0.4803</v>
      </c>
      <c r="L374" s="1155">
        <v>0.4803</v>
      </c>
      <c r="M374" s="1155">
        <v>0.4803</v>
      </c>
    </row>
    <row r="375" spans="1:13">
      <c r="A375" s="1152">
        <v>6.7</v>
      </c>
      <c r="B375" s="1155">
        <v>0.66049999999999998</v>
      </c>
      <c r="C375" s="1155">
        <v>0.66049999999999998</v>
      </c>
      <c r="D375" s="1155">
        <v>0.62719999999999998</v>
      </c>
      <c r="E375" s="1155">
        <v>0.62719999999999998</v>
      </c>
      <c r="F375" s="1155">
        <v>0.62719999999999998</v>
      </c>
      <c r="G375" s="1155">
        <v>0.55520000000000003</v>
      </c>
      <c r="H375" s="1155">
        <v>0.55520000000000003</v>
      </c>
      <c r="I375" s="1155">
        <v>0.47870000000000001</v>
      </c>
      <c r="J375" s="1155">
        <v>0.47870000000000001</v>
      </c>
      <c r="K375" s="1155">
        <v>0.47870000000000001</v>
      </c>
      <c r="L375" s="1155">
        <v>0.47870000000000001</v>
      </c>
      <c r="M375" s="1155">
        <v>0.47870000000000001</v>
      </c>
    </row>
    <row r="376" spans="1:13">
      <c r="A376" s="1152">
        <v>6.8</v>
      </c>
      <c r="B376" s="1155">
        <v>0.65949999999999998</v>
      </c>
      <c r="C376" s="1155">
        <v>0.65949999999999998</v>
      </c>
      <c r="D376" s="1155">
        <v>0.62580000000000002</v>
      </c>
      <c r="E376" s="1155">
        <v>0.62580000000000002</v>
      </c>
      <c r="F376" s="1155">
        <v>0.62580000000000002</v>
      </c>
      <c r="G376" s="1155">
        <v>0.55359999999999998</v>
      </c>
      <c r="H376" s="1155">
        <v>0.55359999999999998</v>
      </c>
      <c r="I376" s="1155">
        <v>0.47710000000000002</v>
      </c>
      <c r="J376" s="1155">
        <v>0.47710000000000002</v>
      </c>
      <c r="K376" s="1155">
        <v>0.47710000000000002</v>
      </c>
      <c r="L376" s="1155">
        <v>0.47710000000000002</v>
      </c>
      <c r="M376" s="1155">
        <v>0.47710000000000002</v>
      </c>
    </row>
    <row r="377" spans="1:13">
      <c r="A377" s="1152">
        <v>6.9</v>
      </c>
      <c r="B377" s="1155">
        <v>0.65849999999999997</v>
      </c>
      <c r="C377" s="1155">
        <v>0.65849999999999997</v>
      </c>
      <c r="D377" s="1155">
        <v>0.62439999999999996</v>
      </c>
      <c r="E377" s="1155">
        <v>0.62439999999999996</v>
      </c>
      <c r="F377" s="1155">
        <v>0.62439999999999996</v>
      </c>
      <c r="G377" s="1155">
        <v>0.55220000000000002</v>
      </c>
      <c r="H377" s="1155">
        <v>0.55220000000000002</v>
      </c>
      <c r="I377" s="1155">
        <v>0.47549999999999998</v>
      </c>
      <c r="J377" s="1155">
        <v>0.47549999999999998</v>
      </c>
      <c r="K377" s="1155">
        <v>0.47549999999999998</v>
      </c>
      <c r="L377" s="1155">
        <v>0.47549999999999998</v>
      </c>
      <c r="M377" s="1155">
        <v>0.47549999999999998</v>
      </c>
    </row>
    <row r="378" spans="1:13">
      <c r="A378" s="1152">
        <v>7</v>
      </c>
      <c r="B378" s="1155">
        <v>0.65749999999999997</v>
      </c>
      <c r="C378" s="1155">
        <v>0.65749999999999997</v>
      </c>
      <c r="D378" s="1155">
        <v>0.623</v>
      </c>
      <c r="E378" s="1155">
        <v>0.623</v>
      </c>
      <c r="F378" s="1155">
        <v>0.623</v>
      </c>
      <c r="G378" s="1155">
        <v>0.55069999999999997</v>
      </c>
      <c r="H378" s="1155">
        <v>0.55069999999999997</v>
      </c>
      <c r="I378" s="1155">
        <v>0.47389999999999999</v>
      </c>
      <c r="J378" s="1155">
        <v>0.47389999999999999</v>
      </c>
      <c r="K378" s="1155">
        <v>0.47389999999999999</v>
      </c>
      <c r="L378" s="1155">
        <v>0.47389999999999999</v>
      </c>
      <c r="M378" s="1155">
        <v>0.47389999999999999</v>
      </c>
    </row>
    <row r="379" spans="1:13">
      <c r="A379" s="1152">
        <v>7.1</v>
      </c>
      <c r="B379" s="1155">
        <v>0.65649999999999997</v>
      </c>
      <c r="C379" s="1155">
        <v>0.65649999999999997</v>
      </c>
      <c r="D379" s="1155">
        <v>0.62160000000000004</v>
      </c>
      <c r="E379" s="1155">
        <v>0.62160000000000004</v>
      </c>
      <c r="F379" s="1155">
        <v>0.62160000000000004</v>
      </c>
      <c r="G379" s="1155">
        <v>0.54930000000000001</v>
      </c>
      <c r="H379" s="1155">
        <v>0.54930000000000001</v>
      </c>
      <c r="I379" s="1155">
        <v>0.47239999999999999</v>
      </c>
      <c r="J379" s="1155">
        <v>0.47239999999999999</v>
      </c>
      <c r="K379" s="1155">
        <v>0.47239999999999999</v>
      </c>
      <c r="L379" s="1155">
        <v>0.47239999999999999</v>
      </c>
      <c r="M379" s="1155">
        <v>0.47239999999999999</v>
      </c>
    </row>
    <row r="380" spans="1:13">
      <c r="A380" s="1152">
        <v>7.2</v>
      </c>
      <c r="B380" s="1155">
        <v>0.65549999999999997</v>
      </c>
      <c r="C380" s="1155">
        <v>0.65549999999999997</v>
      </c>
      <c r="D380" s="1155">
        <v>0.62019999999999997</v>
      </c>
      <c r="E380" s="1155">
        <v>0.62019999999999997</v>
      </c>
      <c r="F380" s="1155">
        <v>0.62019999999999997</v>
      </c>
      <c r="G380" s="1155">
        <v>0.54779999999999995</v>
      </c>
      <c r="H380" s="1155">
        <v>0.54779999999999995</v>
      </c>
      <c r="I380" s="1155">
        <v>0.47089999999999999</v>
      </c>
      <c r="J380" s="1155">
        <v>0.47089999999999999</v>
      </c>
      <c r="K380" s="1155">
        <v>0.47089999999999999</v>
      </c>
      <c r="L380" s="1155">
        <v>0.47089999999999999</v>
      </c>
      <c r="M380" s="1155">
        <v>0.47089999999999999</v>
      </c>
    </row>
    <row r="381" spans="1:13">
      <c r="A381" s="1152">
        <v>7.3</v>
      </c>
      <c r="B381" s="1155">
        <v>0.65449999999999997</v>
      </c>
      <c r="C381" s="1155">
        <v>0.65449999999999997</v>
      </c>
      <c r="D381" s="1155">
        <v>0.61880000000000002</v>
      </c>
      <c r="E381" s="1155">
        <v>0.61880000000000002</v>
      </c>
      <c r="F381" s="1155">
        <v>0.61880000000000002</v>
      </c>
      <c r="G381" s="1155">
        <v>0.5464</v>
      </c>
      <c r="H381" s="1155">
        <v>0.5464</v>
      </c>
      <c r="I381" s="1155">
        <v>0.46939999999999998</v>
      </c>
      <c r="J381" s="1155">
        <v>0.46939999999999998</v>
      </c>
      <c r="K381" s="1155">
        <v>0.46939999999999998</v>
      </c>
      <c r="L381" s="1155">
        <v>0.46939999999999998</v>
      </c>
      <c r="M381" s="1155">
        <v>0.46939999999999998</v>
      </c>
    </row>
    <row r="382" spans="1:13">
      <c r="A382" s="1152">
        <v>7.4</v>
      </c>
      <c r="B382" s="1155">
        <v>0.65349999999999997</v>
      </c>
      <c r="C382" s="1155">
        <v>0.65349999999999997</v>
      </c>
      <c r="D382" s="1155">
        <v>0.61750000000000005</v>
      </c>
      <c r="E382" s="1155">
        <v>0.61750000000000005</v>
      </c>
      <c r="F382" s="1155">
        <v>0.61750000000000005</v>
      </c>
      <c r="G382" s="1155">
        <v>0.54490000000000005</v>
      </c>
      <c r="H382" s="1155">
        <v>0.54490000000000005</v>
      </c>
      <c r="I382" s="1155">
        <v>0.46779999999999999</v>
      </c>
      <c r="J382" s="1155">
        <v>0.46779999999999999</v>
      </c>
      <c r="K382" s="1155">
        <v>0.46779999999999999</v>
      </c>
      <c r="L382" s="1155">
        <v>0.46779999999999999</v>
      </c>
      <c r="M382" s="1155">
        <v>0.46779999999999999</v>
      </c>
    </row>
    <row r="383" spans="1:13">
      <c r="A383" s="1152">
        <v>7.5</v>
      </c>
      <c r="B383" s="1155">
        <v>0.65249999999999997</v>
      </c>
      <c r="C383" s="1155">
        <v>0.65249999999999997</v>
      </c>
      <c r="D383" s="1155">
        <v>0.61619999999999997</v>
      </c>
      <c r="E383" s="1155">
        <v>0.61619999999999997</v>
      </c>
      <c r="F383" s="1155">
        <v>0.61619999999999997</v>
      </c>
      <c r="G383" s="1155">
        <v>0.54349999999999998</v>
      </c>
      <c r="H383" s="1155">
        <v>0.54349999999999998</v>
      </c>
      <c r="I383" s="1155">
        <v>0.46629999999999999</v>
      </c>
      <c r="J383" s="1155">
        <v>0.46629999999999999</v>
      </c>
      <c r="K383" s="1155">
        <v>0.46629999999999999</v>
      </c>
      <c r="L383" s="1155">
        <v>0.46629999999999999</v>
      </c>
      <c r="M383" s="1155">
        <v>0.46629999999999999</v>
      </c>
    </row>
    <row r="384" spans="1:13">
      <c r="A384" s="1152">
        <v>7.6</v>
      </c>
      <c r="B384" s="1155">
        <v>0.65149999999999997</v>
      </c>
      <c r="C384" s="1155">
        <v>0.65149999999999997</v>
      </c>
      <c r="D384" s="1155">
        <v>0.6149</v>
      </c>
      <c r="E384" s="1155">
        <v>0.6149</v>
      </c>
      <c r="F384" s="1155">
        <v>0.6149</v>
      </c>
      <c r="G384" s="1155">
        <v>0.54200000000000004</v>
      </c>
      <c r="H384" s="1155">
        <v>0.54200000000000004</v>
      </c>
      <c r="I384" s="1155">
        <v>0.46479999999999999</v>
      </c>
      <c r="J384" s="1155">
        <v>0.46479999999999999</v>
      </c>
      <c r="K384" s="1155">
        <v>0.46479999999999999</v>
      </c>
      <c r="L384" s="1155">
        <v>0.46479999999999999</v>
      </c>
      <c r="M384" s="1155">
        <v>0.46479999999999999</v>
      </c>
    </row>
    <row r="385" spans="1:13">
      <c r="A385" s="1152">
        <v>7.7</v>
      </c>
      <c r="B385" s="1155">
        <v>0.65049999999999997</v>
      </c>
      <c r="C385" s="1155">
        <v>0.65049999999999997</v>
      </c>
      <c r="D385" s="1155">
        <v>0.61360000000000003</v>
      </c>
      <c r="E385" s="1155">
        <v>0.61360000000000003</v>
      </c>
      <c r="F385" s="1155">
        <v>0.61360000000000003</v>
      </c>
      <c r="G385" s="1155">
        <v>0.54059999999999997</v>
      </c>
      <c r="H385" s="1155">
        <v>0.54059999999999997</v>
      </c>
      <c r="I385" s="1155">
        <v>0.46329999999999999</v>
      </c>
      <c r="J385" s="1155">
        <v>0.46329999999999999</v>
      </c>
      <c r="K385" s="1155">
        <v>0.46329999999999999</v>
      </c>
      <c r="L385" s="1155">
        <v>0.46329999999999999</v>
      </c>
      <c r="M385" s="1155">
        <v>0.46329999999999999</v>
      </c>
    </row>
    <row r="386" spans="1:13">
      <c r="A386" s="1152">
        <v>7.8</v>
      </c>
      <c r="B386" s="1155">
        <v>0.64949999999999997</v>
      </c>
      <c r="C386" s="1155">
        <v>0.64949999999999997</v>
      </c>
      <c r="D386" s="1155">
        <v>0.61229999999999996</v>
      </c>
      <c r="E386" s="1155">
        <v>0.61229999999999996</v>
      </c>
      <c r="F386" s="1155">
        <v>0.61229999999999996</v>
      </c>
      <c r="G386" s="1155">
        <v>0.53910000000000002</v>
      </c>
      <c r="H386" s="1155">
        <v>0.53910000000000002</v>
      </c>
      <c r="I386" s="1155">
        <v>0.4617</v>
      </c>
      <c r="J386" s="1155">
        <v>0.4617</v>
      </c>
      <c r="K386" s="1155">
        <v>0.4617</v>
      </c>
      <c r="L386" s="1155">
        <v>0.4617</v>
      </c>
      <c r="M386" s="1155">
        <v>0.4617</v>
      </c>
    </row>
    <row r="387" spans="1:13">
      <c r="A387" s="1152">
        <v>7.9</v>
      </c>
      <c r="B387" s="1155">
        <v>0.64849999999999997</v>
      </c>
      <c r="C387" s="1155">
        <v>0.64849999999999997</v>
      </c>
      <c r="D387" s="1155">
        <v>0.61099999999999999</v>
      </c>
      <c r="E387" s="1155">
        <v>0.61099999999999999</v>
      </c>
      <c r="F387" s="1155">
        <v>0.61099999999999999</v>
      </c>
      <c r="G387" s="1155">
        <v>0.53769999999999996</v>
      </c>
      <c r="H387" s="1155">
        <v>0.53769999999999996</v>
      </c>
      <c r="I387" s="1155">
        <v>0.4602</v>
      </c>
      <c r="J387" s="1155">
        <v>0.4602</v>
      </c>
      <c r="K387" s="1155">
        <v>0.4602</v>
      </c>
      <c r="L387" s="1155">
        <v>0.4602</v>
      </c>
      <c r="M387" s="1155">
        <v>0.4602</v>
      </c>
    </row>
    <row r="388" spans="1:13">
      <c r="A388" s="1152">
        <v>8</v>
      </c>
      <c r="B388" s="1155">
        <v>0.64749999999999996</v>
      </c>
      <c r="C388" s="1155">
        <v>0.64749999999999996</v>
      </c>
      <c r="D388" s="1155">
        <v>0.60970000000000002</v>
      </c>
      <c r="E388" s="1155">
        <v>0.60970000000000002</v>
      </c>
      <c r="F388" s="1155">
        <v>0.60970000000000002</v>
      </c>
      <c r="G388" s="1155">
        <v>0.53620000000000001</v>
      </c>
      <c r="H388" s="1155">
        <v>0.53620000000000001</v>
      </c>
      <c r="I388" s="1155">
        <v>0.4587</v>
      </c>
      <c r="J388" s="1155">
        <v>0.4587</v>
      </c>
      <c r="K388" s="1155">
        <v>0.4587</v>
      </c>
      <c r="L388" s="1155">
        <v>0.4587</v>
      </c>
      <c r="M388" s="1155">
        <v>0.4587</v>
      </c>
    </row>
    <row r="389" spans="1:13">
      <c r="A389" s="1152">
        <v>8.1</v>
      </c>
      <c r="B389" s="1155">
        <v>0.64649999999999996</v>
      </c>
      <c r="C389" s="1155">
        <v>0.64649999999999996</v>
      </c>
      <c r="D389" s="1155">
        <v>0.60840000000000005</v>
      </c>
      <c r="E389" s="1155">
        <v>0.60840000000000005</v>
      </c>
      <c r="F389" s="1155">
        <v>0.60840000000000005</v>
      </c>
      <c r="G389" s="1155">
        <v>0.53480000000000005</v>
      </c>
      <c r="H389" s="1155">
        <v>0.53480000000000005</v>
      </c>
      <c r="I389" s="1155">
        <v>0.4572</v>
      </c>
      <c r="J389" s="1155">
        <v>0.4572</v>
      </c>
      <c r="K389" s="1155">
        <v>0.4572</v>
      </c>
      <c r="L389" s="1155">
        <v>0.4572</v>
      </c>
      <c r="M389" s="1155">
        <v>0.4572</v>
      </c>
    </row>
    <row r="390" spans="1:13">
      <c r="A390" s="1152">
        <v>8.1999999999999993</v>
      </c>
      <c r="B390" s="1155">
        <v>0.64549999999999996</v>
      </c>
      <c r="C390" s="1155">
        <v>0.64549999999999996</v>
      </c>
      <c r="D390" s="1155">
        <v>0.60709999999999997</v>
      </c>
      <c r="E390" s="1155">
        <v>0.60709999999999997</v>
      </c>
      <c r="F390" s="1155">
        <v>0.60709999999999997</v>
      </c>
      <c r="G390" s="1155">
        <v>0.5333</v>
      </c>
      <c r="H390" s="1155">
        <v>0.5333</v>
      </c>
      <c r="I390" s="1155">
        <v>0.45569999999999999</v>
      </c>
      <c r="J390" s="1155">
        <v>0.45569999999999999</v>
      </c>
      <c r="K390" s="1155">
        <v>0.45569999999999999</v>
      </c>
      <c r="L390" s="1155">
        <v>0.45569999999999999</v>
      </c>
      <c r="M390" s="1155">
        <v>0.45569999999999999</v>
      </c>
    </row>
    <row r="391" spans="1:13">
      <c r="A391" s="1152">
        <v>8.3000000000000007</v>
      </c>
      <c r="B391" s="1155">
        <v>0.64449999999999996</v>
      </c>
      <c r="C391" s="1155">
        <v>0.64449999999999996</v>
      </c>
      <c r="D391" s="1155">
        <v>0.60580000000000001</v>
      </c>
      <c r="E391" s="1155">
        <v>0.60580000000000001</v>
      </c>
      <c r="F391" s="1155">
        <v>0.60580000000000001</v>
      </c>
      <c r="G391" s="1155">
        <v>0.53190000000000004</v>
      </c>
      <c r="H391" s="1155">
        <v>0.53190000000000004</v>
      </c>
      <c r="I391" s="1155">
        <v>0.45429999999999998</v>
      </c>
      <c r="J391" s="1155">
        <v>0.45429999999999998</v>
      </c>
      <c r="K391" s="1155">
        <v>0.45429999999999998</v>
      </c>
      <c r="L391" s="1155">
        <v>0.45429999999999998</v>
      </c>
      <c r="M391" s="1155">
        <v>0.45429999999999998</v>
      </c>
    </row>
    <row r="392" spans="1:13">
      <c r="A392" s="1152">
        <v>8.4</v>
      </c>
      <c r="B392" s="1155">
        <v>0.64349999999999996</v>
      </c>
      <c r="C392" s="1155">
        <v>0.64349999999999996</v>
      </c>
      <c r="D392" s="1155">
        <v>0.60450000000000004</v>
      </c>
      <c r="E392" s="1155">
        <v>0.60450000000000004</v>
      </c>
      <c r="F392" s="1155">
        <v>0.60450000000000004</v>
      </c>
      <c r="G392" s="1155">
        <v>0.53039999999999998</v>
      </c>
      <c r="H392" s="1155">
        <v>0.53039999999999998</v>
      </c>
      <c r="I392" s="1155">
        <v>0.45290000000000002</v>
      </c>
      <c r="J392" s="1155">
        <v>0.45290000000000002</v>
      </c>
      <c r="K392" s="1155">
        <v>0.45290000000000002</v>
      </c>
      <c r="L392" s="1155">
        <v>0.45290000000000002</v>
      </c>
      <c r="M392" s="1155">
        <v>0.45290000000000002</v>
      </c>
    </row>
    <row r="393" spans="1:13">
      <c r="A393" s="1152">
        <v>8.5</v>
      </c>
      <c r="B393" s="1155">
        <v>0.64249999999999996</v>
      </c>
      <c r="C393" s="1155">
        <v>0.64249999999999996</v>
      </c>
      <c r="D393" s="1155">
        <v>0.60319999999999996</v>
      </c>
      <c r="E393" s="1155">
        <v>0.60319999999999996</v>
      </c>
      <c r="F393" s="1155">
        <v>0.60319999999999996</v>
      </c>
      <c r="G393" s="1155">
        <v>0.52900000000000003</v>
      </c>
      <c r="H393" s="1155">
        <v>0.52900000000000003</v>
      </c>
      <c r="I393" s="1155">
        <v>0.45140000000000002</v>
      </c>
      <c r="J393" s="1155">
        <v>0.45140000000000002</v>
      </c>
      <c r="K393" s="1155">
        <v>0.45140000000000002</v>
      </c>
      <c r="L393" s="1155">
        <v>0.45140000000000002</v>
      </c>
      <c r="M393" s="1155">
        <v>0.45140000000000002</v>
      </c>
    </row>
    <row r="394" spans="1:13">
      <c r="A394" s="1152">
        <v>8.6</v>
      </c>
      <c r="B394" s="1155">
        <v>0.64149999999999996</v>
      </c>
      <c r="C394" s="1155">
        <v>0.64149999999999996</v>
      </c>
      <c r="D394" s="1155">
        <v>0.60189999999999999</v>
      </c>
      <c r="E394" s="1155">
        <v>0.60189999999999999</v>
      </c>
      <c r="F394" s="1155">
        <v>0.60189999999999999</v>
      </c>
      <c r="G394" s="1155">
        <v>0.52749999999999997</v>
      </c>
      <c r="H394" s="1155">
        <v>0.52749999999999997</v>
      </c>
      <c r="I394" s="1155">
        <v>0.45</v>
      </c>
      <c r="J394" s="1155">
        <v>0.45</v>
      </c>
      <c r="K394" s="1155">
        <v>0.45</v>
      </c>
      <c r="L394" s="1155">
        <v>0.45</v>
      </c>
      <c r="M394" s="1155">
        <v>0.45</v>
      </c>
    </row>
    <row r="395" spans="1:13">
      <c r="A395" s="1152">
        <v>8.6999999999999993</v>
      </c>
      <c r="B395" s="1155">
        <v>0.64049999999999996</v>
      </c>
      <c r="C395" s="1155">
        <v>0.64049999999999996</v>
      </c>
      <c r="D395" s="1155">
        <v>0.60060000000000002</v>
      </c>
      <c r="E395" s="1155">
        <v>0.60060000000000002</v>
      </c>
      <c r="F395" s="1155">
        <v>0.60060000000000002</v>
      </c>
      <c r="G395" s="1155">
        <v>0.52610000000000001</v>
      </c>
      <c r="H395" s="1155">
        <v>0.52610000000000001</v>
      </c>
      <c r="I395" s="1155">
        <v>0.44850000000000001</v>
      </c>
      <c r="J395" s="1155">
        <v>0.44850000000000001</v>
      </c>
      <c r="K395" s="1155">
        <v>0.44850000000000001</v>
      </c>
      <c r="L395" s="1155">
        <v>0.44850000000000001</v>
      </c>
      <c r="M395" s="1155">
        <v>0.44850000000000001</v>
      </c>
    </row>
    <row r="396" spans="1:13">
      <c r="A396" s="1152">
        <v>8.8000000000000007</v>
      </c>
      <c r="B396" s="1155">
        <v>0.63949999999999996</v>
      </c>
      <c r="C396" s="1155">
        <v>0.63949999999999996</v>
      </c>
      <c r="D396" s="1155">
        <v>0.59930000000000005</v>
      </c>
      <c r="E396" s="1155">
        <v>0.59930000000000005</v>
      </c>
      <c r="F396" s="1155">
        <v>0.59930000000000005</v>
      </c>
      <c r="G396" s="1155">
        <v>0.52459999999999996</v>
      </c>
      <c r="H396" s="1155">
        <v>0.52459999999999996</v>
      </c>
      <c r="I396" s="1155">
        <v>0.4471</v>
      </c>
      <c r="J396" s="1155">
        <v>0.4471</v>
      </c>
      <c r="K396" s="1155">
        <v>0.4471</v>
      </c>
      <c r="L396" s="1155">
        <v>0.4471</v>
      </c>
      <c r="M396" s="1155">
        <v>0.4471</v>
      </c>
    </row>
    <row r="397" spans="1:13">
      <c r="A397" s="1152">
        <v>8.9</v>
      </c>
      <c r="B397" s="1155">
        <v>0.63849999999999996</v>
      </c>
      <c r="C397" s="1155">
        <v>0.63849999999999996</v>
      </c>
      <c r="D397" s="1155">
        <v>0.59799999999999998</v>
      </c>
      <c r="E397" s="1155">
        <v>0.59799999999999998</v>
      </c>
      <c r="F397" s="1155">
        <v>0.59799999999999998</v>
      </c>
      <c r="G397" s="1155">
        <v>0.5232</v>
      </c>
      <c r="H397" s="1155">
        <v>0.5232</v>
      </c>
      <c r="I397" s="1155">
        <v>0.4456</v>
      </c>
      <c r="J397" s="1155">
        <v>0.4456</v>
      </c>
      <c r="K397" s="1155">
        <v>0.4456</v>
      </c>
      <c r="L397" s="1155">
        <v>0.4456</v>
      </c>
      <c r="M397" s="1155">
        <v>0.4456</v>
      </c>
    </row>
    <row r="398" spans="1:13">
      <c r="A398" s="1156">
        <v>9</v>
      </c>
      <c r="B398" s="1155">
        <v>0.63749999999999996</v>
      </c>
      <c r="C398" s="1155">
        <v>0.63749999999999996</v>
      </c>
      <c r="D398" s="1155">
        <v>0.59670000000000001</v>
      </c>
      <c r="E398" s="1155">
        <v>0.59670000000000001</v>
      </c>
      <c r="F398" s="1155">
        <v>0.59670000000000001</v>
      </c>
      <c r="G398" s="1155">
        <v>0.52170000000000005</v>
      </c>
      <c r="H398" s="1155">
        <v>0.52170000000000005</v>
      </c>
      <c r="I398" s="1155">
        <v>0.44429999999999997</v>
      </c>
      <c r="J398" s="1155">
        <v>0.44429999999999997</v>
      </c>
      <c r="K398" s="1155">
        <v>0.44429999999999997</v>
      </c>
      <c r="L398" s="1155">
        <v>0.44429999999999997</v>
      </c>
      <c r="M398" s="1155">
        <v>0.44429999999999997</v>
      </c>
    </row>
    <row r="399" spans="1:13">
      <c r="A399" s="1156">
        <v>9.1</v>
      </c>
      <c r="B399" s="1155">
        <v>0.63649999999999995</v>
      </c>
      <c r="C399" s="1155">
        <v>0.63649999999999995</v>
      </c>
      <c r="D399" s="1155">
        <v>0.59540000000000004</v>
      </c>
      <c r="E399" s="1155">
        <v>0.59540000000000004</v>
      </c>
      <c r="F399" s="1155">
        <v>0.59540000000000004</v>
      </c>
      <c r="G399" s="1155">
        <v>0.52029999999999998</v>
      </c>
      <c r="H399" s="1155">
        <v>0.52029999999999998</v>
      </c>
      <c r="I399" s="1155">
        <v>0.44290000000000002</v>
      </c>
      <c r="J399" s="1155">
        <v>0.44290000000000002</v>
      </c>
      <c r="K399" s="1155">
        <v>0.44290000000000002</v>
      </c>
      <c r="L399" s="1155">
        <v>0.44290000000000002</v>
      </c>
      <c r="M399" s="1155">
        <v>0.44290000000000002</v>
      </c>
    </row>
    <row r="400" spans="1:13">
      <c r="A400" s="1156">
        <v>9.1999999999999993</v>
      </c>
      <c r="B400" s="1155">
        <v>0.63549999999999995</v>
      </c>
      <c r="C400" s="1155">
        <v>0.63549999999999995</v>
      </c>
      <c r="D400" s="1155">
        <v>0.59409999999999996</v>
      </c>
      <c r="E400" s="1155">
        <v>0.59409999999999996</v>
      </c>
      <c r="F400" s="1155">
        <v>0.59409999999999996</v>
      </c>
      <c r="G400" s="1155">
        <v>0.51880000000000004</v>
      </c>
      <c r="H400" s="1155">
        <v>0.51880000000000004</v>
      </c>
      <c r="I400" s="1155">
        <v>0.44159999999999999</v>
      </c>
      <c r="J400" s="1155">
        <v>0.44159999999999999</v>
      </c>
      <c r="K400" s="1155">
        <v>0.44159999999999999</v>
      </c>
      <c r="L400" s="1155">
        <v>0.44159999999999999</v>
      </c>
      <c r="M400" s="1155">
        <v>0.44159999999999999</v>
      </c>
    </row>
    <row r="401" spans="1:13">
      <c r="A401" s="1156">
        <v>9.3000000000000007</v>
      </c>
      <c r="B401" s="1155">
        <v>0.63449999999999995</v>
      </c>
      <c r="C401" s="1155">
        <v>0.63449999999999995</v>
      </c>
      <c r="D401" s="1155">
        <v>0.59279999999999999</v>
      </c>
      <c r="E401" s="1155">
        <v>0.59279999999999999</v>
      </c>
      <c r="F401" s="1155">
        <v>0.59279999999999999</v>
      </c>
      <c r="G401" s="1155">
        <v>0.51739999999999997</v>
      </c>
      <c r="H401" s="1155">
        <v>0.51739999999999997</v>
      </c>
      <c r="I401" s="1155">
        <v>0.44019999999999998</v>
      </c>
      <c r="J401" s="1155">
        <v>0.44019999999999998</v>
      </c>
      <c r="K401" s="1155">
        <v>0.44019999999999998</v>
      </c>
      <c r="L401" s="1155">
        <v>0.44019999999999998</v>
      </c>
      <c r="M401" s="1155">
        <v>0.44019999999999998</v>
      </c>
    </row>
    <row r="402" spans="1:13">
      <c r="A402" s="1156">
        <v>9.4</v>
      </c>
      <c r="B402" s="1155">
        <v>0.63349999999999995</v>
      </c>
      <c r="C402" s="1155">
        <v>0.63349999999999995</v>
      </c>
      <c r="D402" s="1155">
        <v>0.59150000000000003</v>
      </c>
      <c r="E402" s="1155">
        <v>0.59150000000000003</v>
      </c>
      <c r="F402" s="1155">
        <v>0.59150000000000003</v>
      </c>
      <c r="G402" s="1155">
        <v>0.51600000000000001</v>
      </c>
      <c r="H402" s="1155">
        <v>0.51600000000000001</v>
      </c>
      <c r="I402" s="1155">
        <v>0.43880000000000002</v>
      </c>
      <c r="J402" s="1155">
        <v>0.43880000000000002</v>
      </c>
      <c r="K402" s="1155">
        <v>0.43880000000000002</v>
      </c>
      <c r="L402" s="1155">
        <v>0.43880000000000002</v>
      </c>
      <c r="M402" s="1155">
        <v>0.43880000000000002</v>
      </c>
    </row>
    <row r="403" spans="1:13">
      <c r="A403" s="1156">
        <v>9.5</v>
      </c>
      <c r="B403" s="1155">
        <v>0.63249999999999995</v>
      </c>
      <c r="C403" s="1155">
        <v>0.63249999999999995</v>
      </c>
      <c r="D403" s="1155">
        <v>0.59030000000000005</v>
      </c>
      <c r="E403" s="1155">
        <v>0.59030000000000005</v>
      </c>
      <c r="F403" s="1155">
        <v>0.59030000000000005</v>
      </c>
      <c r="G403" s="1155">
        <v>0.51470000000000005</v>
      </c>
      <c r="H403" s="1155">
        <v>0.51470000000000005</v>
      </c>
      <c r="I403" s="1155">
        <v>0.4375</v>
      </c>
      <c r="J403" s="1155">
        <v>0.4375</v>
      </c>
      <c r="K403" s="1155">
        <v>0.4375</v>
      </c>
      <c r="L403" s="1155">
        <v>0.4375</v>
      </c>
      <c r="M403" s="1155">
        <v>0.4375</v>
      </c>
    </row>
    <row r="404" spans="1:13">
      <c r="A404" s="1156">
        <v>9.6</v>
      </c>
      <c r="B404" s="1155">
        <v>0.63149999999999995</v>
      </c>
      <c r="C404" s="1155">
        <v>0.63149999999999995</v>
      </c>
      <c r="D404" s="1155">
        <v>0.58909999999999996</v>
      </c>
      <c r="E404" s="1155">
        <v>0.58909999999999996</v>
      </c>
      <c r="F404" s="1155">
        <v>0.58909999999999996</v>
      </c>
      <c r="G404" s="1155">
        <v>0.51329999999999998</v>
      </c>
      <c r="H404" s="1155">
        <v>0.51329999999999998</v>
      </c>
      <c r="I404" s="1155">
        <v>0.43609999999999999</v>
      </c>
      <c r="J404" s="1155">
        <v>0.43609999999999999</v>
      </c>
      <c r="K404" s="1155">
        <v>0.43609999999999999</v>
      </c>
      <c r="L404" s="1155">
        <v>0.43609999999999999</v>
      </c>
      <c r="M404" s="1155">
        <v>0.43609999999999999</v>
      </c>
    </row>
    <row r="405" spans="1:13">
      <c r="A405" s="1156">
        <v>9.6999999999999993</v>
      </c>
      <c r="B405" s="1155">
        <v>0.63049999999999995</v>
      </c>
      <c r="C405" s="1155">
        <v>0.63049999999999995</v>
      </c>
      <c r="D405" s="1155">
        <v>0.58789999999999998</v>
      </c>
      <c r="E405" s="1155">
        <v>0.58789999999999998</v>
      </c>
      <c r="F405" s="1155">
        <v>0.58789999999999998</v>
      </c>
      <c r="G405" s="1155">
        <v>0.51200000000000001</v>
      </c>
      <c r="H405" s="1155">
        <v>0.51200000000000001</v>
      </c>
      <c r="I405" s="1155">
        <v>0.43480000000000002</v>
      </c>
      <c r="J405" s="1155">
        <v>0.43480000000000002</v>
      </c>
      <c r="K405" s="1155">
        <v>0.43480000000000002</v>
      </c>
      <c r="L405" s="1155">
        <v>0.43480000000000002</v>
      </c>
      <c r="M405" s="1155">
        <v>0.43480000000000002</v>
      </c>
    </row>
    <row r="406" spans="1:13">
      <c r="A406" s="1156">
        <v>9.8000000000000007</v>
      </c>
      <c r="B406" s="1155">
        <v>0.62949999999999995</v>
      </c>
      <c r="C406" s="1155">
        <v>0.62949999999999995</v>
      </c>
      <c r="D406" s="1155">
        <v>0.5867</v>
      </c>
      <c r="E406" s="1155">
        <v>0.5867</v>
      </c>
      <c r="F406" s="1155">
        <v>0.5867</v>
      </c>
      <c r="G406" s="1155">
        <v>0.51060000000000005</v>
      </c>
      <c r="H406" s="1155">
        <v>0.51060000000000005</v>
      </c>
      <c r="I406" s="1155">
        <v>0.43340000000000001</v>
      </c>
      <c r="J406" s="1155">
        <v>0.43340000000000001</v>
      </c>
      <c r="K406" s="1155">
        <v>0.43340000000000001</v>
      </c>
      <c r="L406" s="1155">
        <v>0.43340000000000001</v>
      </c>
      <c r="M406" s="1155">
        <v>0.43340000000000001</v>
      </c>
    </row>
    <row r="407" spans="1:13">
      <c r="A407" s="1156">
        <v>9.9</v>
      </c>
      <c r="B407" s="1155">
        <v>0.62849999999999995</v>
      </c>
      <c r="C407" s="1155">
        <v>0.62849999999999995</v>
      </c>
      <c r="D407" s="1155">
        <v>0.58550000000000002</v>
      </c>
      <c r="E407" s="1155">
        <v>0.58550000000000002</v>
      </c>
      <c r="F407" s="1155">
        <v>0.58550000000000002</v>
      </c>
      <c r="G407" s="1155">
        <v>0.50919999999999999</v>
      </c>
      <c r="H407" s="1155">
        <v>0.50919999999999999</v>
      </c>
      <c r="I407" s="1155">
        <v>0.432</v>
      </c>
      <c r="J407" s="1155">
        <v>0.432</v>
      </c>
      <c r="K407" s="1155">
        <v>0.432</v>
      </c>
      <c r="L407" s="1155">
        <v>0.432</v>
      </c>
      <c r="M407" s="1155">
        <v>0.432</v>
      </c>
    </row>
    <row r="408" spans="1:13">
      <c r="A408" s="1156">
        <v>10</v>
      </c>
      <c r="B408" s="1155">
        <v>0.62749999999999995</v>
      </c>
      <c r="C408" s="1155">
        <v>0.62749999999999995</v>
      </c>
      <c r="D408" s="1155">
        <v>0.58430000000000004</v>
      </c>
      <c r="E408" s="1155">
        <v>0.58430000000000004</v>
      </c>
      <c r="F408" s="1155">
        <v>0.58430000000000004</v>
      </c>
      <c r="G408" s="1155">
        <v>0.50790000000000002</v>
      </c>
      <c r="H408" s="1155">
        <v>0.50790000000000002</v>
      </c>
      <c r="I408" s="1155">
        <v>0.43070000000000003</v>
      </c>
      <c r="J408" s="1155">
        <v>0.43070000000000003</v>
      </c>
      <c r="K408" s="1155">
        <v>0.43070000000000003</v>
      </c>
      <c r="L408" s="1155">
        <v>0.43070000000000003</v>
      </c>
      <c r="M408" s="1155">
        <v>0.43070000000000003</v>
      </c>
    </row>
  </sheetData>
  <sheetProtection password="C66D" sheet="1" objects="1" scenarios="1" formatCells="0" formatColumns="0" formatRows="0"/>
  <phoneticPr fontId="23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118" customWidth="1"/>
    <col min="2" max="2" width="10.21875" style="1112" customWidth="1"/>
  </cols>
  <sheetData>
    <row r="1" spans="1:6">
      <c r="A1" s="3434" t="s">
        <v>2154</v>
      </c>
      <c r="B1" s="3434"/>
    </row>
    <row r="2" spans="1:6">
      <c r="A2" s="1119"/>
      <c r="B2" s="1119"/>
    </row>
    <row r="3" spans="1:6">
      <c r="A3" s="1119"/>
      <c r="B3" s="1119"/>
      <c r="C3" s="1120" t="s">
        <v>380</v>
      </c>
      <c r="D3" s="1120" t="s">
        <v>381</v>
      </c>
      <c r="E3" s="1120" t="s">
        <v>379</v>
      </c>
      <c r="F3" s="1120" t="s">
        <v>164</v>
      </c>
    </row>
    <row r="4" spans="1:6">
      <c r="A4" s="1121" t="s">
        <v>1820</v>
      </c>
      <c r="B4" s="1122" t="s">
        <v>428</v>
      </c>
      <c r="C4" s="1120"/>
      <c r="D4" s="1120"/>
      <c r="E4" s="1120"/>
      <c r="F4" s="1120"/>
    </row>
    <row r="5" spans="1:6">
      <c r="A5" s="1123" t="s">
        <v>242</v>
      </c>
      <c r="B5" s="1124" t="s">
        <v>1808</v>
      </c>
      <c r="C5" s="1125">
        <v>8.8999999999999996E-2</v>
      </c>
      <c r="D5" s="1125">
        <v>7.3999999999999996E-2</v>
      </c>
      <c r="E5" s="1125">
        <v>7.4999999999999997E-2</v>
      </c>
      <c r="F5" s="1126">
        <v>0.1</v>
      </c>
    </row>
    <row r="6" spans="1:6">
      <c r="A6" s="1123" t="s">
        <v>242</v>
      </c>
      <c r="B6" s="1127" t="s">
        <v>1821</v>
      </c>
      <c r="C6" s="1128">
        <v>0.1</v>
      </c>
      <c r="D6" s="1128">
        <v>9.0999999999999998E-2</v>
      </c>
      <c r="E6" s="1128">
        <v>9.0999999999999998E-2</v>
      </c>
      <c r="F6" s="1129">
        <v>0.1</v>
      </c>
    </row>
    <row r="7" spans="1:6">
      <c r="A7" s="1123" t="s">
        <v>242</v>
      </c>
      <c r="B7" s="1130" t="s">
        <v>1834</v>
      </c>
      <c r="C7" s="1128">
        <v>8.5999999999999993E-2</v>
      </c>
      <c r="D7" s="1128">
        <v>9.6000000000000002E-2</v>
      </c>
      <c r="E7" s="1128">
        <v>7.5999999999999998E-2</v>
      </c>
      <c r="F7" s="1129">
        <v>0.1</v>
      </c>
    </row>
    <row r="8" spans="1:6">
      <c r="A8" s="1123" t="s">
        <v>242</v>
      </c>
      <c r="B8" s="1127" t="s">
        <v>1846</v>
      </c>
      <c r="C8" s="1128">
        <v>9.9000000000000005E-2</v>
      </c>
      <c r="D8" s="1128">
        <v>9.8000000000000004E-2</v>
      </c>
      <c r="E8" s="1128">
        <v>9.8000000000000004E-2</v>
      </c>
      <c r="F8" s="1129">
        <v>0.1</v>
      </c>
    </row>
    <row r="9" spans="1:6">
      <c r="A9" s="1131" t="s">
        <v>242</v>
      </c>
      <c r="B9" s="1132" t="s">
        <v>1858</v>
      </c>
      <c r="C9" s="1133">
        <v>0.05</v>
      </c>
      <c r="D9" s="1134"/>
      <c r="E9" s="1134"/>
      <c r="F9" s="1135"/>
    </row>
    <row r="10" spans="1:6">
      <c r="A10" s="1123" t="s">
        <v>255</v>
      </c>
      <c r="B10" s="1124" t="s">
        <v>1809</v>
      </c>
      <c r="C10" s="1125">
        <v>8.8999999999999996E-2</v>
      </c>
      <c r="D10" s="1125">
        <v>7.2999999999999995E-2</v>
      </c>
      <c r="E10" s="1125">
        <v>8.2000000000000003E-2</v>
      </c>
      <c r="F10" s="1126">
        <v>0.1</v>
      </c>
    </row>
    <row r="11" spans="1:6">
      <c r="A11" s="1123" t="s">
        <v>255</v>
      </c>
      <c r="B11" s="1130" t="s">
        <v>1822</v>
      </c>
      <c r="C11" s="1128">
        <v>8.8999999999999996E-2</v>
      </c>
      <c r="D11" s="1128">
        <v>7.2999999999999995E-2</v>
      </c>
      <c r="E11" s="1128">
        <v>8.2000000000000003E-2</v>
      </c>
      <c r="F11" s="1129">
        <v>0.1</v>
      </c>
    </row>
    <row r="12" spans="1:6">
      <c r="A12" s="1123" t="s">
        <v>255</v>
      </c>
      <c r="B12" s="1130" t="s">
        <v>1835</v>
      </c>
      <c r="C12" s="1128">
        <v>6.0999999999999999E-2</v>
      </c>
      <c r="D12" s="1128">
        <v>7.0999999999999994E-2</v>
      </c>
      <c r="E12" s="1128">
        <v>9.6000000000000002E-2</v>
      </c>
      <c r="F12" s="1129">
        <v>0.1</v>
      </c>
    </row>
    <row r="13" spans="1:6">
      <c r="A13" s="1123" t="s">
        <v>255</v>
      </c>
      <c r="B13" s="1130" t="s">
        <v>1847</v>
      </c>
      <c r="C13" s="1128">
        <v>6.9000000000000006E-2</v>
      </c>
      <c r="D13" s="1128">
        <v>6.5000000000000002E-2</v>
      </c>
      <c r="E13" s="1128">
        <v>6.6000000000000003E-2</v>
      </c>
      <c r="F13" s="1129">
        <v>0.1</v>
      </c>
    </row>
    <row r="14" spans="1:6">
      <c r="A14" s="1123" t="s">
        <v>255</v>
      </c>
      <c r="B14" s="1130" t="s">
        <v>1859</v>
      </c>
      <c r="C14" s="1128">
        <v>0.1</v>
      </c>
      <c r="D14" s="1128">
        <v>6.5000000000000002E-2</v>
      </c>
      <c r="E14" s="1128">
        <v>7.0000000000000007E-2</v>
      </c>
      <c r="F14" s="1129">
        <v>0.1</v>
      </c>
    </row>
    <row r="15" spans="1:6">
      <c r="A15" s="1123" t="s">
        <v>255</v>
      </c>
      <c r="B15" s="1130" t="s">
        <v>1870</v>
      </c>
      <c r="C15" s="1128">
        <v>9.8000000000000004E-2</v>
      </c>
      <c r="D15" s="1128">
        <v>8.8999999999999996E-2</v>
      </c>
      <c r="E15" s="1128">
        <v>8.8999999999999996E-2</v>
      </c>
      <c r="F15" s="1129">
        <v>0.1</v>
      </c>
    </row>
    <row r="16" spans="1:6">
      <c r="A16" s="1123" t="s">
        <v>255</v>
      </c>
      <c r="B16" s="1130" t="s">
        <v>1881</v>
      </c>
      <c r="C16" s="1128">
        <v>7.0000000000000007E-2</v>
      </c>
      <c r="D16" s="1128">
        <v>9.2999999999999999E-2</v>
      </c>
      <c r="E16" s="1128">
        <v>9.6000000000000002E-2</v>
      </c>
      <c r="F16" s="1129">
        <v>0.1</v>
      </c>
    </row>
    <row r="17" spans="1:6">
      <c r="A17" s="1123" t="s">
        <v>255</v>
      </c>
      <c r="B17" s="1130" t="s">
        <v>1892</v>
      </c>
      <c r="C17" s="1128">
        <v>9.5000000000000001E-2</v>
      </c>
      <c r="D17" s="1128">
        <v>0.1</v>
      </c>
      <c r="E17" s="1128">
        <v>0.1</v>
      </c>
      <c r="F17" s="1136"/>
    </row>
    <row r="18" spans="1:6">
      <c r="A18" s="1123" t="s">
        <v>255</v>
      </c>
      <c r="B18" s="1130" t="s">
        <v>1902</v>
      </c>
      <c r="C18" s="1128">
        <v>7.3999999999999996E-2</v>
      </c>
      <c r="D18" s="1128">
        <v>9.9000000000000005E-2</v>
      </c>
      <c r="E18" s="1128">
        <v>0.1</v>
      </c>
      <c r="F18" s="1136"/>
    </row>
    <row r="19" spans="1:6">
      <c r="A19" s="1123" t="s">
        <v>255</v>
      </c>
      <c r="B19" s="1130" t="s">
        <v>1912</v>
      </c>
      <c r="C19" s="1128">
        <v>9.9000000000000005E-2</v>
      </c>
      <c r="D19" s="1128">
        <v>7.5999999999999998E-2</v>
      </c>
      <c r="E19" s="1128">
        <v>8.6999999999999994E-2</v>
      </c>
      <c r="F19" s="1136"/>
    </row>
    <row r="20" spans="1:6">
      <c r="A20" s="1123" t="s">
        <v>255</v>
      </c>
      <c r="B20" s="1130" t="s">
        <v>1922</v>
      </c>
      <c r="C20" s="1128">
        <v>9.8000000000000004E-2</v>
      </c>
      <c r="D20" s="1128">
        <v>8.5000000000000006E-2</v>
      </c>
      <c r="E20" s="1128">
        <v>8.2000000000000003E-2</v>
      </c>
      <c r="F20" s="1136"/>
    </row>
    <row r="21" spans="1:6">
      <c r="A21" s="1123" t="s">
        <v>255</v>
      </c>
      <c r="B21" s="1130" t="s">
        <v>1932</v>
      </c>
      <c r="C21" s="1128">
        <v>6.6000000000000003E-2</v>
      </c>
      <c r="D21" s="1128">
        <v>6.4000000000000001E-2</v>
      </c>
      <c r="E21" s="1128">
        <v>6.5000000000000002E-2</v>
      </c>
      <c r="F21" s="1136"/>
    </row>
    <row r="22" spans="1:6">
      <c r="A22" s="1123" t="s">
        <v>255</v>
      </c>
      <c r="B22" s="1130" t="s">
        <v>1942</v>
      </c>
      <c r="C22" s="1128">
        <v>0.08</v>
      </c>
      <c r="D22" s="1128">
        <v>9.8000000000000004E-2</v>
      </c>
      <c r="E22" s="1128">
        <v>9.8000000000000004E-2</v>
      </c>
      <c r="F22" s="1136"/>
    </row>
    <row r="23" spans="1:6">
      <c r="A23" s="1123" t="s">
        <v>255</v>
      </c>
      <c r="B23" s="1130" t="s">
        <v>1952</v>
      </c>
      <c r="C23" s="1128">
        <v>9.9000000000000005E-2</v>
      </c>
      <c r="D23" s="1128">
        <v>9.8000000000000004E-2</v>
      </c>
      <c r="E23" s="1128">
        <v>9.0999999999999998E-2</v>
      </c>
      <c r="F23" s="1136"/>
    </row>
    <row r="24" spans="1:6">
      <c r="A24" s="1123" t="s">
        <v>255</v>
      </c>
      <c r="B24" s="1130" t="s">
        <v>1962</v>
      </c>
      <c r="C24" s="1128">
        <v>8.8999999999999996E-2</v>
      </c>
      <c r="D24" s="1128">
        <v>9.7000000000000003E-2</v>
      </c>
      <c r="E24" s="1128">
        <v>7.0000000000000007E-2</v>
      </c>
      <c r="F24" s="1136"/>
    </row>
    <row r="25" spans="1:6">
      <c r="A25" s="1123" t="s">
        <v>255</v>
      </c>
      <c r="B25" s="1130" t="s">
        <v>1972</v>
      </c>
      <c r="C25" s="1128">
        <v>8.8999999999999996E-2</v>
      </c>
      <c r="D25" s="1128">
        <v>0.1</v>
      </c>
      <c r="E25" s="1128">
        <v>8.1000000000000003E-2</v>
      </c>
      <c r="F25" s="1136"/>
    </row>
    <row r="26" spans="1:6">
      <c r="A26" s="1123" t="s">
        <v>255</v>
      </c>
      <c r="B26" s="1130" t="s">
        <v>1982</v>
      </c>
      <c r="C26" s="1137"/>
      <c r="D26" s="1128">
        <v>9.6000000000000002E-2</v>
      </c>
      <c r="E26" s="1128">
        <v>9.2999999999999999E-2</v>
      </c>
      <c r="F26" s="1136"/>
    </row>
    <row r="27" spans="1:6">
      <c r="A27" s="1123" t="s">
        <v>255</v>
      </c>
      <c r="B27" s="1130" t="s">
        <v>1992</v>
      </c>
      <c r="C27" s="1137"/>
      <c r="D27" s="1128">
        <v>7.5999999999999998E-2</v>
      </c>
      <c r="E27" s="1128">
        <v>9.1999999999999998E-2</v>
      </c>
      <c r="F27" s="1136"/>
    </row>
    <row r="28" spans="1:6">
      <c r="A28" s="1131" t="s">
        <v>255</v>
      </c>
      <c r="B28" s="1132" t="s">
        <v>2002</v>
      </c>
      <c r="C28" s="1134"/>
      <c r="D28" s="1133">
        <v>7.5999999999999998E-2</v>
      </c>
      <c r="E28" s="1133">
        <v>9.1999999999999998E-2</v>
      </c>
      <c r="F28" s="1135"/>
    </row>
    <row r="29" spans="1:6">
      <c r="A29" s="1123" t="s">
        <v>267</v>
      </c>
      <c r="B29" s="1124" t="s">
        <v>1810</v>
      </c>
      <c r="C29" s="1125">
        <v>6.4000000000000001E-2</v>
      </c>
      <c r="D29" s="1125">
        <v>6.5000000000000002E-2</v>
      </c>
      <c r="E29" s="1125">
        <v>6.9000000000000006E-2</v>
      </c>
      <c r="F29" s="1126">
        <v>0.1</v>
      </c>
    </row>
    <row r="30" spans="1:6">
      <c r="A30" s="1123" t="s">
        <v>267</v>
      </c>
      <c r="B30" s="1130" t="s">
        <v>1823</v>
      </c>
      <c r="C30" s="1128">
        <v>6.4000000000000001E-2</v>
      </c>
      <c r="D30" s="1128">
        <v>9.9000000000000005E-2</v>
      </c>
      <c r="E30" s="1128">
        <v>0.1</v>
      </c>
      <c r="F30" s="1129">
        <v>0.1</v>
      </c>
    </row>
    <row r="31" spans="1:6">
      <c r="A31" s="1123" t="s">
        <v>267</v>
      </c>
      <c r="B31" s="1130" t="s">
        <v>1836</v>
      </c>
      <c r="C31" s="1128">
        <v>0.1</v>
      </c>
      <c r="D31" s="1128">
        <v>9.5000000000000001E-2</v>
      </c>
      <c r="E31" s="1128">
        <v>8.8999999999999996E-2</v>
      </c>
      <c r="F31" s="1129">
        <v>0.1</v>
      </c>
    </row>
    <row r="32" spans="1:6">
      <c r="A32" s="1123" t="s">
        <v>267</v>
      </c>
      <c r="B32" s="1130" t="s">
        <v>1848</v>
      </c>
      <c r="C32" s="1128">
        <v>0.05</v>
      </c>
      <c r="D32" s="1128">
        <v>0.05</v>
      </c>
      <c r="E32" s="1128">
        <v>8.7999999999999995E-2</v>
      </c>
      <c r="F32" s="1129">
        <v>0.1</v>
      </c>
    </row>
    <row r="33" spans="1:6">
      <c r="A33" s="1123" t="s">
        <v>267</v>
      </c>
      <c r="B33" s="1130" t="s">
        <v>1860</v>
      </c>
      <c r="C33" s="1128">
        <v>7.4999999999999997E-2</v>
      </c>
      <c r="D33" s="1128">
        <v>9.4E-2</v>
      </c>
      <c r="E33" s="1128">
        <v>9.7000000000000003E-2</v>
      </c>
      <c r="F33" s="1129">
        <v>0.1</v>
      </c>
    </row>
    <row r="34" spans="1:6">
      <c r="A34" s="1123" t="s">
        <v>267</v>
      </c>
      <c r="B34" s="1130" t="s">
        <v>1871</v>
      </c>
      <c r="C34" s="1128">
        <v>9.8000000000000004E-2</v>
      </c>
      <c r="D34" s="1128">
        <v>8.5999999999999993E-2</v>
      </c>
      <c r="E34" s="1128">
        <v>9.7000000000000003E-2</v>
      </c>
      <c r="F34" s="1129">
        <v>0.1</v>
      </c>
    </row>
    <row r="35" spans="1:6">
      <c r="A35" s="1123" t="s">
        <v>267</v>
      </c>
      <c r="B35" s="1130" t="s">
        <v>1882</v>
      </c>
      <c r="C35" s="1128">
        <v>5.8999999999999997E-2</v>
      </c>
      <c r="D35" s="1128">
        <v>6.5000000000000002E-2</v>
      </c>
      <c r="E35" s="1128">
        <v>7.0000000000000007E-2</v>
      </c>
      <c r="F35" s="1129">
        <v>0.1</v>
      </c>
    </row>
    <row r="36" spans="1:6">
      <c r="A36" s="1123" t="s">
        <v>267</v>
      </c>
      <c r="B36" s="1130" t="s">
        <v>1893</v>
      </c>
      <c r="C36" s="1128">
        <v>6.3E-2</v>
      </c>
      <c r="D36" s="1128">
        <v>0.1</v>
      </c>
      <c r="E36" s="1128">
        <v>0.1</v>
      </c>
      <c r="F36" s="1129">
        <v>0.1</v>
      </c>
    </row>
    <row r="37" spans="1:6">
      <c r="A37" s="1123" t="s">
        <v>267</v>
      </c>
      <c r="B37" s="1130" t="s">
        <v>1903</v>
      </c>
      <c r="C37" s="1128">
        <v>7.3999999999999996E-2</v>
      </c>
      <c r="D37" s="1128">
        <v>0.1</v>
      </c>
      <c r="E37" s="1128">
        <v>0.1</v>
      </c>
      <c r="F37" s="1129">
        <v>0.1</v>
      </c>
    </row>
    <row r="38" spans="1:6">
      <c r="A38" s="1123" t="s">
        <v>267</v>
      </c>
      <c r="B38" s="1130" t="s">
        <v>1913</v>
      </c>
      <c r="C38" s="1128">
        <v>0.1</v>
      </c>
      <c r="D38" s="1128">
        <v>9.6000000000000002E-2</v>
      </c>
      <c r="E38" s="1128">
        <v>9.6000000000000002E-2</v>
      </c>
      <c r="F38" s="1136"/>
    </row>
    <row r="39" spans="1:6">
      <c r="A39" s="1123" t="s">
        <v>267</v>
      </c>
      <c r="B39" s="1130" t="s">
        <v>1923</v>
      </c>
      <c r="C39" s="1128">
        <v>0.1</v>
      </c>
      <c r="D39" s="1128">
        <v>9.6000000000000002E-2</v>
      </c>
      <c r="E39" s="1128">
        <v>9.6000000000000002E-2</v>
      </c>
      <c r="F39" s="1136"/>
    </row>
    <row r="40" spans="1:6">
      <c r="A40" s="1123" t="s">
        <v>267</v>
      </c>
      <c r="B40" s="1130" t="s">
        <v>1933</v>
      </c>
      <c r="C40" s="1128">
        <v>9.6000000000000002E-2</v>
      </c>
      <c r="D40" s="1128">
        <v>0.1</v>
      </c>
      <c r="E40" s="1128">
        <v>9.9000000000000005E-2</v>
      </c>
      <c r="F40" s="1136"/>
    </row>
    <row r="41" spans="1:6">
      <c r="A41" s="1123" t="s">
        <v>267</v>
      </c>
      <c r="B41" s="1130" t="s">
        <v>1943</v>
      </c>
      <c r="C41" s="1128">
        <v>9.6000000000000002E-2</v>
      </c>
      <c r="D41" s="1128">
        <v>9.8000000000000004E-2</v>
      </c>
      <c r="E41" s="1128">
        <v>9.8000000000000004E-2</v>
      </c>
      <c r="F41" s="1136"/>
    </row>
    <row r="42" spans="1:6">
      <c r="A42" s="1123" t="s">
        <v>267</v>
      </c>
      <c r="B42" s="1130" t="s">
        <v>1953</v>
      </c>
      <c r="C42" s="1128">
        <v>0.1</v>
      </c>
      <c r="D42" s="1128">
        <v>8.7999999999999995E-2</v>
      </c>
      <c r="E42" s="1128">
        <v>0.1</v>
      </c>
      <c r="F42" s="1136"/>
    </row>
    <row r="43" spans="1:6">
      <c r="A43" s="1123" t="s">
        <v>267</v>
      </c>
      <c r="B43" s="1130" t="s">
        <v>1963</v>
      </c>
      <c r="C43" s="1128">
        <v>9.8000000000000004E-2</v>
      </c>
      <c r="D43" s="1128">
        <v>9.7000000000000003E-2</v>
      </c>
      <c r="E43" s="1128">
        <v>9.6000000000000002E-2</v>
      </c>
      <c r="F43" s="1136"/>
    </row>
    <row r="44" spans="1:6">
      <c r="A44" s="1123" t="s">
        <v>267</v>
      </c>
      <c r="B44" s="1130" t="s">
        <v>1973</v>
      </c>
      <c r="C44" s="1128">
        <v>8.5999999999999993E-2</v>
      </c>
      <c r="D44" s="1128">
        <v>7.9000000000000001E-2</v>
      </c>
      <c r="E44" s="1128">
        <v>7.0999999999999994E-2</v>
      </c>
      <c r="F44" s="1136"/>
    </row>
    <row r="45" spans="1:6">
      <c r="A45" s="1123" t="s">
        <v>267</v>
      </c>
      <c r="B45" s="1130" t="s">
        <v>1983</v>
      </c>
      <c r="C45" s="1128">
        <v>9.8000000000000004E-2</v>
      </c>
      <c r="D45" s="1128">
        <v>9.6000000000000002E-2</v>
      </c>
      <c r="E45" s="1128">
        <v>9.6000000000000002E-2</v>
      </c>
      <c r="F45" s="1136"/>
    </row>
    <row r="46" spans="1:6">
      <c r="A46" s="1123" t="s">
        <v>267</v>
      </c>
      <c r="B46" s="1130" t="s">
        <v>1993</v>
      </c>
      <c r="C46" s="1128">
        <v>8.5999999999999993E-2</v>
      </c>
      <c r="D46" s="1128">
        <v>9.8000000000000004E-2</v>
      </c>
      <c r="E46" s="1128">
        <v>8.7999999999999995E-2</v>
      </c>
      <c r="F46" s="1136"/>
    </row>
    <row r="47" spans="1:6">
      <c r="A47" s="1123" t="s">
        <v>267</v>
      </c>
      <c r="B47" s="1130" t="s">
        <v>2003</v>
      </c>
      <c r="C47" s="1128">
        <v>9.6000000000000002E-2</v>
      </c>
      <c r="D47" s="1137"/>
      <c r="E47" s="1128">
        <v>6.9000000000000006E-2</v>
      </c>
      <c r="F47" s="1136"/>
    </row>
    <row r="48" spans="1:6">
      <c r="A48" s="1131" t="s">
        <v>267</v>
      </c>
      <c r="B48" s="1132" t="s">
        <v>2012</v>
      </c>
      <c r="C48" s="1133">
        <v>9.8000000000000004E-2</v>
      </c>
      <c r="D48" s="1134"/>
      <c r="E48" s="1133">
        <v>9.5000000000000001E-2</v>
      </c>
      <c r="F48" s="1135"/>
    </row>
    <row r="49" spans="1:6">
      <c r="A49" s="1123" t="s">
        <v>277</v>
      </c>
      <c r="B49" s="1124" t="s">
        <v>1811</v>
      </c>
      <c r="C49" s="1125">
        <v>9.7000000000000003E-2</v>
      </c>
      <c r="D49" s="1125">
        <v>9.5000000000000001E-2</v>
      </c>
      <c r="E49" s="1125">
        <v>9.7000000000000003E-2</v>
      </c>
      <c r="F49" s="1126">
        <v>0.1</v>
      </c>
    </row>
    <row r="50" spans="1:6">
      <c r="A50" s="1123" t="s">
        <v>277</v>
      </c>
      <c r="B50" s="1127" t="s">
        <v>1824</v>
      </c>
      <c r="C50" s="1128">
        <v>7.4999999999999997E-2</v>
      </c>
      <c r="D50" s="1128">
        <v>9.5000000000000001E-2</v>
      </c>
      <c r="E50" s="1128">
        <v>0.1</v>
      </c>
      <c r="F50" s="1129">
        <v>0.1</v>
      </c>
    </row>
    <row r="51" spans="1:6">
      <c r="A51" s="1123" t="s">
        <v>277</v>
      </c>
      <c r="B51" s="1127" t="s">
        <v>1837</v>
      </c>
      <c r="C51" s="1128">
        <v>9.8000000000000004E-2</v>
      </c>
      <c r="D51" s="1128">
        <v>8.8999999999999996E-2</v>
      </c>
      <c r="E51" s="1128">
        <v>0.1</v>
      </c>
      <c r="F51" s="1129">
        <v>0.1</v>
      </c>
    </row>
    <row r="52" spans="1:6">
      <c r="A52" s="1123" t="s">
        <v>277</v>
      </c>
      <c r="B52" s="1127" t="s">
        <v>1849</v>
      </c>
      <c r="C52" s="1128">
        <v>9.8000000000000004E-2</v>
      </c>
      <c r="D52" s="1128">
        <v>9.7000000000000003E-2</v>
      </c>
      <c r="E52" s="1128">
        <v>8.1000000000000003E-2</v>
      </c>
      <c r="F52" s="1129">
        <v>0.1</v>
      </c>
    </row>
    <row r="53" spans="1:6">
      <c r="A53" s="1123" t="s">
        <v>277</v>
      </c>
      <c r="B53" s="1127" t="s">
        <v>1861</v>
      </c>
      <c r="C53" s="1128">
        <v>9.7000000000000003E-2</v>
      </c>
      <c r="D53" s="1128">
        <v>7.5999999999999998E-2</v>
      </c>
      <c r="E53" s="1128">
        <v>7.0999999999999994E-2</v>
      </c>
      <c r="F53" s="1129">
        <v>0.1</v>
      </c>
    </row>
    <row r="54" spans="1:6">
      <c r="A54" s="1123" t="s">
        <v>277</v>
      </c>
      <c r="B54" s="1127" t="s">
        <v>1872</v>
      </c>
      <c r="C54" s="1128">
        <v>7.5999999999999998E-2</v>
      </c>
      <c r="D54" s="1128">
        <v>0.1</v>
      </c>
      <c r="E54" s="1128">
        <v>9.9000000000000005E-2</v>
      </c>
      <c r="F54" s="1129">
        <v>0.1</v>
      </c>
    </row>
    <row r="55" spans="1:6">
      <c r="A55" s="1123" t="s">
        <v>277</v>
      </c>
      <c r="B55" s="1127" t="s">
        <v>1883</v>
      </c>
      <c r="C55" s="1128">
        <v>0.1</v>
      </c>
      <c r="D55" s="1128">
        <v>0.1</v>
      </c>
      <c r="E55" s="1128">
        <v>9.6000000000000002E-2</v>
      </c>
      <c r="F55" s="1129">
        <v>0.1</v>
      </c>
    </row>
    <row r="56" spans="1:6">
      <c r="A56" s="1123" t="s">
        <v>277</v>
      </c>
      <c r="B56" s="1127" t="s">
        <v>1894</v>
      </c>
      <c r="C56" s="1128">
        <v>0.1</v>
      </c>
      <c r="D56" s="1128">
        <v>9.6000000000000002E-2</v>
      </c>
      <c r="E56" s="1128">
        <v>5.1999999999999998E-2</v>
      </c>
      <c r="F56" s="1129">
        <v>0.1</v>
      </c>
    </row>
    <row r="57" spans="1:6">
      <c r="A57" s="1123" t="s">
        <v>277</v>
      </c>
      <c r="B57" s="1127" t="s">
        <v>1904</v>
      </c>
      <c r="C57" s="1128">
        <v>9.7000000000000003E-2</v>
      </c>
      <c r="D57" s="1128">
        <v>9.6000000000000002E-2</v>
      </c>
      <c r="E57" s="1128">
        <v>9.6000000000000002E-2</v>
      </c>
      <c r="F57" s="1129">
        <v>0.1</v>
      </c>
    </row>
    <row r="58" spans="1:6">
      <c r="A58" s="1123" t="s">
        <v>277</v>
      </c>
      <c r="B58" s="1127" t="s">
        <v>1914</v>
      </c>
      <c r="C58" s="1128">
        <v>9.6000000000000002E-2</v>
      </c>
      <c r="D58" s="1128">
        <v>9.9000000000000005E-2</v>
      </c>
      <c r="E58" s="1128">
        <v>9.6000000000000002E-2</v>
      </c>
      <c r="F58" s="1129">
        <v>0.1</v>
      </c>
    </row>
    <row r="59" spans="1:6">
      <c r="A59" s="1123" t="s">
        <v>277</v>
      </c>
      <c r="B59" s="1127" t="s">
        <v>1924</v>
      </c>
      <c r="C59" s="1128">
        <v>7.1999999999999995E-2</v>
      </c>
      <c r="D59" s="1128">
        <v>9.6000000000000002E-2</v>
      </c>
      <c r="E59" s="1128">
        <v>7.0999999999999994E-2</v>
      </c>
      <c r="F59" s="1129">
        <v>0.1</v>
      </c>
    </row>
    <row r="60" spans="1:6">
      <c r="A60" s="1123" t="s">
        <v>277</v>
      </c>
      <c r="B60" s="1127" t="s">
        <v>1934</v>
      </c>
      <c r="C60" s="1128">
        <v>9.6000000000000002E-2</v>
      </c>
      <c r="D60" s="1128">
        <v>8.8999999999999996E-2</v>
      </c>
      <c r="E60" s="1128">
        <v>9.6000000000000002E-2</v>
      </c>
      <c r="F60" s="1129">
        <v>0.1</v>
      </c>
    </row>
    <row r="61" spans="1:6">
      <c r="A61" s="1123" t="s">
        <v>277</v>
      </c>
      <c r="B61" s="1127" t="s">
        <v>1944</v>
      </c>
      <c r="C61" s="1128">
        <v>8.8999999999999996E-2</v>
      </c>
      <c r="D61" s="1128">
        <v>9.8000000000000004E-2</v>
      </c>
      <c r="E61" s="1128">
        <v>8.7999999999999995E-2</v>
      </c>
      <c r="F61" s="1136"/>
    </row>
    <row r="62" spans="1:6">
      <c r="A62" s="1123" t="s">
        <v>277</v>
      </c>
      <c r="B62" s="1127" t="s">
        <v>1954</v>
      </c>
      <c r="C62" s="1128">
        <v>9.8000000000000004E-2</v>
      </c>
      <c r="D62" s="1128">
        <v>9.2999999999999999E-2</v>
      </c>
      <c r="E62" s="1128">
        <v>9.7000000000000003E-2</v>
      </c>
      <c r="F62" s="1136"/>
    </row>
    <row r="63" spans="1:6">
      <c r="A63" s="1123" t="s">
        <v>277</v>
      </c>
      <c r="B63" s="1127" t="s">
        <v>1964</v>
      </c>
      <c r="C63" s="1128">
        <v>9.6000000000000002E-2</v>
      </c>
      <c r="D63" s="1128">
        <v>9.8000000000000004E-2</v>
      </c>
      <c r="E63" s="1128">
        <v>0.09</v>
      </c>
      <c r="F63" s="1136"/>
    </row>
    <row r="64" spans="1:6">
      <c r="A64" s="1123" t="s">
        <v>277</v>
      </c>
      <c r="B64" s="1127" t="s">
        <v>1974</v>
      </c>
      <c r="C64" s="1128">
        <v>9.9000000000000005E-2</v>
      </c>
      <c r="D64" s="1128">
        <v>9.7000000000000003E-2</v>
      </c>
      <c r="E64" s="1128">
        <v>9.9000000000000005E-2</v>
      </c>
      <c r="F64" s="1136"/>
    </row>
    <row r="65" spans="1:6">
      <c r="A65" s="1123" t="s">
        <v>277</v>
      </c>
      <c r="B65" s="1127" t="s">
        <v>1984</v>
      </c>
      <c r="C65" s="1128">
        <v>9.8000000000000004E-2</v>
      </c>
      <c r="D65" s="1128">
        <v>9.6000000000000002E-2</v>
      </c>
      <c r="E65" s="1128">
        <v>9.6000000000000002E-2</v>
      </c>
      <c r="F65" s="1136"/>
    </row>
    <row r="66" spans="1:6">
      <c r="A66" s="1123" t="s">
        <v>277</v>
      </c>
      <c r="B66" s="1127" t="s">
        <v>1994</v>
      </c>
      <c r="C66" s="1128">
        <v>9.6000000000000002E-2</v>
      </c>
      <c r="D66" s="1128">
        <v>9.1999999999999998E-2</v>
      </c>
      <c r="E66" s="1128">
        <v>9.6000000000000002E-2</v>
      </c>
      <c r="F66" s="1136"/>
    </row>
    <row r="67" spans="1:6">
      <c r="A67" s="1123" t="s">
        <v>277</v>
      </c>
      <c r="B67" s="1127" t="s">
        <v>2004</v>
      </c>
      <c r="C67" s="1128">
        <v>9.4E-2</v>
      </c>
      <c r="D67" s="1128">
        <v>0.1</v>
      </c>
      <c r="E67" s="1128">
        <v>8.7999999999999995E-2</v>
      </c>
      <c r="F67" s="1136"/>
    </row>
    <row r="68" spans="1:6">
      <c r="A68" s="1123" t="s">
        <v>277</v>
      </c>
      <c r="B68" s="1127" t="s">
        <v>2013</v>
      </c>
      <c r="C68" s="1128">
        <v>0.1</v>
      </c>
      <c r="D68" s="1128">
        <v>8.7999999999999995E-2</v>
      </c>
      <c r="E68" s="1128">
        <v>9.7000000000000003E-2</v>
      </c>
      <c r="F68" s="1136"/>
    </row>
    <row r="69" spans="1:6">
      <c r="A69" s="1123" t="s">
        <v>277</v>
      </c>
      <c r="B69" s="1127" t="s">
        <v>2021</v>
      </c>
      <c r="C69" s="1128">
        <v>6.4000000000000001E-2</v>
      </c>
      <c r="D69" s="1128">
        <v>0.1</v>
      </c>
      <c r="E69" s="1128">
        <v>0.1</v>
      </c>
      <c r="F69" s="1136"/>
    </row>
    <row r="70" spans="1:6">
      <c r="A70" s="1123" t="s">
        <v>277</v>
      </c>
      <c r="B70" s="1127" t="s">
        <v>2029</v>
      </c>
      <c r="C70" s="1128">
        <v>9.0999999999999998E-2</v>
      </c>
      <c r="D70" s="1137"/>
      <c r="E70" s="1137"/>
      <c r="F70" s="1136"/>
    </row>
    <row r="71" spans="1:6">
      <c r="A71" s="1123" t="s">
        <v>277</v>
      </c>
      <c r="B71" s="1127" t="s">
        <v>2036</v>
      </c>
      <c r="C71" s="1128">
        <v>0.1</v>
      </c>
      <c r="D71" s="1137"/>
      <c r="E71" s="1137"/>
      <c r="F71" s="1136"/>
    </row>
    <row r="72" spans="1:6" ht="24">
      <c r="A72" s="1123" t="s">
        <v>277</v>
      </c>
      <c r="B72" s="1127" t="s">
        <v>2043</v>
      </c>
      <c r="C72" s="1137"/>
      <c r="D72" s="1137"/>
      <c r="E72" s="1137"/>
      <c r="F72" s="1129">
        <v>0.05</v>
      </c>
    </row>
    <row r="73" spans="1:6" ht="24">
      <c r="A73" s="1123" t="s">
        <v>277</v>
      </c>
      <c r="B73" s="1127" t="s">
        <v>2050</v>
      </c>
      <c r="C73" s="1137"/>
      <c r="D73" s="1137"/>
      <c r="E73" s="1137"/>
      <c r="F73" s="1129">
        <v>0.05</v>
      </c>
    </row>
    <row r="74" spans="1:6" ht="24">
      <c r="A74" s="1123" t="s">
        <v>277</v>
      </c>
      <c r="B74" s="1127" t="s">
        <v>2057</v>
      </c>
      <c r="C74" s="1137"/>
      <c r="D74" s="1137"/>
      <c r="E74" s="1137"/>
      <c r="F74" s="1129">
        <v>0.05</v>
      </c>
    </row>
    <row r="75" spans="1:6" ht="24">
      <c r="A75" s="1131" t="s">
        <v>277</v>
      </c>
      <c r="B75" s="1138" t="s">
        <v>2064</v>
      </c>
      <c r="C75" s="1134"/>
      <c r="D75" s="1134"/>
      <c r="E75" s="1134"/>
      <c r="F75" s="1139">
        <v>0.05</v>
      </c>
    </row>
    <row r="76" spans="1:6">
      <c r="A76" s="1123" t="s">
        <v>286</v>
      </c>
      <c r="B76" s="1124" t="s">
        <v>1812</v>
      </c>
      <c r="C76" s="1125">
        <v>0.1</v>
      </c>
      <c r="D76" s="1125">
        <v>0.1</v>
      </c>
      <c r="E76" s="1125">
        <v>0.1</v>
      </c>
      <c r="F76" s="1126">
        <v>0.1</v>
      </c>
    </row>
    <row r="77" spans="1:6">
      <c r="A77" s="1123" t="s">
        <v>286</v>
      </c>
      <c r="B77" s="1127" t="s">
        <v>1825</v>
      </c>
      <c r="C77" s="1128">
        <v>8.7999999999999995E-2</v>
      </c>
      <c r="D77" s="1128">
        <v>8.6999999999999994E-2</v>
      </c>
      <c r="E77" s="1128">
        <v>7.9000000000000001E-2</v>
      </c>
      <c r="F77" s="1129">
        <v>0.1</v>
      </c>
    </row>
    <row r="78" spans="1:6">
      <c r="A78" s="1123" t="s">
        <v>286</v>
      </c>
      <c r="B78" s="1127" t="s">
        <v>1838</v>
      </c>
      <c r="C78" s="1128">
        <v>8.6999999999999994E-2</v>
      </c>
      <c r="D78" s="1128">
        <v>8.4000000000000005E-2</v>
      </c>
      <c r="E78" s="1128">
        <v>9.6000000000000002E-2</v>
      </c>
      <c r="F78" s="1129">
        <v>0.1</v>
      </c>
    </row>
    <row r="79" spans="1:6">
      <c r="A79" s="1123" t="s">
        <v>286</v>
      </c>
      <c r="B79" s="1127" t="s">
        <v>1850</v>
      </c>
      <c r="C79" s="1128">
        <v>9.8000000000000004E-2</v>
      </c>
      <c r="D79" s="1128">
        <v>9.8000000000000004E-2</v>
      </c>
      <c r="E79" s="1128">
        <v>9.0999999999999998E-2</v>
      </c>
      <c r="F79" s="1129">
        <v>0.1</v>
      </c>
    </row>
    <row r="80" spans="1:6">
      <c r="A80" s="1123" t="s">
        <v>286</v>
      </c>
      <c r="B80" s="1127" t="s">
        <v>1862</v>
      </c>
      <c r="C80" s="1128">
        <v>9.6000000000000002E-2</v>
      </c>
      <c r="D80" s="1128">
        <v>9.6000000000000002E-2</v>
      </c>
      <c r="E80" s="1128">
        <v>0.1</v>
      </c>
      <c r="F80" s="1129">
        <v>0.1</v>
      </c>
    </row>
    <row r="81" spans="1:6">
      <c r="A81" s="1123" t="s">
        <v>286</v>
      </c>
      <c r="B81" s="1127" t="s">
        <v>1873</v>
      </c>
      <c r="C81" s="1128">
        <v>9.9000000000000005E-2</v>
      </c>
      <c r="D81" s="1128">
        <v>9.9000000000000005E-2</v>
      </c>
      <c r="E81" s="1128">
        <v>9.8000000000000004E-2</v>
      </c>
      <c r="F81" s="1129">
        <v>0.1</v>
      </c>
    </row>
    <row r="82" spans="1:6">
      <c r="A82" s="1123" t="s">
        <v>286</v>
      </c>
      <c r="B82" s="1127" t="s">
        <v>1884</v>
      </c>
      <c r="C82" s="1128">
        <v>9.9000000000000005E-2</v>
      </c>
      <c r="D82" s="1128">
        <v>9.9000000000000005E-2</v>
      </c>
      <c r="E82" s="1128">
        <v>9.7000000000000003E-2</v>
      </c>
      <c r="F82" s="1129">
        <v>0.1</v>
      </c>
    </row>
    <row r="83" spans="1:6">
      <c r="A83" s="1123" t="s">
        <v>286</v>
      </c>
      <c r="B83" s="1127" t="s">
        <v>1895</v>
      </c>
      <c r="C83" s="1128">
        <v>9.8000000000000004E-2</v>
      </c>
      <c r="D83" s="1128">
        <v>9.8000000000000004E-2</v>
      </c>
      <c r="E83" s="1128">
        <v>9.8000000000000004E-2</v>
      </c>
      <c r="F83" s="1129">
        <v>0.1</v>
      </c>
    </row>
    <row r="84" spans="1:6">
      <c r="A84" s="1123" t="s">
        <v>286</v>
      </c>
      <c r="B84" s="1127" t="s">
        <v>1905</v>
      </c>
      <c r="C84" s="1128">
        <v>9.9000000000000005E-2</v>
      </c>
      <c r="D84" s="1128">
        <v>9.9000000000000005E-2</v>
      </c>
      <c r="E84" s="1128">
        <v>9.9000000000000005E-2</v>
      </c>
      <c r="F84" s="1129">
        <v>0.1</v>
      </c>
    </row>
    <row r="85" spans="1:6">
      <c r="A85" s="1123" t="s">
        <v>286</v>
      </c>
      <c r="B85" s="1127" t="s">
        <v>1915</v>
      </c>
      <c r="C85" s="1128">
        <v>9.9000000000000005E-2</v>
      </c>
      <c r="D85" s="1128">
        <v>9.9000000000000005E-2</v>
      </c>
      <c r="E85" s="1128">
        <v>9.9000000000000005E-2</v>
      </c>
      <c r="F85" s="1129">
        <v>0.1</v>
      </c>
    </row>
    <row r="86" spans="1:6">
      <c r="A86" s="1123" t="s">
        <v>286</v>
      </c>
      <c r="B86" s="1127" t="s">
        <v>1925</v>
      </c>
      <c r="C86" s="1128">
        <v>0.1</v>
      </c>
      <c r="D86" s="1128">
        <v>0.1</v>
      </c>
      <c r="E86" s="1128">
        <v>7.6999999999999999E-2</v>
      </c>
      <c r="F86" s="1129">
        <v>0.1</v>
      </c>
    </row>
    <row r="87" spans="1:6">
      <c r="A87" s="1123" t="s">
        <v>286</v>
      </c>
      <c r="B87" s="1127" t="s">
        <v>1935</v>
      </c>
      <c r="C87" s="1128">
        <v>0.1</v>
      </c>
      <c r="D87" s="1128">
        <v>0.1</v>
      </c>
      <c r="E87" s="1128">
        <v>9.8000000000000004E-2</v>
      </c>
      <c r="F87" s="1136"/>
    </row>
    <row r="88" spans="1:6">
      <c r="A88" s="1123" t="s">
        <v>286</v>
      </c>
      <c r="B88" s="1127" t="s">
        <v>1945</v>
      </c>
      <c r="C88" s="1128">
        <v>9.1999999999999998E-2</v>
      </c>
      <c r="D88" s="1128">
        <v>8.5000000000000006E-2</v>
      </c>
      <c r="E88" s="1128">
        <v>9.6000000000000002E-2</v>
      </c>
      <c r="F88" s="1136"/>
    </row>
    <row r="89" spans="1:6">
      <c r="A89" s="1123" t="s">
        <v>286</v>
      </c>
      <c r="B89" s="1127" t="s">
        <v>1955</v>
      </c>
      <c r="C89" s="1128">
        <v>0.1</v>
      </c>
      <c r="D89" s="1128">
        <v>0.1</v>
      </c>
      <c r="E89" s="1128">
        <v>9.7000000000000003E-2</v>
      </c>
      <c r="F89" s="1136"/>
    </row>
    <row r="90" spans="1:6">
      <c r="A90" s="1123" t="s">
        <v>286</v>
      </c>
      <c r="B90" s="1127" t="s">
        <v>1965</v>
      </c>
      <c r="C90" s="1128">
        <v>9.8000000000000004E-2</v>
      </c>
      <c r="D90" s="1128">
        <v>9.8000000000000004E-2</v>
      </c>
      <c r="E90" s="1128">
        <v>8.7999999999999995E-2</v>
      </c>
      <c r="F90" s="1136"/>
    </row>
    <row r="91" spans="1:6">
      <c r="A91" s="1123" t="s">
        <v>286</v>
      </c>
      <c r="B91" s="1127" t="s">
        <v>1975</v>
      </c>
      <c r="C91" s="1128">
        <v>9.9000000000000005E-2</v>
      </c>
      <c r="D91" s="1128">
        <v>9.9000000000000005E-2</v>
      </c>
      <c r="E91" s="1128">
        <v>9.0999999999999998E-2</v>
      </c>
      <c r="F91" s="1136"/>
    </row>
    <row r="92" spans="1:6">
      <c r="A92" s="1123" t="s">
        <v>286</v>
      </c>
      <c r="B92" s="1127" t="s">
        <v>1985</v>
      </c>
      <c r="C92" s="1128">
        <v>9.6000000000000002E-2</v>
      </c>
      <c r="D92" s="1128">
        <v>9.6000000000000002E-2</v>
      </c>
      <c r="E92" s="1128">
        <v>7.2999999999999995E-2</v>
      </c>
      <c r="F92" s="1136"/>
    </row>
    <row r="93" spans="1:6">
      <c r="A93" s="1123" t="s">
        <v>286</v>
      </c>
      <c r="B93" s="1127" t="s">
        <v>1995</v>
      </c>
      <c r="C93" s="1128">
        <v>9.6000000000000002E-2</v>
      </c>
      <c r="D93" s="1128">
        <v>9.6000000000000002E-2</v>
      </c>
      <c r="E93" s="1128">
        <v>9.9000000000000005E-2</v>
      </c>
      <c r="F93" s="1136"/>
    </row>
    <row r="94" spans="1:6">
      <c r="A94" s="1123" t="s">
        <v>286</v>
      </c>
      <c r="B94" s="1127" t="s">
        <v>2005</v>
      </c>
      <c r="C94" s="1128">
        <v>7.5999999999999998E-2</v>
      </c>
      <c r="D94" s="1128">
        <v>7.3999999999999996E-2</v>
      </c>
      <c r="E94" s="1128">
        <v>9.7000000000000003E-2</v>
      </c>
      <c r="F94" s="1136"/>
    </row>
    <row r="95" spans="1:6">
      <c r="A95" s="1123" t="s">
        <v>286</v>
      </c>
      <c r="B95" s="1127" t="s">
        <v>2014</v>
      </c>
      <c r="C95" s="1128">
        <v>9.9000000000000005E-2</v>
      </c>
      <c r="D95" s="1128">
        <v>9.4E-2</v>
      </c>
      <c r="E95" s="1128">
        <v>9.6000000000000002E-2</v>
      </c>
      <c r="F95" s="1136"/>
    </row>
    <row r="96" spans="1:6">
      <c r="A96" s="1123" t="s">
        <v>286</v>
      </c>
      <c r="B96" s="1127" t="s">
        <v>2022</v>
      </c>
      <c r="C96" s="1128">
        <v>9.9000000000000005E-2</v>
      </c>
      <c r="D96" s="1128">
        <v>9.9000000000000005E-2</v>
      </c>
      <c r="E96" s="1128">
        <v>9.9000000000000005E-2</v>
      </c>
      <c r="F96" s="1136"/>
    </row>
    <row r="97" spans="1:6">
      <c r="A97" s="1123" t="s">
        <v>286</v>
      </c>
      <c r="B97" s="1127" t="s">
        <v>2030</v>
      </c>
      <c r="C97" s="1128">
        <v>9.8000000000000004E-2</v>
      </c>
      <c r="D97" s="1128">
        <v>9.8000000000000004E-2</v>
      </c>
      <c r="E97" s="1128">
        <v>9.7000000000000003E-2</v>
      </c>
      <c r="F97" s="1136"/>
    </row>
    <row r="98" spans="1:6">
      <c r="A98" s="1123" t="s">
        <v>286</v>
      </c>
      <c r="B98" s="1127" t="s">
        <v>2037</v>
      </c>
      <c r="C98" s="1128">
        <v>0.1</v>
      </c>
      <c r="D98" s="1128">
        <v>0.1</v>
      </c>
      <c r="E98" s="1128">
        <v>9.7000000000000003E-2</v>
      </c>
      <c r="F98" s="1136"/>
    </row>
    <row r="99" spans="1:6">
      <c r="A99" s="1123" t="s">
        <v>286</v>
      </c>
      <c r="B99" s="1127" t="s">
        <v>2044</v>
      </c>
      <c r="C99" s="1128">
        <v>0.1</v>
      </c>
      <c r="D99" s="1128">
        <v>0.1</v>
      </c>
      <c r="E99" s="1137"/>
      <c r="F99" s="1136"/>
    </row>
    <row r="100" spans="1:6">
      <c r="A100" s="1123" t="s">
        <v>286</v>
      </c>
      <c r="B100" s="1127" t="s">
        <v>2051</v>
      </c>
      <c r="C100" s="1128">
        <v>0.09</v>
      </c>
      <c r="D100" s="1128">
        <v>8.8999999999999996E-2</v>
      </c>
      <c r="E100" s="1137"/>
      <c r="F100" s="1136"/>
    </row>
    <row r="101" spans="1:6">
      <c r="A101" s="1123" t="s">
        <v>286</v>
      </c>
      <c r="B101" s="1127" t="s">
        <v>2058</v>
      </c>
      <c r="C101" s="1128">
        <v>9.8000000000000004E-2</v>
      </c>
      <c r="D101" s="1128">
        <v>9.7000000000000003E-2</v>
      </c>
      <c r="E101" s="1137"/>
      <c r="F101" s="1136"/>
    </row>
    <row r="102" spans="1:6" ht="24">
      <c r="A102" s="1123" t="s">
        <v>286</v>
      </c>
      <c r="B102" s="1127" t="s">
        <v>2065</v>
      </c>
      <c r="C102" s="1137"/>
      <c r="D102" s="1137"/>
      <c r="E102" s="1137"/>
      <c r="F102" s="1129">
        <v>0.05</v>
      </c>
    </row>
    <row r="103" spans="1:6" ht="24">
      <c r="A103" s="1123" t="s">
        <v>286</v>
      </c>
      <c r="B103" s="1127" t="s">
        <v>2070</v>
      </c>
      <c r="C103" s="1137"/>
      <c r="D103" s="1137"/>
      <c r="E103" s="1137"/>
      <c r="F103" s="1129">
        <v>0.05</v>
      </c>
    </row>
    <row r="104" spans="1:6">
      <c r="A104" s="1123" t="s">
        <v>286</v>
      </c>
      <c r="B104" s="1127" t="s">
        <v>2075</v>
      </c>
      <c r="C104" s="1137"/>
      <c r="D104" s="1137"/>
      <c r="E104" s="1137"/>
      <c r="F104" s="1129">
        <v>0.05</v>
      </c>
    </row>
    <row r="105" spans="1:6" ht="24">
      <c r="A105" s="1123" t="s">
        <v>286</v>
      </c>
      <c r="B105" s="1127" t="s">
        <v>2080</v>
      </c>
      <c r="C105" s="1137"/>
      <c r="D105" s="1137"/>
      <c r="E105" s="1137"/>
      <c r="F105" s="1129">
        <v>0.05</v>
      </c>
    </row>
    <row r="106" spans="1:6" ht="24">
      <c r="A106" s="1123" t="s">
        <v>286</v>
      </c>
      <c r="B106" s="1127" t="s">
        <v>2085</v>
      </c>
      <c r="C106" s="1137"/>
      <c r="D106" s="1137"/>
      <c r="E106" s="1137"/>
      <c r="F106" s="1129">
        <v>0.05</v>
      </c>
    </row>
    <row r="107" spans="1:6" ht="24">
      <c r="A107" s="1123" t="s">
        <v>286</v>
      </c>
      <c r="B107" s="1127" t="s">
        <v>2090</v>
      </c>
      <c r="C107" s="1137"/>
      <c r="D107" s="1137"/>
      <c r="E107" s="1137"/>
      <c r="F107" s="1129">
        <v>0.05</v>
      </c>
    </row>
    <row r="108" spans="1:6" ht="24">
      <c r="A108" s="1123" t="s">
        <v>286</v>
      </c>
      <c r="B108" s="1127" t="s">
        <v>2095</v>
      </c>
      <c r="C108" s="1137"/>
      <c r="D108" s="1137"/>
      <c r="E108" s="1137"/>
      <c r="F108" s="1129">
        <v>0.05</v>
      </c>
    </row>
    <row r="109" spans="1:6" ht="24">
      <c r="A109" s="1131" t="s">
        <v>286</v>
      </c>
      <c r="B109" s="1138" t="s">
        <v>2100</v>
      </c>
      <c r="C109" s="1134"/>
      <c r="D109" s="1134"/>
      <c r="E109" s="1134"/>
      <c r="F109" s="1139">
        <v>0.05</v>
      </c>
    </row>
    <row r="110" spans="1:6">
      <c r="A110" s="1123" t="s">
        <v>294</v>
      </c>
      <c r="B110" s="1124" t="s">
        <v>1813</v>
      </c>
      <c r="C110" s="1125">
        <v>0.129</v>
      </c>
      <c r="D110" s="1125">
        <v>0.129</v>
      </c>
      <c r="E110" s="1125">
        <v>0.126</v>
      </c>
      <c r="F110" s="1126">
        <v>0.13</v>
      </c>
    </row>
    <row r="111" spans="1:6">
      <c r="A111" s="1123" t="s">
        <v>294</v>
      </c>
      <c r="B111" s="1127" t="s">
        <v>1826</v>
      </c>
      <c r="C111" s="1128">
        <v>0.11</v>
      </c>
      <c r="D111" s="1128">
        <v>0.11</v>
      </c>
      <c r="E111" s="1128">
        <v>9.9000000000000005E-2</v>
      </c>
      <c r="F111" s="1129">
        <v>0.128</v>
      </c>
    </row>
    <row r="112" spans="1:6">
      <c r="A112" s="1123" t="s">
        <v>294</v>
      </c>
      <c r="B112" s="1127" t="s">
        <v>1839</v>
      </c>
      <c r="C112" s="1128">
        <v>0.125</v>
      </c>
      <c r="D112" s="1128">
        <v>0.125</v>
      </c>
      <c r="E112" s="1128">
        <v>0.12</v>
      </c>
      <c r="F112" s="1129">
        <v>0.125</v>
      </c>
    </row>
    <row r="113" spans="1:6">
      <c r="A113" s="1123" t="s">
        <v>294</v>
      </c>
      <c r="B113" s="1127" t="s">
        <v>1851</v>
      </c>
      <c r="C113" s="1128">
        <v>0.13</v>
      </c>
      <c r="D113" s="1128">
        <v>0.13</v>
      </c>
      <c r="E113" s="1128">
        <v>0.13</v>
      </c>
      <c r="F113" s="1129">
        <v>0.13</v>
      </c>
    </row>
    <row r="114" spans="1:6">
      <c r="A114" s="1123" t="s">
        <v>294</v>
      </c>
      <c r="B114" s="1127" t="s">
        <v>1863</v>
      </c>
      <c r="C114" s="1128">
        <v>0.123</v>
      </c>
      <c r="D114" s="1128">
        <v>0.123</v>
      </c>
      <c r="E114" s="1128">
        <v>0.12</v>
      </c>
      <c r="F114" s="1129">
        <v>0.13</v>
      </c>
    </row>
    <row r="115" spans="1:6">
      <c r="A115" s="1123" t="s">
        <v>294</v>
      </c>
      <c r="B115" s="1127" t="s">
        <v>1874</v>
      </c>
      <c r="C115" s="1128">
        <v>0.125</v>
      </c>
      <c r="D115" s="1128">
        <v>0.125</v>
      </c>
      <c r="E115" s="1128">
        <v>0.11700000000000001</v>
      </c>
      <c r="F115" s="1129">
        <v>0.13</v>
      </c>
    </row>
    <row r="116" spans="1:6">
      <c r="A116" s="1123" t="s">
        <v>294</v>
      </c>
      <c r="B116" s="1127" t="s">
        <v>1885</v>
      </c>
      <c r="C116" s="1128">
        <v>0.11700000000000001</v>
      </c>
      <c r="D116" s="1128">
        <v>0.11700000000000001</v>
      </c>
      <c r="E116" s="1128">
        <v>8.7999999999999995E-2</v>
      </c>
      <c r="F116" s="1129">
        <v>0.13</v>
      </c>
    </row>
    <row r="117" spans="1:6">
      <c r="A117" s="1123" t="s">
        <v>294</v>
      </c>
      <c r="B117" s="1127" t="s">
        <v>1896</v>
      </c>
      <c r="C117" s="1128">
        <v>0.13</v>
      </c>
      <c r="D117" s="1128">
        <v>0.13</v>
      </c>
      <c r="E117" s="1128">
        <v>0.129</v>
      </c>
      <c r="F117" s="1129">
        <v>0.13</v>
      </c>
    </row>
    <row r="118" spans="1:6">
      <c r="A118" s="1123" t="s">
        <v>294</v>
      </c>
      <c r="B118" s="1127" t="s">
        <v>1906</v>
      </c>
      <c r="C118" s="1128">
        <v>0.123</v>
      </c>
      <c r="D118" s="1128">
        <v>0.123</v>
      </c>
      <c r="E118" s="1128">
        <v>0.11600000000000001</v>
      </c>
      <c r="F118" s="1129">
        <v>0.13</v>
      </c>
    </row>
    <row r="119" spans="1:6">
      <c r="A119" s="1123" t="s">
        <v>294</v>
      </c>
      <c r="B119" s="1127" t="s">
        <v>1916</v>
      </c>
      <c r="C119" s="1128">
        <v>0.127</v>
      </c>
      <c r="D119" s="1128">
        <v>0.127</v>
      </c>
      <c r="E119" s="1128">
        <v>0.124</v>
      </c>
      <c r="F119" s="1129">
        <v>0.13</v>
      </c>
    </row>
    <row r="120" spans="1:6">
      <c r="A120" s="1123" t="s">
        <v>294</v>
      </c>
      <c r="B120" s="1127" t="s">
        <v>1926</v>
      </c>
      <c r="C120" s="1128">
        <v>0.125</v>
      </c>
      <c r="D120" s="1128">
        <v>0.125</v>
      </c>
      <c r="E120" s="1128">
        <v>0.122</v>
      </c>
      <c r="F120" s="1129">
        <v>0.13</v>
      </c>
    </row>
    <row r="121" spans="1:6">
      <c r="A121" s="1123" t="s">
        <v>294</v>
      </c>
      <c r="B121" s="1127" t="s">
        <v>1936</v>
      </c>
      <c r="C121" s="1128">
        <v>0.13</v>
      </c>
      <c r="D121" s="1128">
        <v>0.13</v>
      </c>
      <c r="E121" s="1128">
        <v>0.13</v>
      </c>
      <c r="F121" s="1129">
        <v>0.13</v>
      </c>
    </row>
    <row r="122" spans="1:6">
      <c r="A122" s="1123" t="s">
        <v>294</v>
      </c>
      <c r="B122" s="1127" t="s">
        <v>1946</v>
      </c>
      <c r="C122" s="1128">
        <v>0.13</v>
      </c>
      <c r="D122" s="1128">
        <v>0.13</v>
      </c>
      <c r="E122" s="1128">
        <v>0.125</v>
      </c>
      <c r="F122" s="1129">
        <v>0.13</v>
      </c>
    </row>
    <row r="123" spans="1:6">
      <c r="A123" s="1123" t="s">
        <v>294</v>
      </c>
      <c r="B123" s="1127" t="s">
        <v>1956</v>
      </c>
      <c r="C123" s="1128">
        <v>0.129</v>
      </c>
      <c r="D123" s="1128">
        <v>0.129</v>
      </c>
      <c r="E123" s="1128">
        <v>0.123</v>
      </c>
      <c r="F123" s="1129">
        <v>0.13</v>
      </c>
    </row>
    <row r="124" spans="1:6">
      <c r="A124" s="1123" t="s">
        <v>294</v>
      </c>
      <c r="B124" s="1127" t="s">
        <v>1966</v>
      </c>
      <c r="C124" s="1128">
        <v>0.10199999999999999</v>
      </c>
      <c r="D124" s="1128">
        <v>0.10100000000000001</v>
      </c>
      <c r="E124" s="1128">
        <v>0.08</v>
      </c>
      <c r="F124" s="1136"/>
    </row>
    <row r="125" spans="1:6">
      <c r="A125" s="1123" t="s">
        <v>294</v>
      </c>
      <c r="B125" s="1127" t="s">
        <v>1976</v>
      </c>
      <c r="C125" s="1128">
        <v>0.13</v>
      </c>
      <c r="D125" s="1128">
        <v>0.13</v>
      </c>
      <c r="E125" s="1128">
        <v>0.129</v>
      </c>
      <c r="F125" s="1136"/>
    </row>
    <row r="126" spans="1:6">
      <c r="A126" s="1123" t="s">
        <v>294</v>
      </c>
      <c r="B126" s="1127" t="s">
        <v>1986</v>
      </c>
      <c r="C126" s="1128">
        <v>0.13</v>
      </c>
      <c r="D126" s="1128">
        <v>0.13</v>
      </c>
      <c r="E126" s="1128">
        <v>0.126</v>
      </c>
      <c r="F126" s="1136"/>
    </row>
    <row r="127" spans="1:6">
      <c r="A127" s="1123" t="s">
        <v>294</v>
      </c>
      <c r="B127" s="1127" t="s">
        <v>1996</v>
      </c>
      <c r="C127" s="1128">
        <v>0.125</v>
      </c>
      <c r="D127" s="1128">
        <v>0.125</v>
      </c>
      <c r="E127" s="1128">
        <v>0.121</v>
      </c>
      <c r="F127" s="1136"/>
    </row>
    <row r="128" spans="1:6">
      <c r="A128" s="1123" t="s">
        <v>294</v>
      </c>
      <c r="B128" s="1127" t="s">
        <v>2006</v>
      </c>
      <c r="C128" s="1128">
        <v>0.12</v>
      </c>
      <c r="D128" s="1128">
        <v>0.12</v>
      </c>
      <c r="E128" s="1128">
        <v>0.105</v>
      </c>
      <c r="F128" s="1136"/>
    </row>
    <row r="129" spans="1:6">
      <c r="A129" s="1123" t="s">
        <v>294</v>
      </c>
      <c r="B129" s="1127" t="s">
        <v>2015</v>
      </c>
      <c r="C129" s="1128">
        <v>0.13</v>
      </c>
      <c r="D129" s="1128">
        <v>0.13</v>
      </c>
      <c r="E129" s="1128">
        <v>0.126</v>
      </c>
      <c r="F129" s="1136"/>
    </row>
    <row r="130" spans="1:6">
      <c r="A130" s="1123" t="s">
        <v>294</v>
      </c>
      <c r="B130" s="1127" t="s">
        <v>2023</v>
      </c>
      <c r="C130" s="1128">
        <v>0.125</v>
      </c>
      <c r="D130" s="1128">
        <v>0.125</v>
      </c>
      <c r="E130" s="1128">
        <v>0.122</v>
      </c>
      <c r="F130" s="1136"/>
    </row>
    <row r="131" spans="1:6">
      <c r="A131" s="1123" t="s">
        <v>294</v>
      </c>
      <c r="B131" s="1127" t="s">
        <v>2031</v>
      </c>
      <c r="C131" s="1128">
        <v>0.127</v>
      </c>
      <c r="D131" s="1128">
        <v>0.126</v>
      </c>
      <c r="E131" s="1128">
        <v>0.123</v>
      </c>
      <c r="F131" s="1136"/>
    </row>
    <row r="132" spans="1:6">
      <c r="A132" s="1123" t="s">
        <v>294</v>
      </c>
      <c r="B132" s="1127" t="s">
        <v>2038</v>
      </c>
      <c r="C132" s="1128">
        <v>9.0999999999999998E-2</v>
      </c>
      <c r="D132" s="1128">
        <v>0.121</v>
      </c>
      <c r="E132" s="1128">
        <v>9.9000000000000005E-2</v>
      </c>
      <c r="F132" s="1136"/>
    </row>
    <row r="133" spans="1:6">
      <c r="A133" s="1123" t="s">
        <v>294</v>
      </c>
      <c r="B133" s="1127" t="s">
        <v>2045</v>
      </c>
      <c r="C133" s="1128">
        <v>0.13</v>
      </c>
      <c r="D133" s="1128">
        <v>0.13</v>
      </c>
      <c r="E133" s="1128">
        <v>0.129</v>
      </c>
      <c r="F133" s="1136"/>
    </row>
    <row r="134" spans="1:6">
      <c r="A134" s="1123" t="s">
        <v>294</v>
      </c>
      <c r="B134" s="1127" t="s">
        <v>2052</v>
      </c>
      <c r="C134" s="1128">
        <v>6.8000000000000005E-2</v>
      </c>
      <c r="D134" s="1128">
        <v>6.5000000000000002E-2</v>
      </c>
      <c r="E134" s="1128">
        <v>6.5000000000000002E-2</v>
      </c>
      <c r="F134" s="1129">
        <v>0.13</v>
      </c>
    </row>
    <row r="135" spans="1:6">
      <c r="A135" s="1123" t="s">
        <v>294</v>
      </c>
      <c r="B135" s="1127" t="s">
        <v>2059</v>
      </c>
      <c r="C135" s="1128">
        <v>0.123</v>
      </c>
      <c r="D135" s="1128">
        <v>0.123</v>
      </c>
      <c r="E135" s="1128">
        <v>0.11</v>
      </c>
      <c r="F135" s="1136"/>
    </row>
    <row r="136" spans="1:6">
      <c r="A136" s="1123" t="s">
        <v>294</v>
      </c>
      <c r="B136" s="1127" t="s">
        <v>2066</v>
      </c>
      <c r="C136" s="1128">
        <v>0.13</v>
      </c>
      <c r="D136" s="1128">
        <v>0.13</v>
      </c>
      <c r="E136" s="1128">
        <v>0.125</v>
      </c>
      <c r="F136" s="1136"/>
    </row>
    <row r="137" spans="1:6">
      <c r="A137" s="1123" t="s">
        <v>294</v>
      </c>
      <c r="B137" s="1127" t="s">
        <v>2071</v>
      </c>
      <c r="C137" s="1128">
        <v>0.121</v>
      </c>
      <c r="D137" s="1128">
        <v>0.122</v>
      </c>
      <c r="E137" s="1128">
        <v>0.115</v>
      </c>
      <c r="F137" s="1136"/>
    </row>
    <row r="138" spans="1:6">
      <c r="A138" s="1123" t="s">
        <v>294</v>
      </c>
      <c r="B138" s="1127" t="s">
        <v>2076</v>
      </c>
      <c r="C138" s="1128">
        <v>0.105</v>
      </c>
      <c r="D138" s="1128">
        <v>0.125</v>
      </c>
      <c r="E138" s="1128">
        <v>0.112</v>
      </c>
      <c r="F138" s="1136"/>
    </row>
    <row r="139" spans="1:6">
      <c r="A139" s="1123" t="s">
        <v>294</v>
      </c>
      <c r="B139" s="1127" t="s">
        <v>2081</v>
      </c>
      <c r="C139" s="1128">
        <v>0.127</v>
      </c>
      <c r="D139" s="1128">
        <v>0.127</v>
      </c>
      <c r="E139" s="1128">
        <v>0.122</v>
      </c>
      <c r="F139" s="1129">
        <v>0.13</v>
      </c>
    </row>
    <row r="140" spans="1:6">
      <c r="A140" s="1123" t="s">
        <v>294</v>
      </c>
      <c r="B140" s="1127" t="s">
        <v>2086</v>
      </c>
      <c r="C140" s="1128">
        <v>0.125</v>
      </c>
      <c r="D140" s="1128">
        <v>0.125</v>
      </c>
      <c r="E140" s="1128">
        <v>0.11899999999999999</v>
      </c>
      <c r="F140" s="1129">
        <v>0.13</v>
      </c>
    </row>
    <row r="141" spans="1:6">
      <c r="A141" s="1123" t="s">
        <v>294</v>
      </c>
      <c r="B141" s="1127" t="s">
        <v>2091</v>
      </c>
      <c r="C141" s="1128">
        <v>0.125</v>
      </c>
      <c r="D141" s="1128">
        <v>0.125</v>
      </c>
      <c r="E141" s="1128">
        <v>0.11700000000000001</v>
      </c>
      <c r="F141" s="1136"/>
    </row>
    <row r="142" spans="1:6">
      <c r="A142" s="1123" t="s">
        <v>294</v>
      </c>
      <c r="B142" s="1127" t="s">
        <v>2096</v>
      </c>
      <c r="C142" s="1128">
        <v>0.125</v>
      </c>
      <c r="D142" s="1128">
        <v>0.125</v>
      </c>
      <c r="E142" s="1128">
        <v>0.115</v>
      </c>
      <c r="F142" s="1136"/>
    </row>
    <row r="143" spans="1:6">
      <c r="A143" s="1123" t="s">
        <v>294</v>
      </c>
      <c r="B143" s="1127" t="s">
        <v>2101</v>
      </c>
      <c r="C143" s="1128">
        <v>0.121</v>
      </c>
      <c r="D143" s="1128">
        <v>0.121</v>
      </c>
      <c r="E143" s="1128">
        <v>0.108</v>
      </c>
      <c r="F143" s="1136"/>
    </row>
    <row r="144" spans="1:6">
      <c r="A144" s="1123" t="s">
        <v>294</v>
      </c>
      <c r="B144" s="1140" t="s">
        <v>2105</v>
      </c>
      <c r="C144" s="1141">
        <v>0.126</v>
      </c>
      <c r="D144" s="1141">
        <v>0.126</v>
      </c>
      <c r="E144" s="1141">
        <v>0.121</v>
      </c>
      <c r="F144" s="1136"/>
    </row>
    <row r="145" spans="1:6">
      <c r="A145" s="1131" t="s">
        <v>294</v>
      </c>
      <c r="B145" s="1142" t="s">
        <v>2109</v>
      </c>
      <c r="C145" s="1143"/>
      <c r="D145" s="1143"/>
      <c r="E145" s="1143"/>
      <c r="F145" s="1144">
        <v>0.05</v>
      </c>
    </row>
    <row r="146" spans="1:6" ht="24">
      <c r="A146" s="1145" t="s">
        <v>294</v>
      </c>
      <c r="B146" s="1130" t="s">
        <v>2113</v>
      </c>
      <c r="C146" s="1137"/>
      <c r="D146" s="1137"/>
      <c r="E146" s="1137"/>
      <c r="F146" s="1146">
        <v>0.05</v>
      </c>
    </row>
    <row r="147" spans="1:6" ht="24">
      <c r="A147" s="1123" t="s">
        <v>294</v>
      </c>
      <c r="B147" s="1127" t="s">
        <v>2117</v>
      </c>
      <c r="C147" s="1137"/>
      <c r="D147" s="1137"/>
      <c r="E147" s="1137"/>
      <c r="F147" s="1129">
        <v>0.05</v>
      </c>
    </row>
    <row r="148" spans="1:6" ht="24">
      <c r="A148" s="1123" t="s">
        <v>294</v>
      </c>
      <c r="B148" s="1127" t="s">
        <v>2121</v>
      </c>
      <c r="C148" s="1137"/>
      <c r="D148" s="1137"/>
      <c r="E148" s="1137"/>
      <c r="F148" s="1129">
        <v>0.05</v>
      </c>
    </row>
    <row r="149" spans="1:6" ht="24">
      <c r="A149" s="1123" t="s">
        <v>294</v>
      </c>
      <c r="B149" s="1127" t="s">
        <v>2125</v>
      </c>
      <c r="C149" s="1137"/>
      <c r="D149" s="1137"/>
      <c r="E149" s="1137"/>
      <c r="F149" s="1129">
        <v>0.05</v>
      </c>
    </row>
    <row r="150" spans="1:6" ht="24">
      <c r="A150" s="1123" t="s">
        <v>294</v>
      </c>
      <c r="B150" s="1127" t="s">
        <v>2128</v>
      </c>
      <c r="C150" s="1137"/>
      <c r="D150" s="1137"/>
      <c r="E150" s="1137"/>
      <c r="F150" s="1129">
        <v>0.05</v>
      </c>
    </row>
    <row r="151" spans="1:6" ht="24">
      <c r="A151" s="1123" t="s">
        <v>294</v>
      </c>
      <c r="B151" s="1127" t="s">
        <v>2131</v>
      </c>
      <c r="C151" s="1137"/>
      <c r="D151" s="1137"/>
      <c r="E151" s="1137"/>
      <c r="F151" s="1129">
        <v>0.05</v>
      </c>
    </row>
    <row r="152" spans="1:6" ht="24">
      <c r="A152" s="1123" t="s">
        <v>294</v>
      </c>
      <c r="B152" s="1127" t="s">
        <v>2134</v>
      </c>
      <c r="C152" s="1137"/>
      <c r="D152" s="1137"/>
      <c r="E152" s="1137"/>
      <c r="F152" s="1129">
        <v>0.05</v>
      </c>
    </row>
    <row r="153" spans="1:6">
      <c r="A153" s="1123" t="s">
        <v>294</v>
      </c>
      <c r="B153" s="1127" t="s">
        <v>2137</v>
      </c>
      <c r="C153" s="1137"/>
      <c r="D153" s="1137"/>
      <c r="E153" s="1137"/>
      <c r="F153" s="1129">
        <v>0.05</v>
      </c>
    </row>
    <row r="154" spans="1:6">
      <c r="A154" s="1123" t="s">
        <v>294</v>
      </c>
      <c r="B154" s="1127" t="s">
        <v>2140</v>
      </c>
      <c r="C154" s="1137"/>
      <c r="D154" s="1137"/>
      <c r="E154" s="1137"/>
      <c r="F154" s="1129">
        <v>0.05</v>
      </c>
    </row>
    <row r="155" spans="1:6" ht="24">
      <c r="A155" s="1123" t="s">
        <v>294</v>
      </c>
      <c r="B155" s="1127" t="s">
        <v>2143</v>
      </c>
      <c r="C155" s="1137"/>
      <c r="D155" s="1137"/>
      <c r="E155" s="1137"/>
      <c r="F155" s="1129">
        <v>0.05</v>
      </c>
    </row>
    <row r="156" spans="1:6" ht="24">
      <c r="A156" s="1123" t="s">
        <v>294</v>
      </c>
      <c r="B156" s="1127" t="s">
        <v>2145</v>
      </c>
      <c r="C156" s="1137"/>
      <c r="D156" s="1137"/>
      <c r="E156" s="1137"/>
      <c r="F156" s="1129">
        <v>0.05</v>
      </c>
    </row>
    <row r="157" spans="1:6" ht="24">
      <c r="A157" s="1131" t="s">
        <v>294</v>
      </c>
      <c r="B157" s="1138" t="s">
        <v>2147</v>
      </c>
      <c r="C157" s="1134"/>
      <c r="D157" s="1134"/>
      <c r="E157" s="1134"/>
      <c r="F157" s="1139">
        <v>0.05</v>
      </c>
    </row>
    <row r="158" spans="1:6">
      <c r="A158" s="1123" t="s">
        <v>299</v>
      </c>
      <c r="B158" s="1124" t="s">
        <v>1814</v>
      </c>
      <c r="C158" s="1125">
        <v>0.13</v>
      </c>
      <c r="D158" s="1125">
        <v>0.13</v>
      </c>
      <c r="E158" s="1125">
        <v>0.13</v>
      </c>
      <c r="F158" s="1126">
        <v>0.13</v>
      </c>
    </row>
    <row r="159" spans="1:6">
      <c r="A159" s="1123" t="s">
        <v>299</v>
      </c>
      <c r="B159" s="1127" t="s">
        <v>1827</v>
      </c>
      <c r="C159" s="1128">
        <v>0.13</v>
      </c>
      <c r="D159" s="1128">
        <v>0.13</v>
      </c>
      <c r="E159" s="1128">
        <v>0.13</v>
      </c>
      <c r="F159" s="1129">
        <v>0.13</v>
      </c>
    </row>
    <row r="160" spans="1:6">
      <c r="A160" s="1123" t="s">
        <v>299</v>
      </c>
      <c r="B160" s="1127" t="s">
        <v>1840</v>
      </c>
      <c r="C160" s="1128">
        <v>0.13</v>
      </c>
      <c r="D160" s="1128">
        <v>0.13</v>
      </c>
      <c r="E160" s="1128">
        <v>0.129</v>
      </c>
      <c r="F160" s="1129">
        <v>0.13</v>
      </c>
    </row>
    <row r="161" spans="1:6">
      <c r="A161" s="1123" t="s">
        <v>299</v>
      </c>
      <c r="B161" s="1127" t="s">
        <v>1852</v>
      </c>
      <c r="C161" s="1128">
        <v>0.128</v>
      </c>
      <c r="D161" s="1128">
        <v>0.128</v>
      </c>
      <c r="E161" s="1128">
        <v>0.125</v>
      </c>
      <c r="F161" s="1129">
        <v>0.13</v>
      </c>
    </row>
    <row r="162" spans="1:6">
      <c r="A162" s="1123" t="s">
        <v>299</v>
      </c>
      <c r="B162" s="1127" t="s">
        <v>1864</v>
      </c>
      <c r="C162" s="1128">
        <v>0.122</v>
      </c>
      <c r="D162" s="1128">
        <v>0.122</v>
      </c>
      <c r="E162" s="1128">
        <v>0.126</v>
      </c>
      <c r="F162" s="1129">
        <v>0.122</v>
      </c>
    </row>
    <row r="163" spans="1:6">
      <c r="A163" s="1123" t="s">
        <v>299</v>
      </c>
      <c r="B163" s="1127" t="s">
        <v>1875</v>
      </c>
      <c r="C163" s="1128">
        <v>0.13</v>
      </c>
      <c r="D163" s="1128">
        <v>0.13</v>
      </c>
      <c r="E163" s="1128">
        <v>0.125</v>
      </c>
      <c r="F163" s="1129">
        <v>0.13</v>
      </c>
    </row>
    <row r="164" spans="1:6">
      <c r="A164" s="1123" t="s">
        <v>299</v>
      </c>
      <c r="B164" s="1127" t="s">
        <v>1886</v>
      </c>
      <c r="C164" s="1128">
        <v>0.13</v>
      </c>
      <c r="D164" s="1128">
        <v>0.13</v>
      </c>
      <c r="E164" s="1128">
        <v>0.13</v>
      </c>
      <c r="F164" s="1129">
        <v>0.13</v>
      </c>
    </row>
    <row r="165" spans="1:6">
      <c r="A165" s="1123" t="s">
        <v>299</v>
      </c>
      <c r="B165" s="1127" t="s">
        <v>1897</v>
      </c>
      <c r="C165" s="1128">
        <v>0.13</v>
      </c>
      <c r="D165" s="1128">
        <v>0.13</v>
      </c>
      <c r="E165" s="1128">
        <v>0.124</v>
      </c>
      <c r="F165" s="1129">
        <v>0.13</v>
      </c>
    </row>
    <row r="166" spans="1:6">
      <c r="A166" s="1123" t="s">
        <v>299</v>
      </c>
      <c r="B166" s="1127" t="s">
        <v>1907</v>
      </c>
      <c r="C166" s="1128">
        <v>0.13</v>
      </c>
      <c r="D166" s="1128">
        <v>0.13</v>
      </c>
      <c r="E166" s="1128">
        <v>0.13</v>
      </c>
      <c r="F166" s="1129">
        <v>0.13</v>
      </c>
    </row>
    <row r="167" spans="1:6">
      <c r="A167" s="1123" t="s">
        <v>299</v>
      </c>
      <c r="B167" s="1127" t="s">
        <v>1917</v>
      </c>
      <c r="C167" s="1128">
        <v>0.125</v>
      </c>
      <c r="D167" s="1128">
        <v>0.125</v>
      </c>
      <c r="E167" s="1128">
        <v>0.121</v>
      </c>
      <c r="F167" s="1136"/>
    </row>
    <row r="168" spans="1:6">
      <c r="A168" s="1123" t="s">
        <v>299</v>
      </c>
      <c r="B168" s="1127" t="s">
        <v>1927</v>
      </c>
      <c r="C168" s="1128">
        <v>0.13</v>
      </c>
      <c r="D168" s="1128">
        <v>0.13</v>
      </c>
      <c r="E168" s="1128">
        <v>0.126</v>
      </c>
      <c r="F168" s="1136"/>
    </row>
    <row r="169" spans="1:6">
      <c r="A169" s="1123" t="s">
        <v>299</v>
      </c>
      <c r="B169" s="1127" t="s">
        <v>1937</v>
      </c>
      <c r="C169" s="1128">
        <v>0.128</v>
      </c>
      <c r="D169" s="1128">
        <v>0.129</v>
      </c>
      <c r="E169" s="1128">
        <v>0.13</v>
      </c>
      <c r="F169" s="1136"/>
    </row>
    <row r="170" spans="1:6">
      <c r="A170" s="1123" t="s">
        <v>299</v>
      </c>
      <c r="B170" s="1127" t="s">
        <v>1947</v>
      </c>
      <c r="C170" s="1128">
        <v>0.14099999999999999</v>
      </c>
      <c r="D170" s="1128">
        <v>0.13</v>
      </c>
      <c r="E170" s="1128">
        <v>0.125</v>
      </c>
      <c r="F170" s="1136"/>
    </row>
    <row r="171" spans="1:6">
      <c r="A171" s="1123" t="s">
        <v>299</v>
      </c>
      <c r="B171" s="1127" t="s">
        <v>1957</v>
      </c>
      <c r="C171" s="1128">
        <v>0.127</v>
      </c>
      <c r="D171" s="1128">
        <v>0.126</v>
      </c>
      <c r="E171" s="1128">
        <v>0.126</v>
      </c>
      <c r="F171" s="1129">
        <v>0.11799999999999999</v>
      </c>
    </row>
    <row r="172" spans="1:6">
      <c r="A172" s="1123" t="s">
        <v>299</v>
      </c>
      <c r="B172" s="1127" t="s">
        <v>1967</v>
      </c>
      <c r="C172" s="1128">
        <v>0.13</v>
      </c>
      <c r="D172" s="1128">
        <v>0.13</v>
      </c>
      <c r="E172" s="1128">
        <v>0.13</v>
      </c>
      <c r="F172" s="1136"/>
    </row>
    <row r="173" spans="1:6">
      <c r="A173" s="1123" t="s">
        <v>299</v>
      </c>
      <c r="B173" s="1127" t="s">
        <v>1977</v>
      </c>
      <c r="C173" s="1128">
        <v>0.13</v>
      </c>
      <c r="D173" s="1128">
        <v>0.13</v>
      </c>
      <c r="E173" s="1128">
        <v>0.13</v>
      </c>
      <c r="F173" s="1136"/>
    </row>
    <row r="174" spans="1:6">
      <c r="A174" s="1123" t="s">
        <v>299</v>
      </c>
      <c r="B174" s="1127" t="s">
        <v>1987</v>
      </c>
      <c r="C174" s="1128">
        <v>0.13</v>
      </c>
      <c r="D174" s="1128">
        <v>0.13</v>
      </c>
      <c r="E174" s="1128">
        <v>0.13</v>
      </c>
      <c r="F174" s="1129">
        <v>0.13</v>
      </c>
    </row>
    <row r="175" spans="1:6">
      <c r="A175" s="1123" t="s">
        <v>299</v>
      </c>
      <c r="B175" s="1127" t="s">
        <v>1997</v>
      </c>
      <c r="C175" s="1128">
        <v>0.13</v>
      </c>
      <c r="D175" s="1128">
        <v>0.13</v>
      </c>
      <c r="E175" s="1128">
        <v>0.13</v>
      </c>
      <c r="F175" s="1129">
        <v>0.13</v>
      </c>
    </row>
    <row r="176" spans="1:6">
      <c r="A176" s="1123" t="s">
        <v>299</v>
      </c>
      <c r="B176" s="1127" t="s">
        <v>2007</v>
      </c>
      <c r="C176" s="1128">
        <v>0.13</v>
      </c>
      <c r="D176" s="1128">
        <v>0.13</v>
      </c>
      <c r="E176" s="1128">
        <v>0.13</v>
      </c>
      <c r="F176" s="1129">
        <v>0.13</v>
      </c>
    </row>
    <row r="177" spans="1:6">
      <c r="A177" s="1123" t="s">
        <v>299</v>
      </c>
      <c r="B177" s="1127" t="s">
        <v>2016</v>
      </c>
      <c r="C177" s="1128">
        <v>0.13</v>
      </c>
      <c r="D177" s="1128">
        <v>0.13</v>
      </c>
      <c r="E177" s="1128">
        <v>0.13</v>
      </c>
      <c r="F177" s="1129">
        <v>0.13</v>
      </c>
    </row>
    <row r="178" spans="1:6">
      <c r="A178" s="1123" t="s">
        <v>299</v>
      </c>
      <c r="B178" s="1127" t="s">
        <v>2024</v>
      </c>
      <c r="C178" s="1128">
        <v>0.13</v>
      </c>
      <c r="D178" s="1128">
        <v>0.13</v>
      </c>
      <c r="E178" s="1128">
        <v>0.13</v>
      </c>
      <c r="F178" s="1129">
        <v>0.127</v>
      </c>
    </row>
    <row r="179" spans="1:6">
      <c r="A179" s="1123" t="s">
        <v>299</v>
      </c>
      <c r="B179" s="1127" t="s">
        <v>2032</v>
      </c>
      <c r="C179" s="1128">
        <v>0.13</v>
      </c>
      <c r="D179" s="1128">
        <v>0.13</v>
      </c>
      <c r="E179" s="1128">
        <v>0.13</v>
      </c>
      <c r="F179" s="1136"/>
    </row>
    <row r="180" spans="1:6">
      <c r="A180" s="1123" t="s">
        <v>299</v>
      </c>
      <c r="B180" s="1127" t="s">
        <v>2039</v>
      </c>
      <c r="C180" s="1128">
        <v>0.13</v>
      </c>
      <c r="D180" s="1128">
        <v>0.13</v>
      </c>
      <c r="E180" s="1128">
        <v>0.125</v>
      </c>
      <c r="F180" s="1129">
        <v>0.13</v>
      </c>
    </row>
    <row r="181" spans="1:6">
      <c r="A181" s="1123" t="s">
        <v>299</v>
      </c>
      <c r="B181" s="1127" t="s">
        <v>2046</v>
      </c>
      <c r="C181" s="1128">
        <v>0.122</v>
      </c>
      <c r="D181" s="1128">
        <v>0.123</v>
      </c>
      <c r="E181" s="1128">
        <v>0.126</v>
      </c>
      <c r="F181" s="1129">
        <v>0.121</v>
      </c>
    </row>
    <row r="182" spans="1:6">
      <c r="A182" s="1123" t="s">
        <v>299</v>
      </c>
      <c r="B182" s="1127" t="s">
        <v>2053</v>
      </c>
      <c r="C182" s="1128">
        <v>0.125</v>
      </c>
      <c r="D182" s="1128">
        <v>0.125</v>
      </c>
      <c r="E182" s="1128">
        <v>0.11700000000000001</v>
      </c>
      <c r="F182" s="1129">
        <v>0.13</v>
      </c>
    </row>
    <row r="183" spans="1:6">
      <c r="A183" s="1123" t="s">
        <v>299</v>
      </c>
      <c r="B183" s="1127" t="s">
        <v>2060</v>
      </c>
      <c r="C183" s="1128">
        <v>0.127</v>
      </c>
      <c r="D183" s="1128">
        <v>0.127</v>
      </c>
      <c r="E183" s="1128">
        <v>0.128</v>
      </c>
      <c r="F183" s="1136"/>
    </row>
    <row r="184" spans="1:6">
      <c r="A184" s="1123" t="s">
        <v>299</v>
      </c>
      <c r="B184" s="1127" t="s">
        <v>2067</v>
      </c>
      <c r="C184" s="1128">
        <v>0.125</v>
      </c>
      <c r="D184" s="1128">
        <v>0.125</v>
      </c>
      <c r="E184" s="1128">
        <v>0.127</v>
      </c>
      <c r="F184" s="1136"/>
    </row>
    <row r="185" spans="1:6">
      <c r="A185" s="1123" t="s">
        <v>299</v>
      </c>
      <c r="B185" s="1127" t="s">
        <v>2072</v>
      </c>
      <c r="C185" s="1128">
        <v>0.127</v>
      </c>
      <c r="D185" s="1128">
        <v>0.127</v>
      </c>
      <c r="E185" s="1128">
        <v>0.128</v>
      </c>
      <c r="F185" s="1129">
        <v>0.13</v>
      </c>
    </row>
    <row r="186" spans="1:6" ht="24">
      <c r="A186" s="1123" t="s">
        <v>299</v>
      </c>
      <c r="B186" s="1127" t="s">
        <v>2077</v>
      </c>
      <c r="C186" s="1137"/>
      <c r="D186" s="1137"/>
      <c r="E186" s="1137"/>
      <c r="F186" s="1129">
        <v>0.05</v>
      </c>
    </row>
    <row r="187" spans="1:6">
      <c r="A187" s="1123" t="s">
        <v>299</v>
      </c>
      <c r="B187" s="1127" t="s">
        <v>2082</v>
      </c>
      <c r="C187" s="1137"/>
      <c r="D187" s="1137"/>
      <c r="E187" s="1137"/>
      <c r="F187" s="1129">
        <v>0.05</v>
      </c>
    </row>
    <row r="188" spans="1:6" ht="24">
      <c r="A188" s="1123" t="s">
        <v>299</v>
      </c>
      <c r="B188" s="1127" t="s">
        <v>2087</v>
      </c>
      <c r="C188" s="1137"/>
      <c r="D188" s="1137"/>
      <c r="E188" s="1137"/>
      <c r="F188" s="1129">
        <v>0.05</v>
      </c>
    </row>
    <row r="189" spans="1:6" ht="24">
      <c r="A189" s="1123" t="s">
        <v>299</v>
      </c>
      <c r="B189" s="1127" t="s">
        <v>2092</v>
      </c>
      <c r="C189" s="1137"/>
      <c r="D189" s="1137"/>
      <c r="E189" s="1137"/>
      <c r="F189" s="1129">
        <v>0.05</v>
      </c>
    </row>
    <row r="190" spans="1:6" ht="24">
      <c r="A190" s="1123" t="s">
        <v>299</v>
      </c>
      <c r="B190" s="1127" t="s">
        <v>2097</v>
      </c>
      <c r="C190" s="1137"/>
      <c r="D190" s="1137"/>
      <c r="E190" s="1137"/>
      <c r="F190" s="1129">
        <v>0.05</v>
      </c>
    </row>
    <row r="191" spans="1:6" ht="24">
      <c r="A191" s="1123" t="s">
        <v>299</v>
      </c>
      <c r="B191" s="1127" t="s">
        <v>2102</v>
      </c>
      <c r="C191" s="1137"/>
      <c r="D191" s="1137"/>
      <c r="E191" s="1137"/>
      <c r="F191" s="1129">
        <v>0.05</v>
      </c>
    </row>
    <row r="192" spans="1:6" ht="24">
      <c r="A192" s="1123" t="s">
        <v>299</v>
      </c>
      <c r="B192" s="1127" t="s">
        <v>2106</v>
      </c>
      <c r="C192" s="1137"/>
      <c r="D192" s="1137"/>
      <c r="E192" s="1137"/>
      <c r="F192" s="1129">
        <v>0.05</v>
      </c>
    </row>
    <row r="193" spans="1:6" ht="24">
      <c r="A193" s="1123" t="s">
        <v>299</v>
      </c>
      <c r="B193" s="1127" t="s">
        <v>2110</v>
      </c>
      <c r="C193" s="1137"/>
      <c r="D193" s="1137"/>
      <c r="E193" s="1137"/>
      <c r="F193" s="1129">
        <v>0.05</v>
      </c>
    </row>
    <row r="194" spans="1:6" ht="24">
      <c r="A194" s="1123" t="s">
        <v>299</v>
      </c>
      <c r="B194" s="1127" t="s">
        <v>2114</v>
      </c>
      <c r="C194" s="1137"/>
      <c r="D194" s="1137"/>
      <c r="E194" s="1137"/>
      <c r="F194" s="1129">
        <v>0.05</v>
      </c>
    </row>
    <row r="195" spans="1:6">
      <c r="A195" s="1123" t="s">
        <v>299</v>
      </c>
      <c r="B195" s="1127" t="s">
        <v>2118</v>
      </c>
      <c r="C195" s="1137"/>
      <c r="D195" s="1137"/>
      <c r="E195" s="1137"/>
      <c r="F195" s="1129">
        <v>0.05</v>
      </c>
    </row>
    <row r="196" spans="1:6" ht="24">
      <c r="A196" s="1123" t="s">
        <v>299</v>
      </c>
      <c r="B196" s="1127" t="s">
        <v>2122</v>
      </c>
      <c r="C196" s="1137"/>
      <c r="D196" s="1137"/>
      <c r="E196" s="1137"/>
      <c r="F196" s="1129">
        <v>0.05</v>
      </c>
    </row>
    <row r="197" spans="1:6" ht="24">
      <c r="A197" s="1123" t="s">
        <v>299</v>
      </c>
      <c r="B197" s="1127" t="s">
        <v>2126</v>
      </c>
      <c r="C197" s="1137"/>
      <c r="D197" s="1137"/>
      <c r="E197" s="1137"/>
      <c r="F197" s="1129">
        <v>0.05</v>
      </c>
    </row>
    <row r="198" spans="1:6" ht="24">
      <c r="A198" s="1123" t="s">
        <v>299</v>
      </c>
      <c r="B198" s="1127" t="s">
        <v>2129</v>
      </c>
      <c r="C198" s="1137"/>
      <c r="D198" s="1137"/>
      <c r="E198" s="1137"/>
      <c r="F198" s="1129">
        <v>0.05</v>
      </c>
    </row>
    <row r="199" spans="1:6" ht="24">
      <c r="A199" s="1123" t="s">
        <v>299</v>
      </c>
      <c r="B199" s="1127" t="s">
        <v>2132</v>
      </c>
      <c r="C199" s="1137"/>
      <c r="D199" s="1137"/>
      <c r="E199" s="1137"/>
      <c r="F199" s="1129">
        <v>0.05</v>
      </c>
    </row>
    <row r="200" spans="1:6" ht="24">
      <c r="A200" s="1123" t="s">
        <v>299</v>
      </c>
      <c r="B200" s="1127" t="s">
        <v>2135</v>
      </c>
      <c r="C200" s="1137"/>
      <c r="D200" s="1137"/>
      <c r="E200" s="1137"/>
      <c r="F200" s="1129">
        <v>0.05</v>
      </c>
    </row>
    <row r="201" spans="1:6" ht="24">
      <c r="A201" s="1123" t="s">
        <v>299</v>
      </c>
      <c r="B201" s="1127" t="s">
        <v>2138</v>
      </c>
      <c r="C201" s="1137"/>
      <c r="D201" s="1137"/>
      <c r="E201" s="1137"/>
      <c r="F201" s="1129">
        <v>0.05</v>
      </c>
    </row>
    <row r="202" spans="1:6" ht="24">
      <c r="A202" s="1123" t="s">
        <v>299</v>
      </c>
      <c r="B202" s="1127" t="s">
        <v>2141</v>
      </c>
      <c r="C202" s="1137"/>
      <c r="D202" s="1137"/>
      <c r="E202" s="1137"/>
      <c r="F202" s="1129">
        <v>0.05</v>
      </c>
    </row>
    <row r="203" spans="1:6" ht="24">
      <c r="A203" s="1123" t="s">
        <v>299</v>
      </c>
      <c r="B203" s="1127" t="s">
        <v>2144</v>
      </c>
      <c r="C203" s="1137"/>
      <c r="D203" s="1137"/>
      <c r="E203" s="1137"/>
      <c r="F203" s="1129">
        <v>0.05</v>
      </c>
    </row>
    <row r="204" spans="1:6">
      <c r="A204" s="1123" t="s">
        <v>299</v>
      </c>
      <c r="B204" s="1127" t="s">
        <v>2146</v>
      </c>
      <c r="C204" s="1137"/>
      <c r="D204" s="1137"/>
      <c r="E204" s="1137"/>
      <c r="F204" s="1129">
        <v>0.05</v>
      </c>
    </row>
    <row r="205" spans="1:6">
      <c r="A205" s="1131" t="s">
        <v>299</v>
      </c>
      <c r="B205" s="1138" t="s">
        <v>2148</v>
      </c>
      <c r="C205" s="1134"/>
      <c r="D205" s="1134"/>
      <c r="E205" s="1134"/>
      <c r="F205" s="1139">
        <v>0.05</v>
      </c>
    </row>
    <row r="206" spans="1:6">
      <c r="A206" s="1123" t="s">
        <v>304</v>
      </c>
      <c r="B206" s="1124" t="s">
        <v>1815</v>
      </c>
      <c r="C206" s="1125">
        <v>0.15</v>
      </c>
      <c r="D206" s="1125">
        <v>0.15</v>
      </c>
      <c r="E206" s="1125">
        <v>0.15</v>
      </c>
      <c r="F206" s="1126">
        <v>0.15</v>
      </c>
    </row>
    <row r="207" spans="1:6">
      <c r="A207" s="1123" t="s">
        <v>304</v>
      </c>
      <c r="B207" s="1127" t="s">
        <v>1828</v>
      </c>
      <c r="C207" s="1128">
        <v>0.15</v>
      </c>
      <c r="D207" s="1128">
        <v>0.15</v>
      </c>
      <c r="E207" s="1128">
        <v>0.15</v>
      </c>
      <c r="F207" s="1129">
        <v>0.14399999999999999</v>
      </c>
    </row>
    <row r="208" spans="1:6">
      <c r="A208" s="1123" t="s">
        <v>304</v>
      </c>
      <c r="B208" s="1127" t="s">
        <v>1841</v>
      </c>
      <c r="C208" s="1128">
        <v>0.15</v>
      </c>
      <c r="D208" s="1128">
        <v>0.15</v>
      </c>
      <c r="E208" s="1128">
        <v>0.15</v>
      </c>
      <c r="F208" s="1129">
        <v>0.15</v>
      </c>
    </row>
    <row r="209" spans="1:6">
      <c r="A209" s="1123" t="s">
        <v>304</v>
      </c>
      <c r="B209" s="1127" t="s">
        <v>1853</v>
      </c>
      <c r="C209" s="1128">
        <v>0.13700000000000001</v>
      </c>
      <c r="D209" s="1128">
        <v>0.13700000000000001</v>
      </c>
      <c r="E209" s="1128">
        <v>0.14000000000000001</v>
      </c>
      <c r="F209" s="1129">
        <v>0.11700000000000001</v>
      </c>
    </row>
    <row r="210" spans="1:6">
      <c r="A210" s="1123" t="s">
        <v>304</v>
      </c>
      <c r="B210" s="1127" t="s">
        <v>1865</v>
      </c>
      <c r="C210" s="1128">
        <v>0.15</v>
      </c>
      <c r="D210" s="1128">
        <v>0.15</v>
      </c>
      <c r="E210" s="1128">
        <v>0.15</v>
      </c>
      <c r="F210" s="1129">
        <v>0.13800000000000001</v>
      </c>
    </row>
    <row r="211" spans="1:6">
      <c r="A211" s="1123" t="s">
        <v>304</v>
      </c>
      <c r="B211" s="1127" t="s">
        <v>1876</v>
      </c>
      <c r="C211" s="1128">
        <v>0.13700000000000001</v>
      </c>
      <c r="D211" s="1128">
        <v>0.13500000000000001</v>
      </c>
      <c r="E211" s="1128">
        <v>0.13600000000000001</v>
      </c>
      <c r="F211" s="1129">
        <v>0.1</v>
      </c>
    </row>
    <row r="212" spans="1:6">
      <c r="A212" s="1123" t="s">
        <v>304</v>
      </c>
      <c r="B212" s="1127" t="s">
        <v>1887</v>
      </c>
      <c r="C212" s="1128">
        <v>0.15</v>
      </c>
      <c r="D212" s="1128">
        <v>0.15</v>
      </c>
      <c r="E212" s="1128">
        <v>0.14799999999999999</v>
      </c>
      <c r="F212" s="1129">
        <v>0.13600000000000001</v>
      </c>
    </row>
    <row r="213" spans="1:6">
      <c r="A213" s="1123" t="s">
        <v>304</v>
      </c>
      <c r="B213" s="1127" t="s">
        <v>1898</v>
      </c>
      <c r="C213" s="1128">
        <v>0.15</v>
      </c>
      <c r="D213" s="1128">
        <v>0.15</v>
      </c>
      <c r="E213" s="1128">
        <v>0.15</v>
      </c>
      <c r="F213" s="1129">
        <v>0.13800000000000001</v>
      </c>
    </row>
    <row r="214" spans="1:6">
      <c r="A214" s="1123" t="s">
        <v>304</v>
      </c>
      <c r="B214" s="1127" t="s">
        <v>1908</v>
      </c>
      <c r="C214" s="1128">
        <v>9.0999999999999998E-2</v>
      </c>
      <c r="D214" s="1128">
        <v>0.09</v>
      </c>
      <c r="E214" s="1128">
        <v>9.1999999999999998E-2</v>
      </c>
      <c r="F214" s="1136"/>
    </row>
    <row r="215" spans="1:6">
      <c r="A215" s="1123" t="s">
        <v>304</v>
      </c>
      <c r="B215" s="1127" t="s">
        <v>1918</v>
      </c>
      <c r="C215" s="1128">
        <v>0.15</v>
      </c>
      <c r="D215" s="1128">
        <v>0.15</v>
      </c>
      <c r="E215" s="1128">
        <v>0.15</v>
      </c>
      <c r="F215" s="1129">
        <v>0.15</v>
      </c>
    </row>
    <row r="216" spans="1:6">
      <c r="A216" s="1123" t="s">
        <v>304</v>
      </c>
      <c r="B216" s="1127" t="s">
        <v>1928</v>
      </c>
      <c r="C216" s="1128">
        <v>0.14699999999999999</v>
      </c>
      <c r="D216" s="1128">
        <v>0.14699999999999999</v>
      </c>
      <c r="E216" s="1128">
        <v>0.15</v>
      </c>
      <c r="F216" s="1129">
        <v>0.14000000000000001</v>
      </c>
    </row>
    <row r="217" spans="1:6">
      <c r="A217" s="1123" t="s">
        <v>304</v>
      </c>
      <c r="B217" s="1127" t="s">
        <v>1938</v>
      </c>
      <c r="C217" s="1128">
        <v>0.15</v>
      </c>
      <c r="D217" s="1128">
        <v>0.15</v>
      </c>
      <c r="E217" s="1128">
        <v>0.15</v>
      </c>
      <c r="F217" s="1129">
        <v>0.15</v>
      </c>
    </row>
    <row r="218" spans="1:6">
      <c r="A218" s="1123" t="s">
        <v>304</v>
      </c>
      <c r="B218" s="1127" t="s">
        <v>1948</v>
      </c>
      <c r="C218" s="1128">
        <v>0.15</v>
      </c>
      <c r="D218" s="1128">
        <v>0.15</v>
      </c>
      <c r="E218" s="1128">
        <v>0.15</v>
      </c>
      <c r="F218" s="1129">
        <v>0.15</v>
      </c>
    </row>
    <row r="219" spans="1:6">
      <c r="A219" s="1123" t="s">
        <v>304</v>
      </c>
      <c r="B219" s="1127" t="s">
        <v>1958</v>
      </c>
      <c r="C219" s="1128">
        <v>0.15</v>
      </c>
      <c r="D219" s="1128">
        <v>0.15</v>
      </c>
      <c r="E219" s="1128">
        <v>0.15</v>
      </c>
      <c r="F219" s="1129">
        <v>0.14799999999999999</v>
      </c>
    </row>
    <row r="220" spans="1:6">
      <c r="A220" s="1123" t="s">
        <v>304</v>
      </c>
      <c r="B220" s="1127" t="s">
        <v>1968</v>
      </c>
      <c r="C220" s="1128">
        <v>0.15</v>
      </c>
      <c r="D220" s="1128">
        <v>0.15</v>
      </c>
      <c r="E220" s="1128">
        <v>0.15</v>
      </c>
      <c r="F220" s="1129">
        <v>0.15</v>
      </c>
    </row>
    <row r="221" spans="1:6">
      <c r="A221" s="1123" t="s">
        <v>304</v>
      </c>
      <c r="B221" s="1127" t="s">
        <v>1978</v>
      </c>
      <c r="C221" s="1128"/>
      <c r="D221" s="1137"/>
      <c r="E221" s="1137"/>
      <c r="F221" s="1129">
        <v>0.14799999999999999</v>
      </c>
    </row>
    <row r="222" spans="1:6">
      <c r="A222" s="1123" t="s">
        <v>304</v>
      </c>
      <c r="B222" s="1127" t="s">
        <v>1988</v>
      </c>
      <c r="C222" s="1128"/>
      <c r="D222" s="1137"/>
      <c r="E222" s="1137"/>
      <c r="F222" s="1129">
        <v>0.1</v>
      </c>
    </row>
    <row r="223" spans="1:6">
      <c r="A223" s="1123" t="s">
        <v>304</v>
      </c>
      <c r="B223" s="1127" t="s">
        <v>1998</v>
      </c>
      <c r="C223" s="1128"/>
      <c r="D223" s="1137"/>
      <c r="E223" s="1137"/>
      <c r="F223" s="1129">
        <v>0.15</v>
      </c>
    </row>
    <row r="224" spans="1:6">
      <c r="A224" s="1123" t="s">
        <v>304</v>
      </c>
      <c r="B224" s="1127" t="s">
        <v>2008</v>
      </c>
      <c r="C224" s="1128"/>
      <c r="D224" s="1137"/>
      <c r="E224" s="1137"/>
      <c r="F224" s="1129">
        <v>0.15</v>
      </c>
    </row>
    <row r="225" spans="1:6">
      <c r="A225" s="1123" t="s">
        <v>304</v>
      </c>
      <c r="B225" s="1127" t="s">
        <v>2017</v>
      </c>
      <c r="C225" s="1128">
        <v>0.15</v>
      </c>
      <c r="D225" s="1128">
        <v>0.15</v>
      </c>
      <c r="E225" s="1128">
        <v>0.15</v>
      </c>
      <c r="F225" s="1129">
        <v>0.15</v>
      </c>
    </row>
    <row r="226" spans="1:6">
      <c r="A226" s="1123" t="s">
        <v>304</v>
      </c>
      <c r="B226" s="1127" t="s">
        <v>2025</v>
      </c>
      <c r="C226" s="1128">
        <v>0.15</v>
      </c>
      <c r="D226" s="1128">
        <v>0.15</v>
      </c>
      <c r="E226" s="1128">
        <v>0.15</v>
      </c>
      <c r="F226" s="1129">
        <v>0.14799999999999999</v>
      </c>
    </row>
    <row r="227" spans="1:6">
      <c r="A227" s="1123" t="s">
        <v>304</v>
      </c>
      <c r="B227" s="1127" t="s">
        <v>2033</v>
      </c>
      <c r="C227" s="1128">
        <v>0.15</v>
      </c>
      <c r="D227" s="1128">
        <v>0.15</v>
      </c>
      <c r="E227" s="1128">
        <v>0.15</v>
      </c>
      <c r="F227" s="1129">
        <v>0.15</v>
      </c>
    </row>
    <row r="228" spans="1:6">
      <c r="A228" s="1123" t="s">
        <v>304</v>
      </c>
      <c r="B228" s="1127" t="s">
        <v>2040</v>
      </c>
      <c r="C228" s="1128">
        <v>0.15</v>
      </c>
      <c r="D228" s="1128">
        <v>0.15</v>
      </c>
      <c r="E228" s="1128">
        <v>0.15</v>
      </c>
      <c r="F228" s="1129">
        <v>0.15</v>
      </c>
    </row>
    <row r="229" spans="1:6">
      <c r="A229" s="1123" t="s">
        <v>304</v>
      </c>
      <c r="B229" s="1127" t="s">
        <v>2047</v>
      </c>
      <c r="C229" s="1128">
        <v>0.15</v>
      </c>
      <c r="D229" s="1128">
        <v>0.15</v>
      </c>
      <c r="E229" s="1128">
        <v>0.15</v>
      </c>
      <c r="F229" s="1136"/>
    </row>
    <row r="230" spans="1:6">
      <c r="A230" s="1123" t="s">
        <v>304</v>
      </c>
      <c r="B230" s="1127" t="s">
        <v>2054</v>
      </c>
      <c r="C230" s="1128">
        <v>0.14499999999999999</v>
      </c>
      <c r="D230" s="1128">
        <v>0.14499999999999999</v>
      </c>
      <c r="E230" s="1128">
        <v>0.14399999999999999</v>
      </c>
      <c r="F230" s="1136"/>
    </row>
    <row r="231" spans="1:6">
      <c r="A231" s="1123" t="s">
        <v>304</v>
      </c>
      <c r="B231" s="1127" t="s">
        <v>2061</v>
      </c>
      <c r="C231" s="1128">
        <v>0.128</v>
      </c>
      <c r="D231" s="1128">
        <v>0.125</v>
      </c>
      <c r="E231" s="1128">
        <v>0.13200000000000001</v>
      </c>
      <c r="F231" s="1136"/>
    </row>
    <row r="232" spans="1:6">
      <c r="A232" s="1123" t="s">
        <v>304</v>
      </c>
      <c r="B232" s="1127" t="s">
        <v>2068</v>
      </c>
      <c r="C232" s="1128">
        <v>0.14499999999999999</v>
      </c>
      <c r="D232" s="1128">
        <v>0.14399999999999999</v>
      </c>
      <c r="E232" s="1128">
        <v>0.14599999999999999</v>
      </c>
      <c r="F232" s="1129">
        <v>0.13800000000000001</v>
      </c>
    </row>
    <row r="233" spans="1:6">
      <c r="A233" s="1123" t="s">
        <v>304</v>
      </c>
      <c r="B233" s="1127" t="s">
        <v>2073</v>
      </c>
      <c r="C233" s="1128">
        <v>0.14499999999999999</v>
      </c>
      <c r="D233" s="1128">
        <v>0.14299999999999999</v>
      </c>
      <c r="E233" s="1128">
        <v>0.14199999999999999</v>
      </c>
      <c r="F233" s="1136"/>
    </row>
    <row r="234" spans="1:6">
      <c r="A234" s="1123" t="s">
        <v>304</v>
      </c>
      <c r="B234" s="1127" t="s">
        <v>2155</v>
      </c>
      <c r="C234" s="1128">
        <v>0.14000000000000001</v>
      </c>
      <c r="D234" s="1128">
        <v>0.14000000000000001</v>
      </c>
      <c r="E234" s="1128">
        <v>0.14399999999999999</v>
      </c>
      <c r="F234" s="1136"/>
    </row>
    <row r="235" spans="1:6">
      <c r="A235" s="1123" t="s">
        <v>304</v>
      </c>
      <c r="B235" s="1127" t="s">
        <v>2083</v>
      </c>
      <c r="C235" s="1128">
        <v>0.14099999999999999</v>
      </c>
      <c r="D235" s="1128">
        <v>0.14199999999999999</v>
      </c>
      <c r="E235" s="1128">
        <v>0.14499999999999999</v>
      </c>
      <c r="F235" s="1129">
        <v>0.15</v>
      </c>
    </row>
    <row r="236" spans="1:6">
      <c r="A236" s="1123" t="s">
        <v>304</v>
      </c>
      <c r="B236" s="1127" t="s">
        <v>2088</v>
      </c>
      <c r="C236" s="1137"/>
      <c r="D236" s="1137"/>
      <c r="E236" s="1137"/>
      <c r="F236" s="1129">
        <v>0.14299999999999999</v>
      </c>
    </row>
    <row r="237" spans="1:6" ht="24">
      <c r="A237" s="1123" t="s">
        <v>304</v>
      </c>
      <c r="B237" s="1127" t="s">
        <v>2093</v>
      </c>
      <c r="C237" s="1137"/>
      <c r="D237" s="1137"/>
      <c r="E237" s="1137"/>
      <c r="F237" s="1129">
        <v>0.05</v>
      </c>
    </row>
    <row r="238" spans="1:6" ht="24">
      <c r="A238" s="1123" t="s">
        <v>304</v>
      </c>
      <c r="B238" s="1127" t="s">
        <v>2098</v>
      </c>
      <c r="C238" s="1137"/>
      <c r="D238" s="1137"/>
      <c r="E238" s="1137"/>
      <c r="F238" s="1129">
        <v>0.05</v>
      </c>
    </row>
    <row r="239" spans="1:6" ht="24">
      <c r="A239" s="1123" t="s">
        <v>304</v>
      </c>
      <c r="B239" s="1127" t="s">
        <v>2103</v>
      </c>
      <c r="C239" s="1137"/>
      <c r="D239" s="1137"/>
      <c r="E239" s="1137"/>
      <c r="F239" s="1129">
        <v>0.05</v>
      </c>
    </row>
    <row r="240" spans="1:6" ht="24">
      <c r="A240" s="1123" t="s">
        <v>304</v>
      </c>
      <c r="B240" s="1127" t="s">
        <v>2107</v>
      </c>
      <c r="C240" s="1137"/>
      <c r="D240" s="1137"/>
      <c r="E240" s="1137"/>
      <c r="F240" s="1129">
        <v>0.05</v>
      </c>
    </row>
    <row r="241" spans="1:6" ht="24">
      <c r="A241" s="1123" t="s">
        <v>304</v>
      </c>
      <c r="B241" s="1127" t="s">
        <v>2111</v>
      </c>
      <c r="C241" s="1137"/>
      <c r="D241" s="1137"/>
      <c r="E241" s="1137"/>
      <c r="F241" s="1129">
        <v>0.05</v>
      </c>
    </row>
    <row r="242" spans="1:6" ht="24">
      <c r="A242" s="1123" t="s">
        <v>304</v>
      </c>
      <c r="B242" s="1127" t="s">
        <v>2115</v>
      </c>
      <c r="C242" s="1137"/>
      <c r="D242" s="1137"/>
      <c r="E242" s="1137"/>
      <c r="F242" s="1129">
        <v>0.05</v>
      </c>
    </row>
    <row r="243" spans="1:6" ht="24">
      <c r="A243" s="1123" t="s">
        <v>304</v>
      </c>
      <c r="B243" s="1127" t="s">
        <v>2119</v>
      </c>
      <c r="C243" s="1137"/>
      <c r="D243" s="1137"/>
      <c r="E243" s="1137"/>
      <c r="F243" s="1129">
        <v>0.05</v>
      </c>
    </row>
    <row r="244" spans="1:6" ht="24">
      <c r="A244" s="1131" t="s">
        <v>304</v>
      </c>
      <c r="B244" s="1138" t="s">
        <v>2123</v>
      </c>
      <c r="C244" s="1134"/>
      <c r="D244" s="1134"/>
      <c r="E244" s="1134"/>
      <c r="F244" s="1139">
        <v>0.05</v>
      </c>
    </row>
    <row r="245" spans="1:6">
      <c r="A245" s="1123" t="s">
        <v>307</v>
      </c>
      <c r="B245" s="1124" t="s">
        <v>1816</v>
      </c>
      <c r="C245" s="1125">
        <v>0.15</v>
      </c>
      <c r="D245" s="1125">
        <v>0.15</v>
      </c>
      <c r="E245" s="1125">
        <v>0.15</v>
      </c>
      <c r="F245" s="1126">
        <v>0.14299999999999999</v>
      </c>
    </row>
    <row r="246" spans="1:6">
      <c r="A246" s="1123" t="s">
        <v>307</v>
      </c>
      <c r="B246" s="1127" t="s">
        <v>1829</v>
      </c>
      <c r="C246" s="1128">
        <v>0.15</v>
      </c>
      <c r="D246" s="1128">
        <v>0.15</v>
      </c>
      <c r="E246" s="1128">
        <v>0.15</v>
      </c>
      <c r="F246" s="1129">
        <v>0.114</v>
      </c>
    </row>
    <row r="247" spans="1:6">
      <c r="A247" s="1123" t="s">
        <v>307</v>
      </c>
      <c r="B247" s="1127" t="s">
        <v>1842</v>
      </c>
      <c r="C247" s="1128">
        <v>0.15</v>
      </c>
      <c r="D247" s="1128">
        <v>0.15</v>
      </c>
      <c r="E247" s="1128">
        <v>0.15</v>
      </c>
      <c r="F247" s="1129">
        <v>0.15</v>
      </c>
    </row>
    <row r="248" spans="1:6">
      <c r="A248" s="1123" t="s">
        <v>307</v>
      </c>
      <c r="B248" s="1127" t="s">
        <v>1854</v>
      </c>
      <c r="C248" s="1128">
        <v>0.15</v>
      </c>
      <c r="D248" s="1128">
        <v>0.15</v>
      </c>
      <c r="E248" s="1128">
        <v>0.15</v>
      </c>
      <c r="F248" s="1129">
        <v>0.14000000000000001</v>
      </c>
    </row>
    <row r="249" spans="1:6">
      <c r="A249" s="1123" t="s">
        <v>307</v>
      </c>
      <c r="B249" s="1127" t="s">
        <v>1866</v>
      </c>
      <c r="C249" s="1128">
        <v>0.15</v>
      </c>
      <c r="D249" s="1128">
        <v>0.14899999999999999</v>
      </c>
      <c r="E249" s="1128">
        <v>0.15</v>
      </c>
      <c r="F249" s="1129">
        <v>0.1</v>
      </c>
    </row>
    <row r="250" spans="1:6">
      <c r="A250" s="1123" t="s">
        <v>307</v>
      </c>
      <c r="B250" s="1127" t="s">
        <v>1877</v>
      </c>
      <c r="C250" s="1128">
        <v>0.15</v>
      </c>
      <c r="D250" s="1128">
        <v>0.15</v>
      </c>
      <c r="E250" s="1128">
        <v>0.15</v>
      </c>
      <c r="F250" s="1129">
        <v>0.14399999999999999</v>
      </c>
    </row>
    <row r="251" spans="1:6">
      <c r="A251" s="1123" t="s">
        <v>307</v>
      </c>
      <c r="B251" s="1127" t="s">
        <v>1888</v>
      </c>
      <c r="C251" s="1128">
        <v>0.15</v>
      </c>
      <c r="D251" s="1128">
        <v>0.15</v>
      </c>
      <c r="E251" s="1128">
        <v>0.15</v>
      </c>
      <c r="F251" s="1129">
        <v>0.14299999999999999</v>
      </c>
    </row>
    <row r="252" spans="1:6">
      <c r="A252" s="1123" t="s">
        <v>307</v>
      </c>
      <c r="B252" s="1127" t="s">
        <v>1899</v>
      </c>
      <c r="C252" s="1128">
        <v>0.15</v>
      </c>
      <c r="D252" s="1128">
        <v>0.15</v>
      </c>
      <c r="E252" s="1128">
        <v>0.15</v>
      </c>
      <c r="F252" s="1129">
        <v>0.1</v>
      </c>
    </row>
    <row r="253" spans="1:6">
      <c r="A253" s="1123" t="s">
        <v>307</v>
      </c>
      <c r="B253" s="1127" t="s">
        <v>1909</v>
      </c>
      <c r="C253" s="1128">
        <v>0.15</v>
      </c>
      <c r="D253" s="1128">
        <v>0.15</v>
      </c>
      <c r="E253" s="1128">
        <v>0.15</v>
      </c>
      <c r="F253" s="1129">
        <v>0.1</v>
      </c>
    </row>
    <row r="254" spans="1:6">
      <c r="A254" s="1123" t="s">
        <v>307</v>
      </c>
      <c r="B254" s="1127" t="s">
        <v>1919</v>
      </c>
      <c r="C254" s="1137"/>
      <c r="D254" s="1137"/>
      <c r="E254" s="1137"/>
      <c r="F254" s="1129">
        <v>0.15</v>
      </c>
    </row>
    <row r="255" spans="1:6">
      <c r="A255" s="1123" t="s">
        <v>307</v>
      </c>
      <c r="B255" s="1127" t="s">
        <v>1929</v>
      </c>
      <c r="C255" s="1137"/>
      <c r="D255" s="1137"/>
      <c r="E255" s="1137"/>
      <c r="F255" s="1129">
        <v>0.14299999999999999</v>
      </c>
    </row>
    <row r="256" spans="1:6">
      <c r="A256" s="1123" t="s">
        <v>307</v>
      </c>
      <c r="B256" s="1127" t="s">
        <v>1939</v>
      </c>
      <c r="C256" s="1128">
        <v>0.14599999999999999</v>
      </c>
      <c r="D256" s="1128">
        <v>0.14699999999999999</v>
      </c>
      <c r="E256" s="1128">
        <v>0.15</v>
      </c>
      <c r="F256" s="1129">
        <v>0.13200000000000001</v>
      </c>
    </row>
    <row r="257" spans="1:6">
      <c r="A257" s="1123" t="s">
        <v>307</v>
      </c>
      <c r="B257" s="1127" t="s">
        <v>1949</v>
      </c>
      <c r="C257" s="1128">
        <v>0.15</v>
      </c>
      <c r="D257" s="1128">
        <v>0.15</v>
      </c>
      <c r="E257" s="1128">
        <v>0.15</v>
      </c>
      <c r="F257" s="1129">
        <v>0.13900000000000001</v>
      </c>
    </row>
    <row r="258" spans="1:6">
      <c r="A258" s="1123" t="s">
        <v>307</v>
      </c>
      <c r="B258" s="1127" t="s">
        <v>1959</v>
      </c>
      <c r="C258" s="1128">
        <v>0.15</v>
      </c>
      <c r="D258" s="1128">
        <v>0.15</v>
      </c>
      <c r="E258" s="1128">
        <v>0.15</v>
      </c>
      <c r="F258" s="1129">
        <v>0.13</v>
      </c>
    </row>
    <row r="259" spans="1:6">
      <c r="A259" s="1123" t="s">
        <v>307</v>
      </c>
      <c r="B259" s="1127" t="s">
        <v>1969</v>
      </c>
      <c r="C259" s="1128">
        <v>0.14799999999999999</v>
      </c>
      <c r="D259" s="1128">
        <v>0.14899999999999999</v>
      </c>
      <c r="E259" s="1128">
        <v>0.15</v>
      </c>
      <c r="F259" s="1129">
        <v>0.13700000000000001</v>
      </c>
    </row>
    <row r="260" spans="1:6">
      <c r="A260" s="1123" t="s">
        <v>307</v>
      </c>
      <c r="B260" s="1127" t="s">
        <v>1979</v>
      </c>
      <c r="C260" s="1128">
        <v>0.15</v>
      </c>
      <c r="D260" s="1128">
        <v>0.15</v>
      </c>
      <c r="E260" s="1128">
        <v>0.15</v>
      </c>
      <c r="F260" s="1129">
        <v>0.14199999999999999</v>
      </c>
    </row>
    <row r="261" spans="1:6">
      <c r="A261" s="1123" t="s">
        <v>307</v>
      </c>
      <c r="B261" s="1127" t="s">
        <v>1989</v>
      </c>
      <c r="C261" s="1128">
        <v>0.15</v>
      </c>
      <c r="D261" s="1128">
        <v>0.15</v>
      </c>
      <c r="E261" s="1128">
        <v>0.14899999999999999</v>
      </c>
      <c r="F261" s="1129">
        <v>0.14799999999999999</v>
      </c>
    </row>
    <row r="262" spans="1:6">
      <c r="A262" s="1123" t="s">
        <v>307</v>
      </c>
      <c r="B262" s="1127" t="s">
        <v>1999</v>
      </c>
      <c r="C262" s="1128">
        <v>0.15</v>
      </c>
      <c r="D262" s="1128">
        <v>0.15</v>
      </c>
      <c r="E262" s="1128">
        <v>0.15</v>
      </c>
      <c r="F262" s="1136"/>
    </row>
    <row r="263" spans="1:6">
      <c r="A263" s="1123" t="s">
        <v>307</v>
      </c>
      <c r="B263" s="1127" t="s">
        <v>2009</v>
      </c>
      <c r="C263" s="1128">
        <v>0.14899999999999999</v>
      </c>
      <c r="D263" s="1128">
        <v>0.14899999999999999</v>
      </c>
      <c r="E263" s="1128">
        <v>0.15</v>
      </c>
      <c r="F263" s="1129">
        <v>0.13</v>
      </c>
    </row>
    <row r="264" spans="1:6">
      <c r="A264" s="1123" t="s">
        <v>307</v>
      </c>
      <c r="B264" s="1127" t="s">
        <v>2018</v>
      </c>
      <c r="C264" s="1128">
        <v>0.14799999999999999</v>
      </c>
      <c r="D264" s="1128">
        <v>0.14699999999999999</v>
      </c>
      <c r="E264" s="1128">
        <v>0.15</v>
      </c>
      <c r="F264" s="1129">
        <v>7.8E-2</v>
      </c>
    </row>
    <row r="265" spans="1:6">
      <c r="A265" s="1123" t="s">
        <v>307</v>
      </c>
      <c r="B265" s="1127" t="s">
        <v>2026</v>
      </c>
      <c r="C265" s="1128">
        <v>0.15</v>
      </c>
      <c r="D265" s="1128">
        <v>0.15</v>
      </c>
      <c r="E265" s="1128">
        <v>0.15</v>
      </c>
      <c r="F265" s="1129">
        <v>7.3999999999999996E-2</v>
      </c>
    </row>
    <row r="266" spans="1:6">
      <c r="A266" s="1123" t="s">
        <v>307</v>
      </c>
      <c r="B266" s="1127" t="s">
        <v>2034</v>
      </c>
      <c r="C266" s="1128">
        <v>0.14699999999999999</v>
      </c>
      <c r="D266" s="1128">
        <v>0.14699999999999999</v>
      </c>
      <c r="E266" s="1128">
        <v>0.15</v>
      </c>
      <c r="F266" s="1129">
        <v>0.14299999999999999</v>
      </c>
    </row>
    <row r="267" spans="1:6">
      <c r="A267" s="1123" t="s">
        <v>307</v>
      </c>
      <c r="B267" s="1127" t="s">
        <v>2041</v>
      </c>
      <c r="C267" s="1128">
        <v>0.14199999999999999</v>
      </c>
      <c r="D267" s="1128">
        <v>0.14299999999999999</v>
      </c>
      <c r="E267" s="1128">
        <v>0.15</v>
      </c>
      <c r="F267" s="1136"/>
    </row>
    <row r="268" spans="1:6">
      <c r="A268" s="1123" t="s">
        <v>307</v>
      </c>
      <c r="B268" s="1127" t="s">
        <v>2048</v>
      </c>
      <c r="C268" s="1128">
        <v>0.15</v>
      </c>
      <c r="D268" s="1128">
        <v>0.15</v>
      </c>
      <c r="E268" s="1128">
        <v>0.15</v>
      </c>
      <c r="F268" s="1129">
        <v>0.13</v>
      </c>
    </row>
    <row r="269" spans="1:6">
      <c r="A269" s="1123" t="s">
        <v>307</v>
      </c>
      <c r="B269" s="1127" t="s">
        <v>2055</v>
      </c>
      <c r="C269" s="1128">
        <v>0.15</v>
      </c>
      <c r="D269" s="1128">
        <v>0.15</v>
      </c>
      <c r="E269" s="1128">
        <v>0.15</v>
      </c>
      <c r="F269" s="1129">
        <v>0.14299999999999999</v>
      </c>
    </row>
    <row r="270" spans="1:6">
      <c r="A270" s="1123" t="s">
        <v>307</v>
      </c>
      <c r="B270" s="1127" t="s">
        <v>2062</v>
      </c>
      <c r="C270" s="1128">
        <v>0.14499999999999999</v>
      </c>
      <c r="D270" s="1128">
        <v>0.14499999999999999</v>
      </c>
      <c r="E270" s="1128">
        <v>0.15</v>
      </c>
      <c r="F270" s="1129">
        <v>0.14699999999999999</v>
      </c>
    </row>
    <row r="271" spans="1:6">
      <c r="A271" s="1123" t="s">
        <v>307</v>
      </c>
      <c r="B271" s="1127" t="s">
        <v>2069</v>
      </c>
      <c r="C271" s="1128">
        <v>0.15</v>
      </c>
      <c r="D271" s="1128">
        <v>0.15</v>
      </c>
      <c r="E271" s="1128">
        <v>0.15</v>
      </c>
      <c r="F271" s="1129">
        <v>0.13800000000000001</v>
      </c>
    </row>
    <row r="272" spans="1:6">
      <c r="A272" s="1123" t="s">
        <v>307</v>
      </c>
      <c r="B272" s="1127" t="s">
        <v>2074</v>
      </c>
      <c r="C272" s="1137"/>
      <c r="D272" s="1137"/>
      <c r="E272" s="1137"/>
      <c r="F272" s="1129">
        <v>0.14000000000000001</v>
      </c>
    </row>
    <row r="273" spans="1:6">
      <c r="A273" s="1123" t="s">
        <v>307</v>
      </c>
      <c r="B273" s="1127" t="s">
        <v>2079</v>
      </c>
      <c r="C273" s="1128">
        <v>0.14199999999999999</v>
      </c>
      <c r="D273" s="1128">
        <v>0.14299999999999999</v>
      </c>
      <c r="E273" s="1128">
        <v>0.15</v>
      </c>
      <c r="F273" s="1129">
        <v>0.1</v>
      </c>
    </row>
    <row r="274" spans="1:6">
      <c r="A274" s="1123" t="s">
        <v>307</v>
      </c>
      <c r="B274" s="1127" t="s">
        <v>2084</v>
      </c>
      <c r="C274" s="1128">
        <v>0.14799999999999999</v>
      </c>
      <c r="D274" s="1128">
        <v>0.14799999999999999</v>
      </c>
      <c r="E274" s="1128">
        <v>0.15</v>
      </c>
      <c r="F274" s="1129">
        <v>6.7000000000000004E-2</v>
      </c>
    </row>
    <row r="275" spans="1:6">
      <c r="A275" s="1123" t="s">
        <v>307</v>
      </c>
      <c r="B275" s="1127" t="s">
        <v>2089</v>
      </c>
      <c r="C275" s="1128">
        <v>0.15</v>
      </c>
      <c r="D275" s="1128">
        <v>0.15</v>
      </c>
      <c r="E275" s="1128">
        <v>0.15</v>
      </c>
      <c r="F275" s="1129">
        <v>0.15</v>
      </c>
    </row>
    <row r="276" spans="1:6">
      <c r="A276" s="1123" t="s">
        <v>307</v>
      </c>
      <c r="B276" s="1127" t="s">
        <v>2094</v>
      </c>
      <c r="C276" s="1128">
        <v>0.14499999999999999</v>
      </c>
      <c r="D276" s="1128">
        <v>0.14299999999999999</v>
      </c>
      <c r="E276" s="1128">
        <v>0.15</v>
      </c>
      <c r="F276" s="1129">
        <v>5.8999999999999997E-2</v>
      </c>
    </row>
    <row r="277" spans="1:6">
      <c r="A277" s="1123" t="s">
        <v>307</v>
      </c>
      <c r="B277" s="1127" t="s">
        <v>2099</v>
      </c>
      <c r="C277" s="1128">
        <v>0.15</v>
      </c>
      <c r="D277" s="1128">
        <v>0.15</v>
      </c>
      <c r="E277" s="1128">
        <v>0.15</v>
      </c>
      <c r="F277" s="1129">
        <v>0.121</v>
      </c>
    </row>
    <row r="278" spans="1:6">
      <c r="A278" s="1123" t="s">
        <v>307</v>
      </c>
      <c r="B278" s="1127" t="s">
        <v>2104</v>
      </c>
      <c r="C278" s="1128">
        <v>0.15</v>
      </c>
      <c r="D278" s="1128">
        <v>0.15</v>
      </c>
      <c r="E278" s="1128">
        <v>0.15</v>
      </c>
      <c r="F278" s="1129">
        <v>0.13800000000000001</v>
      </c>
    </row>
    <row r="279" spans="1:6" ht="24">
      <c r="A279" s="1123" t="s">
        <v>307</v>
      </c>
      <c r="B279" s="1127" t="s">
        <v>2108</v>
      </c>
      <c r="C279" s="1137"/>
      <c r="D279" s="1137"/>
      <c r="E279" s="1137"/>
      <c r="F279" s="1129">
        <v>0.05</v>
      </c>
    </row>
    <row r="280" spans="1:6" ht="24">
      <c r="A280" s="1123" t="s">
        <v>307</v>
      </c>
      <c r="B280" s="1127" t="s">
        <v>2112</v>
      </c>
      <c r="C280" s="1137"/>
      <c r="D280" s="1137"/>
      <c r="E280" s="1137"/>
      <c r="F280" s="1129">
        <v>0.05</v>
      </c>
    </row>
    <row r="281" spans="1:6" ht="24">
      <c r="A281" s="1123" t="s">
        <v>307</v>
      </c>
      <c r="B281" s="1127" t="s">
        <v>2116</v>
      </c>
      <c r="C281" s="1137"/>
      <c r="D281" s="1137"/>
      <c r="E281" s="1137"/>
      <c r="F281" s="1129">
        <v>0.05</v>
      </c>
    </row>
    <row r="282" spans="1:6" ht="24">
      <c r="A282" s="1123" t="s">
        <v>307</v>
      </c>
      <c r="B282" s="1127" t="s">
        <v>2120</v>
      </c>
      <c r="C282" s="1137"/>
      <c r="D282" s="1137"/>
      <c r="E282" s="1137"/>
      <c r="F282" s="1129">
        <v>0.05</v>
      </c>
    </row>
    <row r="283" spans="1:6" ht="24">
      <c r="A283" s="1123" t="s">
        <v>307</v>
      </c>
      <c r="B283" s="1127" t="s">
        <v>2124</v>
      </c>
      <c r="C283" s="1137"/>
      <c r="D283" s="1137"/>
      <c r="E283" s="1137"/>
      <c r="F283" s="1129">
        <v>0.05</v>
      </c>
    </row>
    <row r="284" spans="1:6" ht="24">
      <c r="A284" s="1123" t="s">
        <v>307</v>
      </c>
      <c r="B284" s="1127" t="s">
        <v>2127</v>
      </c>
      <c r="C284" s="1137"/>
      <c r="D284" s="1137"/>
      <c r="E284" s="1137"/>
      <c r="F284" s="1129">
        <v>0.05</v>
      </c>
    </row>
    <row r="285" spans="1:6" ht="24">
      <c r="A285" s="1123" t="s">
        <v>307</v>
      </c>
      <c r="B285" s="1127" t="s">
        <v>2130</v>
      </c>
      <c r="C285" s="1137"/>
      <c r="D285" s="1137"/>
      <c r="E285" s="1137"/>
      <c r="F285" s="1129">
        <v>0.05</v>
      </c>
    </row>
    <row r="286" spans="1:6" ht="24">
      <c r="A286" s="1123" t="s">
        <v>307</v>
      </c>
      <c r="B286" s="1127" t="s">
        <v>2133</v>
      </c>
      <c r="C286" s="1137"/>
      <c r="D286" s="1137"/>
      <c r="E286" s="1137"/>
      <c r="F286" s="1129">
        <v>0.05</v>
      </c>
    </row>
    <row r="287" spans="1:6" ht="24">
      <c r="A287" s="1123" t="s">
        <v>307</v>
      </c>
      <c r="B287" s="1127" t="s">
        <v>2136</v>
      </c>
      <c r="C287" s="1137"/>
      <c r="D287" s="1137"/>
      <c r="E287" s="1137"/>
      <c r="F287" s="1129">
        <v>0.05</v>
      </c>
    </row>
    <row r="288" spans="1:6" ht="24">
      <c r="A288" s="1123" t="s">
        <v>307</v>
      </c>
      <c r="B288" s="1127" t="s">
        <v>2139</v>
      </c>
      <c r="C288" s="1137"/>
      <c r="D288" s="1137"/>
      <c r="E288" s="1137"/>
      <c r="F288" s="1129">
        <v>0.05</v>
      </c>
    </row>
    <row r="289" spans="1:6" ht="24">
      <c r="A289" s="1131" t="s">
        <v>307</v>
      </c>
      <c r="B289" s="1138" t="s">
        <v>2142</v>
      </c>
      <c r="C289" s="1134"/>
      <c r="D289" s="1134"/>
      <c r="E289" s="1134"/>
      <c r="F289" s="1139">
        <v>0.05</v>
      </c>
    </row>
    <row r="290" spans="1:6">
      <c r="A290" s="1123" t="s">
        <v>310</v>
      </c>
      <c r="B290" s="1124" t="s">
        <v>1817</v>
      </c>
      <c r="C290" s="1125">
        <v>0.15</v>
      </c>
      <c r="D290" s="1125">
        <v>0.15</v>
      </c>
      <c r="E290" s="1125">
        <v>0.15</v>
      </c>
      <c r="F290" s="1147"/>
    </row>
    <row r="291" spans="1:6">
      <c r="A291" s="1123" t="s">
        <v>310</v>
      </c>
      <c r="B291" s="1127" t="s">
        <v>1830</v>
      </c>
      <c r="C291" s="1128">
        <v>0.15</v>
      </c>
      <c r="D291" s="1128">
        <v>0.15</v>
      </c>
      <c r="E291" s="1128">
        <v>0.15</v>
      </c>
      <c r="F291" s="1136"/>
    </row>
    <row r="292" spans="1:6">
      <c r="A292" s="1123" t="s">
        <v>310</v>
      </c>
      <c r="B292" s="1127" t="s">
        <v>1843</v>
      </c>
      <c r="C292" s="1128">
        <v>0.15</v>
      </c>
      <c r="D292" s="1128">
        <v>0.15</v>
      </c>
      <c r="E292" s="1128">
        <v>0.15</v>
      </c>
      <c r="F292" s="1129">
        <v>0.14699999999999999</v>
      </c>
    </row>
    <row r="293" spans="1:6">
      <c r="A293" s="1123" t="s">
        <v>310</v>
      </c>
      <c r="B293" s="1127" t="s">
        <v>2149</v>
      </c>
      <c r="C293" s="1137"/>
      <c r="D293" s="1137"/>
      <c r="E293" s="1137"/>
      <c r="F293" s="1129">
        <v>0.1</v>
      </c>
    </row>
    <row r="294" spans="1:6">
      <c r="A294" s="1123" t="s">
        <v>310</v>
      </c>
      <c r="B294" s="1127" t="s">
        <v>1855</v>
      </c>
      <c r="C294" s="1128">
        <v>0.15</v>
      </c>
      <c r="D294" s="1128">
        <v>0.15</v>
      </c>
      <c r="E294" s="1128">
        <v>0.15</v>
      </c>
      <c r="F294" s="1129">
        <v>0.15</v>
      </c>
    </row>
    <row r="295" spans="1:6">
      <c r="A295" s="1123" t="s">
        <v>310</v>
      </c>
      <c r="B295" s="1127" t="s">
        <v>1867</v>
      </c>
      <c r="C295" s="1128">
        <v>0.15</v>
      </c>
      <c r="D295" s="1128">
        <v>0.15</v>
      </c>
      <c r="E295" s="1128">
        <v>0.15</v>
      </c>
      <c r="F295" s="1129">
        <v>0.15</v>
      </c>
    </row>
    <row r="296" spans="1:6">
      <c r="A296" s="1123" t="s">
        <v>310</v>
      </c>
      <c r="B296" s="1127" t="s">
        <v>1878</v>
      </c>
      <c r="C296" s="1128">
        <v>0.15</v>
      </c>
      <c r="D296" s="1128">
        <v>0.15</v>
      </c>
      <c r="E296" s="1128">
        <v>0.15</v>
      </c>
      <c r="F296" s="1129">
        <v>0.15</v>
      </c>
    </row>
    <row r="297" spans="1:6">
      <c r="A297" s="1123" t="s">
        <v>310</v>
      </c>
      <c r="B297" s="1127" t="s">
        <v>1889</v>
      </c>
      <c r="C297" s="1128">
        <v>0.14799999999999999</v>
      </c>
      <c r="D297" s="1128">
        <v>0.14899999999999999</v>
      </c>
      <c r="E297" s="1128">
        <v>0.15</v>
      </c>
      <c r="F297" s="1129">
        <v>0.13700000000000001</v>
      </c>
    </row>
    <row r="298" spans="1:6">
      <c r="A298" s="1123" t="s">
        <v>310</v>
      </c>
      <c r="B298" s="1127" t="s">
        <v>1900</v>
      </c>
      <c r="C298" s="1128">
        <v>0.13400000000000001</v>
      </c>
      <c r="D298" s="1128">
        <v>0.13400000000000001</v>
      </c>
      <c r="E298" s="1128">
        <v>0.14499999999999999</v>
      </c>
      <c r="F298" s="1129">
        <v>0.14799999999999999</v>
      </c>
    </row>
    <row r="299" spans="1:6">
      <c r="A299" s="1123" t="s">
        <v>310</v>
      </c>
      <c r="B299" s="1127" t="s">
        <v>1910</v>
      </c>
      <c r="C299" s="1128">
        <v>0.15</v>
      </c>
      <c r="D299" s="1128">
        <v>0.15</v>
      </c>
      <c r="E299" s="1128">
        <v>0.15</v>
      </c>
      <c r="F299" s="1136"/>
    </row>
    <row r="300" spans="1:6">
      <c r="A300" s="1123" t="s">
        <v>310</v>
      </c>
      <c r="B300" s="1127" t="s">
        <v>1920</v>
      </c>
      <c r="C300" s="1128">
        <v>0.15</v>
      </c>
      <c r="D300" s="1128">
        <v>0.15</v>
      </c>
      <c r="E300" s="1128">
        <v>0.15</v>
      </c>
      <c r="F300" s="1129">
        <v>0.15</v>
      </c>
    </row>
    <row r="301" spans="1:6">
      <c r="A301" s="1123" t="s">
        <v>310</v>
      </c>
      <c r="B301" s="1127" t="s">
        <v>1930</v>
      </c>
      <c r="C301" s="1128">
        <v>0.15</v>
      </c>
      <c r="D301" s="1128">
        <v>0.15</v>
      </c>
      <c r="E301" s="1128">
        <v>0.15</v>
      </c>
      <c r="F301" s="1136"/>
    </row>
    <row r="302" spans="1:6">
      <c r="A302" s="1123" t="s">
        <v>310</v>
      </c>
      <c r="B302" s="1127" t="s">
        <v>1940</v>
      </c>
      <c r="C302" s="1128">
        <v>0.15</v>
      </c>
      <c r="D302" s="1128">
        <v>0.15</v>
      </c>
      <c r="E302" s="1128">
        <v>0.15</v>
      </c>
      <c r="F302" s="1129">
        <v>0.15</v>
      </c>
    </row>
    <row r="303" spans="1:6">
      <c r="A303" s="1123" t="s">
        <v>310</v>
      </c>
      <c r="B303" s="1127" t="s">
        <v>1950</v>
      </c>
      <c r="C303" s="1128">
        <v>0.15</v>
      </c>
      <c r="D303" s="1128">
        <v>0.15</v>
      </c>
      <c r="E303" s="1128">
        <v>0.15</v>
      </c>
      <c r="F303" s="1129">
        <v>0.15</v>
      </c>
    </row>
    <row r="304" spans="1:6">
      <c r="A304" s="1123" t="s">
        <v>310</v>
      </c>
      <c r="B304" s="1127" t="s">
        <v>1960</v>
      </c>
      <c r="C304" s="1128">
        <v>0.15</v>
      </c>
      <c r="D304" s="1128">
        <v>0.15</v>
      </c>
      <c r="E304" s="1128">
        <v>0.15</v>
      </c>
      <c r="F304" s="1136"/>
    </row>
    <row r="305" spans="1:6">
      <c r="A305" s="1123" t="s">
        <v>310</v>
      </c>
      <c r="B305" s="1127" t="s">
        <v>1970</v>
      </c>
      <c r="C305" s="1128">
        <v>0.15</v>
      </c>
      <c r="D305" s="1128">
        <v>0.15</v>
      </c>
      <c r="E305" s="1128">
        <v>0.15</v>
      </c>
      <c r="F305" s="1129">
        <v>0.14000000000000001</v>
      </c>
    </row>
    <row r="306" spans="1:6">
      <c r="A306" s="1123" t="s">
        <v>310</v>
      </c>
      <c r="B306" s="1127" t="s">
        <v>1980</v>
      </c>
      <c r="C306" s="1128">
        <v>0.15</v>
      </c>
      <c r="D306" s="1128">
        <v>0.15</v>
      </c>
      <c r="E306" s="1128">
        <v>0.15</v>
      </c>
      <c r="F306" s="1136"/>
    </row>
    <row r="307" spans="1:6">
      <c r="A307" s="1123" t="s">
        <v>310</v>
      </c>
      <c r="B307" s="1127" t="s">
        <v>1990</v>
      </c>
      <c r="C307" s="1128">
        <v>0.15</v>
      </c>
      <c r="D307" s="1128">
        <v>0.15</v>
      </c>
      <c r="E307" s="1128">
        <v>0.15</v>
      </c>
      <c r="F307" s="1129">
        <v>0.14299999999999999</v>
      </c>
    </row>
    <row r="308" spans="1:6">
      <c r="A308" s="1123" t="s">
        <v>310</v>
      </c>
      <c r="B308" s="1127" t="s">
        <v>2000</v>
      </c>
      <c r="C308" s="1128">
        <v>0.15</v>
      </c>
      <c r="D308" s="1128">
        <v>0.15</v>
      </c>
      <c r="E308" s="1128">
        <v>0.15</v>
      </c>
      <c r="F308" s="1129">
        <v>0.15</v>
      </c>
    </row>
    <row r="309" spans="1:6">
      <c r="A309" s="1123" t="s">
        <v>310</v>
      </c>
      <c r="B309" s="1127" t="s">
        <v>2010</v>
      </c>
      <c r="C309" s="1128">
        <v>0.15</v>
      </c>
      <c r="D309" s="1128">
        <v>0.15</v>
      </c>
      <c r="E309" s="1128">
        <v>0.15</v>
      </c>
      <c r="F309" s="1136"/>
    </row>
    <row r="310" spans="1:6">
      <c r="A310" s="1123" t="s">
        <v>310</v>
      </c>
      <c r="B310" s="1127" t="s">
        <v>2019</v>
      </c>
      <c r="C310" s="1128">
        <v>0.15</v>
      </c>
      <c r="D310" s="1128">
        <v>0.15</v>
      </c>
      <c r="E310" s="1128">
        <v>0.15</v>
      </c>
      <c r="F310" s="1129">
        <v>0.13700000000000001</v>
      </c>
    </row>
    <row r="311" spans="1:6">
      <c r="A311" s="1123" t="s">
        <v>310</v>
      </c>
      <c r="B311" s="1127" t="s">
        <v>2027</v>
      </c>
      <c r="C311" s="1128">
        <v>0.15</v>
      </c>
      <c r="D311" s="1128">
        <v>0.15</v>
      </c>
      <c r="E311" s="1128">
        <v>0.15</v>
      </c>
      <c r="F311" s="1129">
        <v>0.15</v>
      </c>
    </row>
    <row r="312" spans="1:6">
      <c r="A312" s="1123" t="s">
        <v>310</v>
      </c>
      <c r="B312" s="1127" t="s">
        <v>2035</v>
      </c>
      <c r="C312" s="1128">
        <v>0.15</v>
      </c>
      <c r="D312" s="1128">
        <v>0.15</v>
      </c>
      <c r="E312" s="1128">
        <v>0.15</v>
      </c>
      <c r="F312" s="1129">
        <v>0.1</v>
      </c>
    </row>
    <row r="313" spans="1:6">
      <c r="A313" s="1123" t="s">
        <v>310</v>
      </c>
      <c r="B313" s="1127" t="s">
        <v>2042</v>
      </c>
      <c r="C313" s="1128">
        <v>0.15</v>
      </c>
      <c r="D313" s="1128">
        <v>0.15</v>
      </c>
      <c r="E313" s="1128">
        <v>0.15</v>
      </c>
      <c r="F313" s="1129">
        <v>0.15</v>
      </c>
    </row>
    <row r="314" spans="1:6" ht="24">
      <c r="A314" s="1123" t="s">
        <v>310</v>
      </c>
      <c r="B314" s="1127" t="s">
        <v>2049</v>
      </c>
      <c r="C314" s="1137"/>
      <c r="D314" s="1137"/>
      <c r="E314" s="1137"/>
      <c r="F314" s="1129">
        <v>0.05</v>
      </c>
    </row>
    <row r="315" spans="1:6" ht="24">
      <c r="A315" s="1123" t="s">
        <v>310</v>
      </c>
      <c r="B315" s="1127" t="s">
        <v>2056</v>
      </c>
      <c r="C315" s="1137"/>
      <c r="D315" s="1137"/>
      <c r="E315" s="1137"/>
      <c r="F315" s="1129">
        <v>0.05</v>
      </c>
    </row>
    <row r="316" spans="1:6" ht="24">
      <c r="A316" s="1131" t="s">
        <v>310</v>
      </c>
      <c r="B316" s="1138" t="s">
        <v>2063</v>
      </c>
      <c r="C316" s="1134"/>
      <c r="D316" s="1134"/>
      <c r="E316" s="1134"/>
      <c r="F316" s="1139">
        <v>0.05</v>
      </c>
    </row>
    <row r="317" spans="1:6">
      <c r="A317" s="1123" t="s">
        <v>313</v>
      </c>
      <c r="B317" s="1124" t="s">
        <v>1818</v>
      </c>
      <c r="C317" s="1125">
        <v>0.15</v>
      </c>
      <c r="D317" s="1125">
        <v>0.15</v>
      </c>
      <c r="E317" s="1125">
        <v>0.15</v>
      </c>
      <c r="F317" s="1126">
        <v>0.15</v>
      </c>
    </row>
    <row r="318" spans="1:6">
      <c r="A318" s="1123" t="s">
        <v>313</v>
      </c>
      <c r="B318" s="1127" t="s">
        <v>1831</v>
      </c>
      <c r="C318" s="1128">
        <v>0.107</v>
      </c>
      <c r="D318" s="1128">
        <v>0.11</v>
      </c>
      <c r="E318" s="1128">
        <v>0.112</v>
      </c>
      <c r="F318" s="1136"/>
    </row>
    <row r="319" spans="1:6">
      <c r="A319" s="1123" t="s">
        <v>313</v>
      </c>
      <c r="B319" s="1127" t="s">
        <v>1844</v>
      </c>
      <c r="C319" s="1128">
        <v>0.15</v>
      </c>
      <c r="D319" s="1128">
        <v>0.15</v>
      </c>
      <c r="E319" s="1128">
        <v>0.15</v>
      </c>
      <c r="F319" s="1129">
        <v>0.15</v>
      </c>
    </row>
    <row r="320" spans="1:6">
      <c r="A320" s="1123" t="s">
        <v>313</v>
      </c>
      <c r="B320" s="1127" t="s">
        <v>1856</v>
      </c>
      <c r="C320" s="1128">
        <v>0.15</v>
      </c>
      <c r="D320" s="1128">
        <v>0.15</v>
      </c>
      <c r="E320" s="1128">
        <v>0.15</v>
      </c>
      <c r="F320" s="1136"/>
    </row>
    <row r="321" spans="1:6">
      <c r="A321" s="1123" t="s">
        <v>313</v>
      </c>
      <c r="B321" s="1127" t="s">
        <v>1868</v>
      </c>
      <c r="C321" s="1128">
        <v>0.15</v>
      </c>
      <c r="D321" s="1128">
        <v>0.15</v>
      </c>
      <c r="E321" s="1128">
        <v>0.15</v>
      </c>
      <c r="F321" s="1136"/>
    </row>
    <row r="322" spans="1:6">
      <c r="A322" s="1123" t="s">
        <v>313</v>
      </c>
      <c r="B322" s="1127" t="s">
        <v>1879</v>
      </c>
      <c r="C322" s="1128">
        <v>0.15</v>
      </c>
      <c r="D322" s="1128">
        <v>0.15</v>
      </c>
      <c r="E322" s="1128">
        <v>0.15</v>
      </c>
      <c r="F322" s="1129">
        <v>0.15</v>
      </c>
    </row>
    <row r="323" spans="1:6">
      <c r="A323" s="1123" t="s">
        <v>313</v>
      </c>
      <c r="B323" s="1127" t="s">
        <v>1890</v>
      </c>
      <c r="C323" s="1128">
        <v>0.15</v>
      </c>
      <c r="D323" s="1128">
        <v>0.15</v>
      </c>
      <c r="E323" s="1128">
        <v>0.15</v>
      </c>
      <c r="F323" s="1136"/>
    </row>
    <row r="324" spans="1:6">
      <c r="A324" s="1123" t="s">
        <v>313</v>
      </c>
      <c r="B324" s="1127" t="s">
        <v>1901</v>
      </c>
      <c r="C324" s="1128">
        <v>0.15</v>
      </c>
      <c r="D324" s="1128">
        <v>0.15</v>
      </c>
      <c r="E324" s="1128">
        <v>0.15</v>
      </c>
      <c r="F324" s="1136"/>
    </row>
    <row r="325" spans="1:6">
      <c r="A325" s="1123" t="s">
        <v>313</v>
      </c>
      <c r="B325" s="1127" t="s">
        <v>1911</v>
      </c>
      <c r="C325" s="1128">
        <v>0.15</v>
      </c>
      <c r="D325" s="1128">
        <v>0.15</v>
      </c>
      <c r="E325" s="1128">
        <v>0.15</v>
      </c>
      <c r="F325" s="1129">
        <v>0.14699999999999999</v>
      </c>
    </row>
    <row r="326" spans="1:6">
      <c r="A326" s="1123" t="s">
        <v>313</v>
      </c>
      <c r="B326" s="1127" t="s">
        <v>1921</v>
      </c>
      <c r="C326" s="1128">
        <v>0.15</v>
      </c>
      <c r="D326" s="1128">
        <v>0.15</v>
      </c>
      <c r="E326" s="1128">
        <v>0.15</v>
      </c>
      <c r="F326" s="1136"/>
    </row>
    <row r="327" spans="1:6">
      <c r="A327" s="1123" t="s">
        <v>313</v>
      </c>
      <c r="B327" s="1127" t="s">
        <v>1931</v>
      </c>
      <c r="C327" s="1128">
        <v>0.15</v>
      </c>
      <c r="D327" s="1128">
        <v>0.15</v>
      </c>
      <c r="E327" s="1128">
        <v>0.15</v>
      </c>
      <c r="F327" s="1129">
        <v>0.15</v>
      </c>
    </row>
    <row r="328" spans="1:6">
      <c r="A328" s="1123" t="s">
        <v>313</v>
      </c>
      <c r="B328" s="1127" t="s">
        <v>1941</v>
      </c>
      <c r="C328" s="1128">
        <v>0.15</v>
      </c>
      <c r="D328" s="1128">
        <v>0.15</v>
      </c>
      <c r="E328" s="1128">
        <v>0.15</v>
      </c>
      <c r="F328" s="1129">
        <v>0.14099999999999999</v>
      </c>
    </row>
    <row r="329" spans="1:6">
      <c r="A329" s="1123" t="s">
        <v>313</v>
      </c>
      <c r="B329" s="1127" t="s">
        <v>1951</v>
      </c>
      <c r="C329" s="1128">
        <v>0.15</v>
      </c>
      <c r="D329" s="1128">
        <v>0.15</v>
      </c>
      <c r="E329" s="1128">
        <v>0.15</v>
      </c>
      <c r="F329" s="1129">
        <v>0.15</v>
      </c>
    </row>
    <row r="330" spans="1:6">
      <c r="A330" s="1123" t="s">
        <v>313</v>
      </c>
      <c r="B330" s="1127" t="s">
        <v>1961</v>
      </c>
      <c r="C330" s="1128">
        <v>0.15</v>
      </c>
      <c r="D330" s="1128">
        <v>0.15</v>
      </c>
      <c r="E330" s="1128">
        <v>0.15</v>
      </c>
      <c r="F330" s="1136"/>
    </row>
    <row r="331" spans="1:6">
      <c r="A331" s="1123" t="s">
        <v>313</v>
      </c>
      <c r="B331" s="1127" t="s">
        <v>1971</v>
      </c>
      <c r="C331" s="1128">
        <v>0.15</v>
      </c>
      <c r="D331" s="1128">
        <v>0.15</v>
      </c>
      <c r="E331" s="1128">
        <v>0.15</v>
      </c>
      <c r="F331" s="1129">
        <v>0.15</v>
      </c>
    </row>
    <row r="332" spans="1:6">
      <c r="A332" s="1123" t="s">
        <v>313</v>
      </c>
      <c r="B332" s="1127" t="s">
        <v>1981</v>
      </c>
      <c r="C332" s="1128">
        <v>0.15</v>
      </c>
      <c r="D332" s="1128">
        <v>0.15</v>
      </c>
      <c r="E332" s="1128">
        <v>0.15</v>
      </c>
      <c r="F332" s="1129">
        <v>0.15</v>
      </c>
    </row>
    <row r="333" spans="1:6">
      <c r="A333" s="1123" t="s">
        <v>313</v>
      </c>
      <c r="B333" s="1127" t="s">
        <v>1991</v>
      </c>
      <c r="C333" s="1128">
        <v>0.15</v>
      </c>
      <c r="D333" s="1128">
        <v>0.15</v>
      </c>
      <c r="E333" s="1128">
        <v>0.15</v>
      </c>
      <c r="F333" s="1129">
        <v>0.14099999999999999</v>
      </c>
    </row>
    <row r="334" spans="1:6">
      <c r="A334" s="1123" t="s">
        <v>313</v>
      </c>
      <c r="B334" s="1127" t="s">
        <v>2001</v>
      </c>
      <c r="C334" s="1128">
        <v>0.15</v>
      </c>
      <c r="D334" s="1128">
        <v>0.15</v>
      </c>
      <c r="E334" s="1128">
        <v>0.15</v>
      </c>
      <c r="F334" s="1129">
        <v>0.15</v>
      </c>
    </row>
    <row r="335" spans="1:6">
      <c r="A335" s="1123" t="s">
        <v>313</v>
      </c>
      <c r="B335" s="1127" t="s">
        <v>2011</v>
      </c>
      <c r="C335" s="1128">
        <v>0.15</v>
      </c>
      <c r="D335" s="1128">
        <v>0.15</v>
      </c>
      <c r="E335" s="1128">
        <v>0.15</v>
      </c>
      <c r="F335" s="1136"/>
    </row>
    <row r="336" spans="1:6">
      <c r="A336" s="1123" t="s">
        <v>313</v>
      </c>
      <c r="B336" s="1127" t="s">
        <v>2020</v>
      </c>
      <c r="C336" s="1128">
        <v>0.15</v>
      </c>
      <c r="D336" s="1128">
        <v>0.15</v>
      </c>
      <c r="E336" s="1128">
        <v>0.15</v>
      </c>
      <c r="F336" s="1129">
        <v>0.11799999999999999</v>
      </c>
    </row>
    <row r="337" spans="1:6">
      <c r="A337" s="1131" t="s">
        <v>313</v>
      </c>
      <c r="B337" s="1138" t="s">
        <v>2028</v>
      </c>
      <c r="C337" s="1134"/>
      <c r="D337" s="1134"/>
      <c r="E337" s="1134"/>
      <c r="F337" s="1139">
        <v>0.14299999999999999</v>
      </c>
    </row>
    <row r="338" spans="1:6">
      <c r="A338" s="1123" t="s">
        <v>316</v>
      </c>
      <c r="B338" s="1124" t="s">
        <v>1819</v>
      </c>
      <c r="C338" s="1125">
        <v>0.15</v>
      </c>
      <c r="D338" s="1125">
        <v>0.15</v>
      </c>
      <c r="E338" s="1125">
        <v>0.15</v>
      </c>
      <c r="F338" s="1147"/>
    </row>
    <row r="339" spans="1:6">
      <c r="A339" s="1123" t="s">
        <v>316</v>
      </c>
      <c r="B339" s="1127" t="s">
        <v>1832</v>
      </c>
      <c r="C339" s="1128">
        <v>0.15</v>
      </c>
      <c r="D339" s="1128">
        <v>0.15</v>
      </c>
      <c r="E339" s="1128">
        <v>0.15</v>
      </c>
      <c r="F339" s="1136"/>
    </row>
    <row r="340" spans="1:6">
      <c r="A340" s="1123" t="s">
        <v>316</v>
      </c>
      <c r="B340" s="1127" t="s">
        <v>1845</v>
      </c>
      <c r="C340" s="1128">
        <v>0.15</v>
      </c>
      <c r="D340" s="1128">
        <v>0.15</v>
      </c>
      <c r="E340" s="1128">
        <v>0.15</v>
      </c>
      <c r="F340" s="1136"/>
    </row>
    <row r="341" spans="1:6">
      <c r="A341" s="1123" t="s">
        <v>316</v>
      </c>
      <c r="B341" s="1127" t="s">
        <v>1857</v>
      </c>
      <c r="C341" s="1128">
        <v>0.15</v>
      </c>
      <c r="D341" s="1128">
        <v>0.15</v>
      </c>
      <c r="E341" s="1128">
        <v>0.15</v>
      </c>
      <c r="F341" s="1129">
        <v>0.15</v>
      </c>
    </row>
    <row r="342" spans="1:6">
      <c r="A342" s="1123" t="s">
        <v>316</v>
      </c>
      <c r="B342" s="1127" t="s">
        <v>1869</v>
      </c>
      <c r="C342" s="1128">
        <v>0.15</v>
      </c>
      <c r="D342" s="1128">
        <v>0.15</v>
      </c>
      <c r="E342" s="1128">
        <v>0.15</v>
      </c>
      <c r="F342" s="1129">
        <v>0.15</v>
      </c>
    </row>
    <row r="343" spans="1:6">
      <c r="A343" s="1123" t="s">
        <v>316</v>
      </c>
      <c r="B343" s="1127" t="s">
        <v>1880</v>
      </c>
      <c r="C343" s="1128">
        <v>0.15</v>
      </c>
      <c r="D343" s="1128">
        <v>0.15</v>
      </c>
      <c r="E343" s="1128">
        <v>0.15</v>
      </c>
      <c r="F343" s="1129">
        <v>0.15</v>
      </c>
    </row>
    <row r="344" spans="1:6">
      <c r="A344" s="1131" t="s">
        <v>316</v>
      </c>
      <c r="B344" s="1138" t="s">
        <v>1891</v>
      </c>
      <c r="C344" s="1133">
        <v>0.15</v>
      </c>
      <c r="D344" s="1133">
        <v>0.15</v>
      </c>
      <c r="E344" s="1133">
        <v>0.15</v>
      </c>
      <c r="F344" s="1139">
        <v>0.15</v>
      </c>
    </row>
  </sheetData>
  <sheetProtection password="C66D" sheet="1" objects="1" scenarios="1"/>
  <mergeCells count="1">
    <mergeCell ref="A1:B1"/>
  </mergeCells>
  <phoneticPr fontId="23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07" t="s">
        <v>326</v>
      </c>
      <c r="B1" s="1108"/>
      <c r="C1" s="1108"/>
      <c r="D1" s="1108"/>
      <c r="E1" s="1108"/>
      <c r="F1" s="1108"/>
    </row>
    <row r="2" spans="1:6" ht="15.6">
      <c r="A2" s="1109" t="s">
        <v>1115</v>
      </c>
      <c r="B2" s="1110" t="e">
        <f ca="1">SUMIF(B7:B14,"&lt;&gt;#ref!",B7:B14)</f>
        <v>#DIV/0!</v>
      </c>
      <c r="C2" s="1109" t="s">
        <v>1043</v>
      </c>
      <c r="D2" s="1108"/>
      <c r="E2" s="1108"/>
      <c r="F2" s="1108"/>
    </row>
    <row r="3" spans="1:6" ht="15.6">
      <c r="A3" s="1109" t="s">
        <v>916</v>
      </c>
      <c r="B3" s="1110" t="e">
        <f ca="1">ROUND(B2*10000/E3,0)</f>
        <v>#DIV/0!</v>
      </c>
      <c r="C3" s="1109" t="s">
        <v>1117</v>
      </c>
      <c r="D3" s="1109" t="s">
        <v>2156</v>
      </c>
      <c r="E3" s="1110">
        <f ca="1">SUMIF(E7:E14,"&lt;&gt;#ref!",E7:E14)</f>
        <v>0</v>
      </c>
      <c r="F3" s="1108"/>
    </row>
    <row r="4" spans="1:6" ht="15.6">
      <c r="A4" s="1109" t="s">
        <v>1123</v>
      </c>
      <c r="B4" s="1110" t="e">
        <f ca="1">ROUND(B2*10000/E4,0)</f>
        <v>#DIV/0!</v>
      </c>
      <c r="C4" s="1109" t="s">
        <v>1117</v>
      </c>
      <c r="D4" s="1109" t="s">
        <v>2157</v>
      </c>
      <c r="E4" s="1110">
        <f ca="1">SUMIF(F7:F14,"&lt;&gt;#ref!",F7:F14)</f>
        <v>0</v>
      </c>
      <c r="F4" s="1108"/>
    </row>
    <row r="5" spans="1:6" ht="15.6">
      <c r="A5" s="1111"/>
      <c r="B5" s="1112"/>
      <c r="C5" s="1112"/>
      <c r="D5" s="1112"/>
      <c r="E5" s="1112"/>
      <c r="F5" s="1108"/>
    </row>
    <row r="6" spans="1:6" ht="31.2">
      <c r="A6" s="1113" t="s">
        <v>2158</v>
      </c>
      <c r="B6" s="1109" t="s">
        <v>2159</v>
      </c>
      <c r="C6" s="1110"/>
      <c r="D6" s="1112"/>
      <c r="E6" s="1109" t="s">
        <v>391</v>
      </c>
      <c r="F6" s="1109" t="s">
        <v>394</v>
      </c>
    </row>
    <row r="7" spans="1:6" ht="15.6">
      <c r="A7" s="1114" t="s">
        <v>173</v>
      </c>
      <c r="B7" s="1115" t="e">
        <f ca="1">SUMIF(INDIRECT("'"&amp;A7&amp;"'"&amp;"!A:A"),"总价",INDIRECT("'"&amp;A7&amp;"'"&amp;"!B:B"))</f>
        <v>#DIV/0!</v>
      </c>
      <c r="C7" s="1109" t="s">
        <v>1043</v>
      </c>
      <c r="D7" s="1112"/>
      <c r="E7" s="1116">
        <f ca="1">SUMIF(INDIRECT("'"&amp;A7&amp;"'"&amp;"!C:C"),"建筑面积",INDIRECT("'"&amp;A7&amp;"'"&amp;"!D:D"))</f>
        <v>0</v>
      </c>
      <c r="F7" s="1116">
        <f ca="1">SUMIF(INDIRECT("'"&amp;A7&amp;"'"&amp;"!E:E"),"土地面积",INDIRECT("'"&amp;A7&amp;"'"&amp;"!F:F"))</f>
        <v>0</v>
      </c>
    </row>
    <row r="8" spans="1:6" ht="15.6">
      <c r="A8" s="1114"/>
      <c r="B8" s="1115" t="e">
        <f t="shared" ref="B8:B14" ca="1" si="0">SUMIF(INDIRECT("'"&amp;A8&amp;"'"&amp;"!A:A"),"总价",INDIRECT("'"&amp;A8&amp;"'"&amp;"!B:B"))</f>
        <v>#REF!</v>
      </c>
      <c r="C8" s="1109" t="s">
        <v>1043</v>
      </c>
      <c r="D8" s="1112"/>
      <c r="E8" s="1116" t="e">
        <f t="shared" ref="E8:E14" ca="1" si="1">SUMIF(INDIRECT("'"&amp;A8&amp;"'"&amp;"!C:C"),"建筑面积",INDIRECT("'"&amp;A8&amp;"'"&amp;"!D:D"))</f>
        <v>#REF!</v>
      </c>
      <c r="F8" s="1116" t="e">
        <f t="shared" ref="F8:F14" ca="1" si="2">SUMIF(INDIRECT("'"&amp;A8&amp;"'"&amp;"!E:E"),"土地面积",INDIRECT("'"&amp;A8&amp;"'"&amp;"!F:F"))</f>
        <v>#REF!</v>
      </c>
    </row>
    <row r="9" spans="1:6" ht="15.6">
      <c r="A9" s="1114"/>
      <c r="B9" s="1115" t="e">
        <f t="shared" ca="1" si="0"/>
        <v>#REF!</v>
      </c>
      <c r="C9" s="1109" t="s">
        <v>1043</v>
      </c>
      <c r="D9" s="1112"/>
      <c r="E9" s="1116" t="e">
        <f t="shared" ca="1" si="1"/>
        <v>#REF!</v>
      </c>
      <c r="F9" s="1116" t="e">
        <f t="shared" ca="1" si="2"/>
        <v>#REF!</v>
      </c>
    </row>
    <row r="10" spans="1:6" ht="15.6">
      <c r="A10" s="1114"/>
      <c r="B10" s="1115" t="e">
        <f t="shared" ca="1" si="0"/>
        <v>#REF!</v>
      </c>
      <c r="C10" s="1109" t="s">
        <v>1043</v>
      </c>
      <c r="D10" s="1112"/>
      <c r="E10" s="1116" t="e">
        <f t="shared" ca="1" si="1"/>
        <v>#REF!</v>
      </c>
      <c r="F10" s="1116" t="e">
        <f t="shared" ca="1" si="2"/>
        <v>#REF!</v>
      </c>
    </row>
    <row r="11" spans="1:6" ht="15.6">
      <c r="A11" s="1114"/>
      <c r="B11" s="1115" t="e">
        <f t="shared" ca="1" si="0"/>
        <v>#REF!</v>
      </c>
      <c r="C11" s="1109" t="s">
        <v>1043</v>
      </c>
      <c r="D11" s="1112"/>
      <c r="E11" s="1116" t="e">
        <f t="shared" ca="1" si="1"/>
        <v>#REF!</v>
      </c>
      <c r="F11" s="1116" t="e">
        <f t="shared" ca="1" si="2"/>
        <v>#REF!</v>
      </c>
    </row>
    <row r="12" spans="1:6" ht="15.6">
      <c r="A12" s="1114"/>
      <c r="B12" s="1115" t="e">
        <f t="shared" ca="1" si="0"/>
        <v>#REF!</v>
      </c>
      <c r="C12" s="1109" t="s">
        <v>1043</v>
      </c>
      <c r="D12" s="1112"/>
      <c r="E12" s="1116" t="e">
        <f t="shared" ca="1" si="1"/>
        <v>#REF!</v>
      </c>
      <c r="F12" s="1116" t="e">
        <f t="shared" ca="1" si="2"/>
        <v>#REF!</v>
      </c>
    </row>
    <row r="13" spans="1:6" ht="15.6">
      <c r="A13" s="1114"/>
      <c r="B13" s="1115" t="e">
        <f t="shared" ca="1" si="0"/>
        <v>#REF!</v>
      </c>
      <c r="C13" s="1109" t="s">
        <v>1043</v>
      </c>
      <c r="D13" s="1112"/>
      <c r="E13" s="1116" t="e">
        <f t="shared" ca="1" si="1"/>
        <v>#REF!</v>
      </c>
      <c r="F13" s="1116" t="e">
        <f t="shared" ca="1" si="2"/>
        <v>#REF!</v>
      </c>
    </row>
    <row r="14" spans="1:6" ht="15.6">
      <c r="A14" s="1117"/>
      <c r="B14" s="1115" t="e">
        <f t="shared" ca="1" si="0"/>
        <v>#REF!</v>
      </c>
      <c r="C14" s="1109" t="s">
        <v>1043</v>
      </c>
      <c r="D14" s="1112"/>
      <c r="E14" s="1116" t="e">
        <f t="shared" ca="1" si="1"/>
        <v>#REF!</v>
      </c>
      <c r="F14" s="11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G30" sqref="G30:G33"/>
    </sheetView>
  </sheetViews>
  <sheetFormatPr defaultColWidth="9" defaultRowHeight="15"/>
  <cols>
    <col min="1" max="1" width="9" style="845" customWidth="1"/>
    <col min="2" max="2" width="20.6640625" style="846" customWidth="1"/>
    <col min="3" max="3" width="11.88671875" style="846" customWidth="1"/>
    <col min="4" max="4" width="40.44140625" style="847" customWidth="1"/>
    <col min="5" max="5" width="15.77734375" style="847" customWidth="1"/>
    <col min="6" max="6" width="10.6640625" style="847" customWidth="1"/>
    <col min="7" max="7" width="4.88671875" style="847" customWidth="1"/>
    <col min="8" max="8" width="8.44140625" style="847" customWidth="1"/>
    <col min="9" max="9" width="21.21875" style="847" customWidth="1"/>
    <col min="10" max="10" width="12.21875" style="847" customWidth="1"/>
    <col min="11" max="11" width="40.109375" style="848" customWidth="1"/>
    <col min="12" max="12" width="18.33203125" style="847" customWidth="1"/>
    <col min="13" max="13" width="13" style="847" customWidth="1"/>
    <col min="14" max="14" width="9.44140625" style="609" customWidth="1"/>
    <col min="15" max="15" width="8.33203125" style="609" customWidth="1"/>
    <col min="16" max="16" width="30.21875" style="609" customWidth="1"/>
    <col min="17" max="17" width="13.77734375" style="609" customWidth="1"/>
    <col min="18" max="18" width="22.21875" style="609" customWidth="1"/>
    <col min="19" max="19" width="1.44140625" style="609" customWidth="1"/>
    <col min="20" max="25" width="9" style="609"/>
    <col min="26" max="16384" width="9" style="847"/>
  </cols>
  <sheetData>
    <row r="1" spans="1:25" s="843" customFormat="1" ht="21.6">
      <c r="A1" s="849" t="s">
        <v>2160</v>
      </c>
      <c r="B1" s="850"/>
      <c r="C1" s="851"/>
      <c r="D1" s="852"/>
      <c r="E1" s="853" t="s">
        <v>590</v>
      </c>
      <c r="F1" s="854">
        <f ca="1">J54</f>
        <v>-3</v>
      </c>
      <c r="G1" s="855">
        <f>MATCH(C1,'数据-取费表'!A6:A16,0)+5</f>
        <v>10</v>
      </c>
      <c r="H1" s="856"/>
      <c r="I1" s="1000"/>
      <c r="J1" s="1000"/>
      <c r="K1" s="1001"/>
      <c r="L1" s="1000"/>
      <c r="M1" s="1000"/>
      <c r="N1" s="1002"/>
      <c r="O1" s="1002"/>
      <c r="P1" s="1002"/>
      <c r="Q1" s="1002"/>
      <c r="R1" s="1002"/>
      <c r="S1" s="1002"/>
      <c r="T1" s="1002"/>
      <c r="U1" s="1002"/>
      <c r="V1" s="1002"/>
      <c r="W1" s="1002"/>
      <c r="X1" s="1002"/>
      <c r="Y1" s="1002"/>
    </row>
    <row r="2" spans="1:25" ht="18" customHeight="1">
      <c r="A2" s="857" t="s">
        <v>915</v>
      </c>
      <c r="B2" s="119">
        <f ca="1">IF(ISERROR(C45+J31),0,C45+J31)</f>
        <v>0</v>
      </c>
      <c r="C2" s="858"/>
      <c r="D2" s="859"/>
      <c r="E2" s="860"/>
      <c r="F2" s="860"/>
      <c r="G2" s="861"/>
      <c r="H2" s="862"/>
      <c r="I2" s="1003"/>
      <c r="J2" s="1003"/>
      <c r="K2" s="1004"/>
      <c r="L2" s="1003"/>
      <c r="M2" s="1003"/>
    </row>
    <row r="3" spans="1:25" ht="18" customHeight="1">
      <c r="A3" s="863" t="s">
        <v>916</v>
      </c>
      <c r="B3" s="864">
        <f ca="1">ROUND(B2*10000/'数据-汇总表'!E3,0)</f>
        <v>0</v>
      </c>
      <c r="C3" s="858"/>
      <c r="D3" s="859"/>
      <c r="E3" s="860"/>
      <c r="F3" s="860"/>
      <c r="G3" s="861"/>
      <c r="H3" s="865" t="s">
        <v>1328</v>
      </c>
      <c r="I3" s="1003"/>
      <c r="J3" s="1003"/>
      <c r="K3" s="1004"/>
      <c r="L3" s="1003"/>
      <c r="M3" s="1003"/>
    </row>
    <row r="4" spans="1:25" ht="18" customHeight="1">
      <c r="A4" s="866" t="s">
        <v>1011</v>
      </c>
      <c r="B4" s="867">
        <f ca="1">ROUND(B2*10000/'数据-汇总表'!D3,0)</f>
        <v>0</v>
      </c>
      <c r="C4" s="462"/>
      <c r="D4" s="859"/>
      <c r="E4" s="860"/>
      <c r="F4" s="860"/>
      <c r="G4" s="861"/>
      <c r="H4" s="865"/>
      <c r="I4" s="1003"/>
      <c r="J4" s="1003"/>
      <c r="K4" s="1004"/>
      <c r="L4" s="1003"/>
      <c r="M4" s="1003"/>
    </row>
    <row r="5" spans="1:25" ht="18" customHeight="1">
      <c r="A5" s="868"/>
      <c r="B5" s="625">
        <f ca="1">ROUND(B2/('数据-汇总表'!D3/666.67),0)</f>
        <v>0</v>
      </c>
      <c r="C5" s="626" t="s">
        <v>918</v>
      </c>
      <c r="D5" s="859"/>
      <c r="E5" s="860"/>
      <c r="F5" s="860"/>
      <c r="G5" s="861"/>
      <c r="H5" s="865"/>
      <c r="I5" s="1003"/>
      <c r="J5" s="1003"/>
      <c r="K5" s="1004"/>
      <c r="L5" s="1003"/>
      <c r="M5" s="1003"/>
    </row>
    <row r="6" spans="1:25" ht="18" customHeight="1">
      <c r="A6" s="869" t="s">
        <v>1329</v>
      </c>
      <c r="B6" s="870" t="s">
        <v>1330</v>
      </c>
      <c r="C6" s="870" t="s">
        <v>1331</v>
      </c>
      <c r="D6" s="870" t="s">
        <v>1332</v>
      </c>
      <c r="E6" s="871" t="s">
        <v>1333</v>
      </c>
      <c r="F6" s="872"/>
      <c r="G6" s="873"/>
      <c r="H6" s="869" t="s">
        <v>1329</v>
      </c>
      <c r="I6" s="870" t="s">
        <v>1330</v>
      </c>
      <c r="J6" s="870" t="s">
        <v>1331</v>
      </c>
      <c r="K6" s="870" t="s">
        <v>1332</v>
      </c>
      <c r="L6" s="871" t="s">
        <v>1333</v>
      </c>
      <c r="M6" s="872"/>
    </row>
    <row r="7" spans="1:25" ht="18" customHeight="1">
      <c r="A7" s="874">
        <v>1</v>
      </c>
      <c r="B7" s="875" t="s">
        <v>1334</v>
      </c>
      <c r="C7" s="121">
        <f ca="1">C8+C12+C14</f>
        <v>0</v>
      </c>
      <c r="D7" s="876" t="s">
        <v>1335</v>
      </c>
      <c r="E7" s="877"/>
      <c r="F7" s="878"/>
      <c r="G7" s="873"/>
      <c r="H7" s="874">
        <v>1</v>
      </c>
      <c r="I7" s="875" t="s">
        <v>1334</v>
      </c>
      <c r="J7" s="121">
        <f ca="1">J8+J12+J14</f>
        <v>0</v>
      </c>
      <c r="K7" s="876" t="s">
        <v>1335</v>
      </c>
      <c r="L7" s="877"/>
      <c r="M7" s="878"/>
    </row>
    <row r="8" spans="1:25" ht="18" customHeight="1">
      <c r="A8" s="879" t="s">
        <v>851</v>
      </c>
      <c r="B8" s="3426" t="s">
        <v>1336</v>
      </c>
      <c r="C8" s="880">
        <f ca="1">ROUND(F8*F10*F9*(1-F11)/10000,0)</f>
        <v>0</v>
      </c>
      <c r="D8" s="881" t="s">
        <v>2161</v>
      </c>
      <c r="E8" s="882" t="s">
        <v>1338</v>
      </c>
      <c r="F8" s="883">
        <f ca="1">INDIRECT("'数据-取费表'!u"&amp;$G$1)</f>
        <v>0</v>
      </c>
      <c r="G8" s="873"/>
      <c r="H8" s="884" t="s">
        <v>851</v>
      </c>
      <c r="I8" s="3426" t="s">
        <v>1336</v>
      </c>
      <c r="J8" s="1005">
        <f ca="1">ROUND(M8*M10*M9*(1-M11)/10000,0)</f>
        <v>0</v>
      </c>
      <c r="K8" s="954" t="s">
        <v>2161</v>
      </c>
      <c r="L8" s="918" t="s">
        <v>1338</v>
      </c>
      <c r="M8" s="883">
        <f ca="1">INDIRECT("'数据-取费表'!z"&amp;$G$1)</f>
        <v>0</v>
      </c>
    </row>
    <row r="9" spans="1:25" ht="18" customHeight="1">
      <c r="A9" s="885"/>
      <c r="B9" s="3427"/>
      <c r="C9" s="886"/>
      <c r="D9" s="887"/>
      <c r="E9" s="882" t="s">
        <v>1340</v>
      </c>
      <c r="F9" s="883">
        <f ca="1">IF(INDIRECT("'数据-取费表'!ah"&amp;$G$1)="",INDIRECT("'数据-取费表'!k"&amp;$G$1),INDIRECT("'数据-取费表'!ah"&amp;$G$1))</f>
        <v>0</v>
      </c>
      <c r="G9" s="873"/>
      <c r="H9" s="888"/>
      <c r="I9" s="3427"/>
      <c r="J9" s="1006"/>
      <c r="K9" s="901"/>
      <c r="L9" s="918" t="s">
        <v>1340</v>
      </c>
      <c r="M9" s="883">
        <f ca="1">F9</f>
        <v>0</v>
      </c>
    </row>
    <row r="10" spans="1:25" ht="18" customHeight="1">
      <c r="A10" s="889"/>
      <c r="B10" s="3428"/>
      <c r="C10" s="886"/>
      <c r="D10" s="887"/>
      <c r="E10" s="882" t="s">
        <v>1341</v>
      </c>
      <c r="F10" s="883">
        <f ca="1">INDIRECT("'数据-取费表'!ai"&amp;$G$1)</f>
        <v>0</v>
      </c>
      <c r="G10" s="873"/>
      <c r="H10" s="888"/>
      <c r="I10" s="3428"/>
      <c r="J10" s="1006"/>
      <c r="K10" s="901"/>
      <c r="L10" s="918" t="s">
        <v>1341</v>
      </c>
      <c r="M10" s="883">
        <f ca="1">INDIRECT("'数据-取费表'!ai"&amp;$G$1)</f>
        <v>0</v>
      </c>
    </row>
    <row r="11" spans="1:25" ht="18" customHeight="1">
      <c r="A11" s="890"/>
      <c r="B11" s="3429"/>
      <c r="C11" s="886"/>
      <c r="D11" s="887"/>
      <c r="E11" s="882" t="s">
        <v>1342</v>
      </c>
      <c r="F11" s="891">
        <f ca="1">INDIRECT("'数据-取费表'!w"&amp;$G$1)</f>
        <v>0</v>
      </c>
      <c r="G11" s="873"/>
      <c r="H11" s="892"/>
      <c r="I11" s="3428"/>
      <c r="J11" s="1006"/>
      <c r="K11" s="901"/>
      <c r="L11" s="915" t="s">
        <v>1342</v>
      </c>
      <c r="M11" s="902">
        <f ca="1">INDIRECT("'数据-取费表'!ab"&amp;$G$1)</f>
        <v>0</v>
      </c>
    </row>
    <row r="12" spans="1:25" ht="18" customHeight="1">
      <c r="A12" s="879" t="s">
        <v>853</v>
      </c>
      <c r="B12" s="893" t="s">
        <v>1343</v>
      </c>
      <c r="C12" s="120">
        <f ca="1">ROUND(IF(F12="押一",C8/12*F13,IF(F12="押二",C8/12*2*F13,IF(F12="押三",C8/12*3*F13,C13*F13))),0)</f>
        <v>0</v>
      </c>
      <c r="D12" s="894" t="s">
        <v>1344</v>
      </c>
      <c r="E12" s="895" t="s">
        <v>1345</v>
      </c>
      <c r="F12" s="896"/>
      <c r="G12" s="873"/>
      <c r="H12" s="897" t="s">
        <v>853</v>
      </c>
      <c r="I12" s="1007" t="s">
        <v>1343</v>
      </c>
      <c r="J12" s="1005">
        <f ca="1">ROUND(IF(M12="押一",J8/12*M13,IF(M12="押二",J8/12*2*M13,IF(M12="押三",J8/12*3*M13,J13*M13))),0)</f>
        <v>0</v>
      </c>
      <c r="K12" s="894" t="s">
        <v>1344</v>
      </c>
      <c r="L12" s="895" t="s">
        <v>1345</v>
      </c>
      <c r="M12" s="896"/>
    </row>
    <row r="13" spans="1:25" ht="18" customHeight="1">
      <c r="A13" s="898"/>
      <c r="B13" s="899" t="s">
        <v>1347</v>
      </c>
      <c r="C13" s="900"/>
      <c r="D13" s="901"/>
      <c r="E13" s="895" t="s">
        <v>635</v>
      </c>
      <c r="F13" s="902">
        <f ca="1">'数据-取费表'!B39</f>
        <v>1.4999999999999999E-2</v>
      </c>
      <c r="G13" s="873"/>
      <c r="H13" s="903"/>
      <c r="I13" s="899" t="s">
        <v>1347</v>
      </c>
      <c r="J13" s="900"/>
      <c r="K13" s="1008"/>
      <c r="L13" s="895" t="s">
        <v>635</v>
      </c>
      <c r="M13" s="1009">
        <f ca="1">'数据-取费表'!B39</f>
        <v>1.4999999999999999E-2</v>
      </c>
    </row>
    <row r="14" spans="1:25" ht="18" customHeight="1">
      <c r="A14" s="904" t="s">
        <v>1016</v>
      </c>
      <c r="B14" s="905" t="s">
        <v>1348</v>
      </c>
      <c r="C14" s="906"/>
      <c r="D14" s="907"/>
      <c r="E14" s="908"/>
      <c r="F14" s="909"/>
      <c r="G14" s="873"/>
      <c r="H14" s="910" t="s">
        <v>1016</v>
      </c>
      <c r="I14" s="1010" t="s">
        <v>1348</v>
      </c>
      <c r="J14" s="1011"/>
      <c r="K14" s="907"/>
      <c r="L14" s="908"/>
      <c r="M14" s="1012"/>
    </row>
    <row r="15" spans="1:25" ht="18" customHeight="1">
      <c r="A15" s="911" t="s">
        <v>857</v>
      </c>
      <c r="B15" s="912" t="s">
        <v>2162</v>
      </c>
      <c r="C15" s="913">
        <f ca="1">ROUND(C31*F15,0)</f>
        <v>0</v>
      </c>
      <c r="D15" s="914" t="s">
        <v>1352</v>
      </c>
      <c r="E15" s="915" t="s">
        <v>1351</v>
      </c>
      <c r="F15" s="916">
        <f ca="1">INDIRECT("'数据-取费表'!y"&amp;$G$1)</f>
        <v>0</v>
      </c>
      <c r="G15" s="873"/>
      <c r="H15" s="911" t="s">
        <v>857</v>
      </c>
      <c r="I15" s="912" t="s">
        <v>1349</v>
      </c>
      <c r="J15" s="1013">
        <f ca="1">ROUND(J16*J17,0)</f>
        <v>0</v>
      </c>
      <c r="K15" s="944" t="s">
        <v>1352</v>
      </c>
      <c r="L15" s="1014"/>
      <c r="M15" s="1015"/>
    </row>
    <row r="16" spans="1:25" ht="18" customHeight="1">
      <c r="A16" s="917" t="s">
        <v>875</v>
      </c>
      <c r="B16" s="918" t="s">
        <v>1023</v>
      </c>
      <c r="C16" s="919">
        <f ca="1">INDIRECT("'数据-取费表'!m"&amp;$G$1)+INDIRECT("'数据-取费表'!t"&amp;$G$1)</f>
        <v>0</v>
      </c>
      <c r="D16" s="920" t="s">
        <v>1353</v>
      </c>
      <c r="E16" s="921"/>
      <c r="F16" s="922"/>
      <c r="G16" s="873"/>
      <c r="H16" s="917" t="s">
        <v>851</v>
      </c>
      <c r="I16" s="1016" t="s">
        <v>1354</v>
      </c>
      <c r="J16" s="121">
        <f ca="1">C31</f>
        <v>0</v>
      </c>
      <c r="K16" s="1017"/>
      <c r="L16" s="1014"/>
      <c r="M16" s="1015"/>
    </row>
    <row r="17" spans="1:25" s="844" customFormat="1" ht="18" customHeight="1">
      <c r="A17" s="917" t="s">
        <v>1024</v>
      </c>
      <c r="B17" s="918" t="s">
        <v>1025</v>
      </c>
      <c r="C17" s="121">
        <f ca="1">ROUND(C16*F17,0)</f>
        <v>0</v>
      </c>
      <c r="D17" s="923" t="s">
        <v>1355</v>
      </c>
      <c r="E17" s="923" t="s">
        <v>1356</v>
      </c>
      <c r="F17" s="924">
        <f>'数据-取费表'!B33</f>
        <v>0.03</v>
      </c>
      <c r="G17" s="925"/>
      <c r="H17" s="917" t="s">
        <v>853</v>
      </c>
      <c r="I17" s="918" t="s">
        <v>1351</v>
      </c>
      <c r="J17" s="1018">
        <f ca="1">INDIRECT("'数据-取费表'!ad"&amp;$G$1)</f>
        <v>0</v>
      </c>
      <c r="K17" s="1017"/>
      <c r="L17" s="1014"/>
      <c r="M17" s="1015"/>
      <c r="N17" s="1019"/>
      <c r="O17" s="1019"/>
      <c r="P17" s="1019"/>
      <c r="Q17" s="1019"/>
      <c r="R17" s="1019"/>
      <c r="S17" s="1019"/>
      <c r="T17" s="1019"/>
      <c r="U17" s="1019"/>
      <c r="V17" s="1019"/>
      <c r="W17" s="1019"/>
      <c r="X17" s="1019"/>
      <c r="Y17" s="1019"/>
    </row>
    <row r="18" spans="1:25" ht="18" customHeight="1">
      <c r="A18" s="917" t="s">
        <v>1027</v>
      </c>
      <c r="B18" s="918" t="s">
        <v>1028</v>
      </c>
      <c r="C18" s="121">
        <f ca="1">ROUND(INDIRECT("'数据-取费表'!m"&amp;$G$1)*F18,0)</f>
        <v>0</v>
      </c>
      <c r="D18" s="918" t="s">
        <v>1355</v>
      </c>
      <c r="E18" s="918" t="s">
        <v>1356</v>
      </c>
      <c r="F18" s="926">
        <f ca="1">IF(INDIRECT("'数据-取费表'!c"&amp;$G$1)="住宅",'数据-取费表'!B34,0)</f>
        <v>0</v>
      </c>
      <c r="G18" s="873"/>
      <c r="H18" s="927" t="s">
        <v>862</v>
      </c>
      <c r="I18" s="1020" t="s">
        <v>1358</v>
      </c>
      <c r="J18" s="120">
        <f ca="1">ROUND(J19+J24+J25+J26,0)</f>
        <v>0</v>
      </c>
      <c r="K18" s="1017" t="s">
        <v>1359</v>
      </c>
      <c r="L18" s="123"/>
      <c r="M18" s="928"/>
    </row>
    <row r="19" spans="1:25" s="844" customFormat="1" ht="18" customHeight="1">
      <c r="A19" s="917" t="s">
        <v>1030</v>
      </c>
      <c r="B19" s="918" t="s">
        <v>1361</v>
      </c>
      <c r="C19" s="121">
        <f ca="1">ROUND(F19*(INDIRECT("'数据-取费表'!k"&amp;$G$1)+INDIRECT("'数据-取费表'!S"&amp;$G$1))/10000,0)</f>
        <v>0</v>
      </c>
      <c r="D19" s="918" t="s">
        <v>1362</v>
      </c>
      <c r="E19" s="918" t="s">
        <v>1363</v>
      </c>
      <c r="F19" s="928">
        <f>'数据-取费表'!B35</f>
        <v>200</v>
      </c>
      <c r="G19" s="925"/>
      <c r="H19" s="917" t="s">
        <v>851</v>
      </c>
      <c r="I19" s="918" t="s">
        <v>1364</v>
      </c>
      <c r="J19" s="121">
        <f ca="1">ROUND(IF(项目基本情况!B11="自然人",J7*M19,J20+J21+J22),0)</f>
        <v>0</v>
      </c>
      <c r="K19" s="920" t="s">
        <v>1365</v>
      </c>
      <c r="L19" s="948" t="s">
        <v>1366</v>
      </c>
      <c r="M19" s="949" t="str">
        <f ca="1">IF(项目基本情况!B11="企业","",IF(INDIRECT("'数据-取费表'!c"&amp;$G$1)="住宅",5%,IF(M8*M9*M10/12/(1+'数据-取费表'!C42)&gt;20000,12%,7%)))</f>
        <v/>
      </c>
      <c r="N19" s="1019"/>
      <c r="O19" s="1019"/>
      <c r="P19" s="1019"/>
      <c r="Q19" s="1019"/>
      <c r="R19" s="1019"/>
      <c r="S19" s="1019"/>
      <c r="T19" s="1019"/>
      <c r="U19" s="1019"/>
      <c r="V19" s="1019"/>
      <c r="W19" s="1019"/>
      <c r="X19" s="1019"/>
      <c r="Y19" s="1019"/>
    </row>
    <row r="20" spans="1:25" s="844" customFormat="1" ht="18" customHeight="1">
      <c r="A20" s="917" t="s">
        <v>1032</v>
      </c>
      <c r="B20" s="918" t="s">
        <v>1033</v>
      </c>
      <c r="C20" s="121">
        <f ca="1">ROUND(C16*F20,0)</f>
        <v>0</v>
      </c>
      <c r="D20" s="918" t="s">
        <v>1355</v>
      </c>
      <c r="E20" s="918" t="s">
        <v>1356</v>
      </c>
      <c r="F20" s="926">
        <f>'数据-取费表'!B36</f>
        <v>1.4999999999999999E-2</v>
      </c>
      <c r="G20" s="925"/>
      <c r="H20" s="917" t="s">
        <v>875</v>
      </c>
      <c r="I20" s="918" t="s">
        <v>1368</v>
      </c>
      <c r="J20" s="121">
        <f ca="1">ROUND(J7*M20/1.05,1)</f>
        <v>0</v>
      </c>
      <c r="K20" s="948" t="s">
        <v>1369</v>
      </c>
      <c r="L20" s="918" t="s">
        <v>1356</v>
      </c>
      <c r="M20" s="926">
        <f>'数据-取费表'!B41</f>
        <v>5.6000000000000001E-2</v>
      </c>
      <c r="N20" s="1019"/>
      <c r="O20" s="1019"/>
      <c r="P20" s="1019"/>
      <c r="Q20" s="1019"/>
      <c r="R20" s="1019"/>
      <c r="S20" s="1019"/>
      <c r="T20" s="1019"/>
      <c r="U20" s="1019"/>
      <c r="V20" s="1019"/>
      <c r="W20" s="1019"/>
      <c r="X20" s="1019"/>
      <c r="Y20" s="1019"/>
    </row>
    <row r="21" spans="1:25" ht="18" customHeight="1">
      <c r="A21" s="917" t="s">
        <v>851</v>
      </c>
      <c r="B21" s="918" t="s">
        <v>1370</v>
      </c>
      <c r="C21" s="121">
        <f ca="1">SUM(C16:C20)</f>
        <v>0</v>
      </c>
      <c r="D21" s="929" t="s">
        <v>1371</v>
      </c>
      <c r="E21" s="123"/>
      <c r="F21" s="928"/>
      <c r="G21" s="873"/>
      <c r="H21" s="879" t="s">
        <v>1024</v>
      </c>
      <c r="I21" s="918" t="s">
        <v>1372</v>
      </c>
      <c r="J21" s="121">
        <f ca="1">IF(K21="按租金收入计税",ROUND(J7*M21,1),ROUND(C31*F35*0.7,1))</f>
        <v>0</v>
      </c>
      <c r="K21" s="951" t="s">
        <v>1373</v>
      </c>
      <c r="L21" s="918" t="s">
        <v>1356</v>
      </c>
      <c r="M21" s="926">
        <f>IF(K21="按租金收入计税",'数据-取费表'!B51,'数据-取费表'!B50)</f>
        <v>1.2E-2</v>
      </c>
    </row>
    <row r="22" spans="1:25" s="844" customFormat="1" ht="18" customHeight="1">
      <c r="A22" s="917" t="s">
        <v>2163</v>
      </c>
      <c r="B22" s="918" t="s">
        <v>1374</v>
      </c>
      <c r="C22" s="121">
        <f ca="1">ROUND(C21*F22,0)</f>
        <v>0</v>
      </c>
      <c r="D22" s="930" t="s">
        <v>1375</v>
      </c>
      <c r="E22" s="918" t="s">
        <v>1356</v>
      </c>
      <c r="F22" s="926">
        <f>'数据-取费表'!B37</f>
        <v>1.4999999999999999E-2</v>
      </c>
      <c r="G22" s="925"/>
      <c r="H22" s="931" t="s">
        <v>1027</v>
      </c>
      <c r="I22" s="881" t="s">
        <v>1376</v>
      </c>
      <c r="J22" s="955">
        <f ca="1">ROUND(M22*M23/10000,0)</f>
        <v>0</v>
      </c>
      <c r="K22" s="956" t="s">
        <v>1377</v>
      </c>
      <c r="L22" s="918" t="s">
        <v>1378</v>
      </c>
      <c r="M22" s="936">
        <f>'数据-取费表'!B52</f>
        <v>5</v>
      </c>
      <c r="N22" s="1019"/>
      <c r="O22" s="1019"/>
      <c r="P22" s="1019"/>
      <c r="Q22" s="1019"/>
      <c r="R22" s="1019"/>
      <c r="S22" s="1019"/>
      <c r="T22" s="1019"/>
      <c r="U22" s="1019"/>
      <c r="V22" s="1019"/>
      <c r="W22" s="1019"/>
      <c r="X22" s="1019"/>
      <c r="Y22" s="1019"/>
    </row>
    <row r="23" spans="1:25" s="844" customFormat="1" ht="18" customHeight="1">
      <c r="A23" s="917" t="s">
        <v>2164</v>
      </c>
      <c r="B23" s="918" t="s">
        <v>1379</v>
      </c>
      <c r="C23" s="121" t="s">
        <v>138</v>
      </c>
      <c r="D23" s="930" t="s">
        <v>2165</v>
      </c>
      <c r="E23" s="918" t="s">
        <v>1381</v>
      </c>
      <c r="F23" s="926">
        <f>'数据-取费表'!B38</f>
        <v>1.4999999999999999E-2</v>
      </c>
      <c r="G23" s="925"/>
      <c r="H23" s="932"/>
      <c r="I23" s="1021"/>
      <c r="J23" s="959"/>
      <c r="K23" s="960"/>
      <c r="L23" s="918" t="s">
        <v>1382</v>
      </c>
      <c r="M23" s="883">
        <f ca="1">INDIRECT("'数据-取费表'!r"&amp;$G$1)</f>
        <v>0</v>
      </c>
      <c r="N23" s="1019"/>
      <c r="O23" s="1019"/>
      <c r="P23" s="1019"/>
      <c r="Q23" s="1019"/>
      <c r="R23" s="1019"/>
      <c r="S23" s="1019"/>
      <c r="T23" s="1019"/>
      <c r="U23" s="1019"/>
      <c r="V23" s="1019"/>
      <c r="W23" s="1019"/>
      <c r="X23" s="1019"/>
      <c r="Y23" s="1019"/>
    </row>
    <row r="24" spans="1:25" ht="18" customHeight="1">
      <c r="A24" s="917" t="s">
        <v>2166</v>
      </c>
      <c r="B24" s="918" t="s">
        <v>1384</v>
      </c>
      <c r="C24" s="121"/>
      <c r="D24" s="933" t="str">
        <f>IF(F25&lt;=1,"单利计息。","复利计息。")&amp;"建造成本、管理费用、销售费用产生的利息。"</f>
        <v>复利计息。建造成本、管理费用、销售费用产生的利息。</v>
      </c>
      <c r="E24" s="123"/>
      <c r="F24" s="928"/>
      <c r="G24" s="873"/>
      <c r="H24" s="934" t="s">
        <v>853</v>
      </c>
      <c r="I24" s="918" t="s">
        <v>1385</v>
      </c>
      <c r="J24" s="121">
        <f ca="1">ROUND(J16*M24,0)</f>
        <v>0</v>
      </c>
      <c r="K24" s="948" t="s">
        <v>1386</v>
      </c>
      <c r="L24" s="918" t="s">
        <v>1356</v>
      </c>
      <c r="M24" s="961">
        <f ca="1">INDIRECT("'数据-取费表'!Ak"&amp;$G$1)</f>
        <v>0</v>
      </c>
    </row>
    <row r="25" spans="1:25" s="844" customFormat="1" ht="18" customHeight="1">
      <c r="A25" s="917" t="s">
        <v>875</v>
      </c>
      <c r="B25" s="918" t="s">
        <v>1387</v>
      </c>
      <c r="C25" s="121">
        <f ca="1">ROUND(IF('数据-取费表'!B22&lt;=1,(C21+C22)*F26*F25/2,(C21+C22)*(POWER((1+F26),F25/2)-1)),0)</f>
        <v>0</v>
      </c>
      <c r="D25" s="935" t="str">
        <f>IF(F25&lt;=1,"(建造成本+管理费用)×利率×(建设周期÷2)","(建造成本+管理费用)×((1+利率)^(建设周期÷2)-1)")</f>
        <v>(建造成本+管理费用)×((1+利率)^(建设周期÷2)-1)</v>
      </c>
      <c r="E25" s="918" t="s">
        <v>1388</v>
      </c>
      <c r="F25" s="936">
        <f>'数据-取费表'!B20</f>
        <v>3</v>
      </c>
      <c r="G25" s="925"/>
      <c r="H25" s="917" t="s">
        <v>2164</v>
      </c>
      <c r="I25" s="918" t="s">
        <v>1389</v>
      </c>
      <c r="J25" s="121">
        <f ca="1">ROUND(J15*M25,0)</f>
        <v>0</v>
      </c>
      <c r="K25" s="948" t="s">
        <v>1390</v>
      </c>
      <c r="L25" s="918" t="s">
        <v>1356</v>
      </c>
      <c r="M25" s="962">
        <f ca="1">INDIRECT("'数据-取费表'!Al"&amp;$G$1)</f>
        <v>0</v>
      </c>
      <c r="N25" s="1019"/>
      <c r="O25" s="1019"/>
      <c r="P25" s="1019"/>
      <c r="Q25" s="1019"/>
      <c r="R25" s="1019"/>
      <c r="S25" s="1019"/>
      <c r="T25" s="1019"/>
      <c r="U25" s="1019"/>
      <c r="V25" s="1019"/>
      <c r="W25" s="1019"/>
      <c r="X25" s="1019"/>
      <c r="Y25" s="1019"/>
    </row>
    <row r="26" spans="1:25" s="844" customFormat="1" ht="18" customHeight="1">
      <c r="A26" s="917" t="s">
        <v>1024</v>
      </c>
      <c r="B26" s="918" t="s">
        <v>1391</v>
      </c>
      <c r="C26" s="121">
        <f ca="1">ROUND(IF('数据-取费表'!B22&lt;=1,F23*F26*F25/2,F23*(POWER((1+F26),F25/2)-1)),4)</f>
        <v>1.1000000000000001E-3</v>
      </c>
      <c r="D26" s="935" t="str">
        <f>IF(F25&lt;=1,"销售费用×利率×(建设周期÷2)","销售费用×((1+利率)^(建设周期÷2)-1)")</f>
        <v>销售费用×((1+利率)^(建设周期÷2)-1)</v>
      </c>
      <c r="E26" s="918" t="s">
        <v>1392</v>
      </c>
      <c r="F26" s="937">
        <f ca="1">'数据-取费表'!B40</f>
        <v>4.7500000000000001E-2</v>
      </c>
      <c r="G26" s="925"/>
      <c r="H26" s="917" t="s">
        <v>2166</v>
      </c>
      <c r="I26" s="918" t="s">
        <v>1374</v>
      </c>
      <c r="J26" s="121">
        <f ca="1">ROUND(J7*M26,0)</f>
        <v>0</v>
      </c>
      <c r="K26" s="948" t="s">
        <v>1393</v>
      </c>
      <c r="L26" s="918" t="s">
        <v>1356</v>
      </c>
      <c r="M26" s="891">
        <f ca="1">INDIRECT("'数据-取费表'!Am"&amp;$G$1)</f>
        <v>0</v>
      </c>
      <c r="N26" s="1019"/>
      <c r="O26" s="1019"/>
      <c r="P26" s="1019"/>
      <c r="Q26" s="1019"/>
      <c r="R26" s="1019"/>
      <c r="S26" s="1019"/>
      <c r="T26" s="1019"/>
      <c r="U26" s="1019"/>
      <c r="V26" s="1019"/>
      <c r="W26" s="1019"/>
      <c r="X26" s="1019"/>
      <c r="Y26" s="1019"/>
    </row>
    <row r="27" spans="1:25" ht="18" customHeight="1">
      <c r="A27" s="917" t="s">
        <v>2167</v>
      </c>
      <c r="B27" s="918" t="s">
        <v>1394</v>
      </c>
      <c r="C27" s="121"/>
      <c r="D27" s="929" t="s">
        <v>1395</v>
      </c>
      <c r="E27" s="123"/>
      <c r="F27" s="928"/>
      <c r="G27" s="873"/>
      <c r="H27" s="927" t="s">
        <v>865</v>
      </c>
      <c r="I27" s="1022" t="s">
        <v>1397</v>
      </c>
      <c r="J27" s="120">
        <f ca="1">J7-J18</f>
        <v>0</v>
      </c>
      <c r="K27" s="920" t="s">
        <v>1398</v>
      </c>
      <c r="L27" s="968"/>
      <c r="M27" s="969"/>
    </row>
    <row r="28" spans="1:25" ht="18" customHeight="1">
      <c r="A28" s="917" t="s">
        <v>875</v>
      </c>
      <c r="B28" s="918" t="s">
        <v>1399</v>
      </c>
      <c r="C28" s="121">
        <f ca="1">ROUND((C21+C22)*F28,0)</f>
        <v>0</v>
      </c>
      <c r="D28" s="930" t="s">
        <v>1400</v>
      </c>
      <c r="E28" s="915" t="s">
        <v>1401</v>
      </c>
      <c r="F28" s="891">
        <f ca="1">INDIRECT("'数据-取费表'!q"&amp;$G$1)</f>
        <v>0</v>
      </c>
      <c r="G28" s="873"/>
      <c r="H28" s="874" t="s">
        <v>891</v>
      </c>
      <c r="I28" s="875" t="s">
        <v>2168</v>
      </c>
      <c r="J28" s="1005">
        <f ca="1">IF(J7&lt;&gt;0,ROUND(J27*(1-((1+M30)/(1+M28))^M29)/(M28-M30),0),0)</f>
        <v>0</v>
      </c>
      <c r="K28" s="956" t="s">
        <v>1404</v>
      </c>
      <c r="L28" s="918" t="s">
        <v>1503</v>
      </c>
      <c r="M28" s="891">
        <f ca="1">INDIRECT("'数据-取费表'!I"&amp;$G$1)</f>
        <v>0</v>
      </c>
    </row>
    <row r="29" spans="1:25" ht="18" customHeight="1">
      <c r="A29" s="917" t="s">
        <v>1024</v>
      </c>
      <c r="B29" s="918" t="s">
        <v>1406</v>
      </c>
      <c r="C29" s="121">
        <f ca="1">ROUND(F23*F28,4)</f>
        <v>0</v>
      </c>
      <c r="D29" s="930" t="s">
        <v>1407</v>
      </c>
      <c r="E29" s="923"/>
      <c r="F29" s="924"/>
      <c r="G29" s="873"/>
      <c r="H29" s="890"/>
      <c r="I29" s="1023"/>
      <c r="J29" s="1006"/>
      <c r="K29" s="1024" t="s">
        <v>1408</v>
      </c>
      <c r="L29" s="918" t="s">
        <v>1409</v>
      </c>
      <c r="M29" s="1025">
        <f ca="1">INDIRECT("'数据-取费表'!ag"&amp;$G$1)</f>
        <v>0</v>
      </c>
    </row>
    <row r="30" spans="1:25" s="844" customFormat="1" ht="18" customHeight="1">
      <c r="A30" s="917" t="s">
        <v>2169</v>
      </c>
      <c r="B30" s="918" t="s">
        <v>1410</v>
      </c>
      <c r="C30" s="121">
        <f>ROUND(F30/(1+'数据-取费表'!C42),4)</f>
        <v>5.33E-2</v>
      </c>
      <c r="D30" s="930" t="s">
        <v>2170</v>
      </c>
      <c r="E30" s="918" t="s">
        <v>1356</v>
      </c>
      <c r="F30" s="926">
        <f>'数据-取费表'!B41</f>
        <v>5.6000000000000001E-2</v>
      </c>
      <c r="G30" s="925"/>
      <c r="H30" s="898"/>
      <c r="I30" s="1026"/>
      <c r="J30" s="913"/>
      <c r="K30" s="960"/>
      <c r="L30" s="918" t="s">
        <v>1412</v>
      </c>
      <c r="M30" s="891">
        <f ca="1">INDIRECT("'数据-取费表'!aa"&amp;$G$1)</f>
        <v>0</v>
      </c>
      <c r="N30" s="1019"/>
      <c r="O30" s="1019"/>
      <c r="P30" s="1019"/>
      <c r="Q30" s="1019"/>
      <c r="R30" s="1019"/>
      <c r="S30" s="1019"/>
      <c r="T30" s="1019"/>
      <c r="U30" s="1019"/>
      <c r="V30" s="1019"/>
      <c r="W30" s="1019"/>
      <c r="X30" s="1019"/>
      <c r="Y30" s="1019"/>
    </row>
    <row r="31" spans="1:25" s="844" customFormat="1" ht="18" customHeight="1">
      <c r="A31" s="938" t="s">
        <v>2171</v>
      </c>
      <c r="B31" s="908" t="s">
        <v>1413</v>
      </c>
      <c r="C31" s="939">
        <f ca="1">ROUND((C21+C22+C25+C28)/(1-F23-C26-C29-C30),0)</f>
        <v>0</v>
      </c>
      <c r="D31" s="940"/>
      <c r="E31" s="941"/>
      <c r="F31" s="942"/>
      <c r="G31" s="925"/>
      <c r="H31" s="943" t="s">
        <v>1206</v>
      </c>
      <c r="I31" s="1027" t="s">
        <v>2172</v>
      </c>
      <c r="J31" s="1028">
        <f ca="1">ROUND(J28/(1+F45)^F46,0)</f>
        <v>0</v>
      </c>
      <c r="K31" s="1029" t="s">
        <v>1416</v>
      </c>
      <c r="L31" s="1030"/>
      <c r="M31" s="986">
        <f ca="1">INDIRECT("'数据-取费表'!k"&amp;$G$1)</f>
        <v>0</v>
      </c>
      <c r="N31" s="1019"/>
      <c r="O31" s="1019"/>
      <c r="P31" s="1019"/>
      <c r="Q31" s="1019"/>
      <c r="R31" s="1019"/>
      <c r="S31" s="1019"/>
      <c r="T31" s="1019"/>
      <c r="U31" s="1019"/>
      <c r="V31" s="1019"/>
      <c r="W31" s="1019"/>
      <c r="X31" s="1019"/>
      <c r="Y31" s="1019"/>
    </row>
    <row r="32" spans="1:25" ht="18" customHeight="1">
      <c r="A32" s="911" t="s">
        <v>1357</v>
      </c>
      <c r="B32" s="912" t="s">
        <v>2173</v>
      </c>
      <c r="C32" s="913">
        <f ca="1">ROUND(C33+C38+C39+C40,0)</f>
        <v>0</v>
      </c>
      <c r="D32" s="944" t="s">
        <v>1359</v>
      </c>
      <c r="E32" s="945"/>
      <c r="F32" s="878"/>
      <c r="G32" s="946"/>
      <c r="H32" s="947"/>
      <c r="I32" s="1031"/>
      <c r="J32" s="1032"/>
      <c r="K32" s="1033"/>
      <c r="L32" s="1034"/>
      <c r="M32" s="1035"/>
    </row>
    <row r="33" spans="1:18" ht="18" customHeight="1">
      <c r="A33" s="917" t="s">
        <v>851</v>
      </c>
      <c r="B33" s="918" t="s">
        <v>1364</v>
      </c>
      <c r="C33" s="121">
        <f ca="1">ROUND(IF(项目基本情况!B11="自然人",C7*F33,C34+C35+C36),1)</f>
        <v>0</v>
      </c>
      <c r="D33" s="920" t="s">
        <v>1365</v>
      </c>
      <c r="E33" s="948" t="s">
        <v>1366</v>
      </c>
      <c r="F33" s="949" t="str">
        <f ca="1">IF(项目基本情况!B11="企业","",IF(INDIRECT("'数据-取费表'!c"&amp;$G$1)="住宅",5%,IF(F8*F9*F10/12/(1+'数据-取费表'!C42)&gt;20000,12%,7%)))</f>
        <v/>
      </c>
      <c r="G33" s="946"/>
      <c r="H33" s="947"/>
      <c r="I33" s="1031"/>
      <c r="J33" s="1032"/>
      <c r="K33" s="1033"/>
      <c r="L33" s="1034"/>
      <c r="M33" s="1035"/>
    </row>
    <row r="34" spans="1:18" ht="18" customHeight="1">
      <c r="A34" s="917" t="s">
        <v>875</v>
      </c>
      <c r="B34" s="918" t="s">
        <v>1368</v>
      </c>
      <c r="C34" s="121">
        <f ca="1">ROUND(C7*F34/1.05,1)</f>
        <v>0</v>
      </c>
      <c r="D34" s="948" t="s">
        <v>1369</v>
      </c>
      <c r="E34" s="918" t="s">
        <v>1356</v>
      </c>
      <c r="F34" s="926">
        <f>'数据-取费表'!B41</f>
        <v>5.6000000000000001E-2</v>
      </c>
      <c r="G34" s="946"/>
      <c r="H34" s="950"/>
      <c r="I34" s="1036"/>
      <c r="J34" s="1037"/>
      <c r="K34" s="1038"/>
      <c r="L34" s="1039"/>
      <c r="M34" s="1040"/>
    </row>
    <row r="35" spans="1:18" ht="18" customHeight="1">
      <c r="A35" s="917" t="s">
        <v>1024</v>
      </c>
      <c r="B35" s="918" t="s">
        <v>1372</v>
      </c>
      <c r="C35" s="121">
        <f ca="1">IF(D35="按租金收入计税",ROUND(C7*F35,1),IF(D35="按房产原值计税",ROUND(C31*F35*0.7,1),INDIRECT("'数据-取费表'!Aj"&amp;$G$1)))</f>
        <v>0</v>
      </c>
      <c r="D35" s="951" t="s">
        <v>2174</v>
      </c>
      <c r="E35" s="918" t="s">
        <v>1356</v>
      </c>
      <c r="F35" s="926">
        <f>IF(D35="按租金收入计税",'数据-取费表'!B51,'数据-取费表'!B50)</f>
        <v>1.2E-2</v>
      </c>
      <c r="G35" s="946"/>
      <c r="H35" s="952"/>
      <c r="I35" s="952"/>
      <c r="J35" s="952"/>
      <c r="K35" s="1041"/>
      <c r="L35" s="952"/>
      <c r="M35" s="952"/>
    </row>
    <row r="36" spans="1:18" ht="18" customHeight="1">
      <c r="A36" s="953" t="s">
        <v>883</v>
      </c>
      <c r="B36" s="954" t="s">
        <v>1376</v>
      </c>
      <c r="C36" s="955">
        <f ca="1">ROUND(F36*F37/10000,1)</f>
        <v>0</v>
      </c>
      <c r="D36" s="956" t="s">
        <v>1377</v>
      </c>
      <c r="E36" s="918" t="s">
        <v>1378</v>
      </c>
      <c r="F36" s="936">
        <f>'数据-取费表'!B52</f>
        <v>5</v>
      </c>
      <c r="G36" s="946"/>
      <c r="H36" s="947"/>
      <c r="I36" s="3437"/>
      <c r="J36" s="1043"/>
      <c r="K36" s="1044"/>
      <c r="L36" s="1043"/>
      <c r="M36" s="1043"/>
    </row>
    <row r="37" spans="1:18" ht="18" customHeight="1">
      <c r="A37" s="957"/>
      <c r="B37" s="958"/>
      <c r="C37" s="959"/>
      <c r="D37" s="960"/>
      <c r="E37" s="918" t="s">
        <v>1382</v>
      </c>
      <c r="F37" s="883">
        <f ca="1">INDIRECT("'数据-取费表'!r"&amp;$G$1)</f>
        <v>0</v>
      </c>
      <c r="G37" s="946"/>
      <c r="H37" s="947"/>
      <c r="I37" s="3437"/>
      <c r="J37" s="952"/>
      <c r="K37" s="1041"/>
      <c r="L37" s="952"/>
      <c r="M37" s="952"/>
    </row>
    <row r="38" spans="1:18" ht="18" customHeight="1">
      <c r="A38" s="917" t="s">
        <v>2163</v>
      </c>
      <c r="B38" s="918" t="s">
        <v>1385</v>
      </c>
      <c r="C38" s="121">
        <f ca="1">ROUND(C31*F38,1)</f>
        <v>0</v>
      </c>
      <c r="D38" s="948" t="s">
        <v>1420</v>
      </c>
      <c r="E38" s="918" t="s">
        <v>1356</v>
      </c>
      <c r="F38" s="961">
        <f ca="1">INDIRECT("'数据-取费表'!Ak"&amp;$G$1)</f>
        <v>0</v>
      </c>
      <c r="G38" s="946"/>
      <c r="H38" s="952"/>
      <c r="I38" s="1042"/>
      <c r="J38" s="1045"/>
      <c r="K38" s="1046"/>
      <c r="L38" s="952"/>
      <c r="M38" s="952"/>
    </row>
    <row r="39" spans="1:18" ht="18" customHeight="1">
      <c r="A39" s="917" t="s">
        <v>2164</v>
      </c>
      <c r="B39" s="918" t="s">
        <v>1389</v>
      </c>
      <c r="C39" s="121">
        <f ca="1">ROUND(C15*F39,1)</f>
        <v>0</v>
      </c>
      <c r="D39" s="948" t="s">
        <v>1390</v>
      </c>
      <c r="E39" s="918" t="s">
        <v>1356</v>
      </c>
      <c r="F39" s="962">
        <f ca="1">INDIRECT("'数据-取费表'!Al"&amp;$G$1)</f>
        <v>0</v>
      </c>
      <c r="G39" s="946"/>
      <c r="H39" s="952"/>
      <c r="I39" s="1042"/>
      <c r="J39" s="1045"/>
      <c r="K39" s="1046"/>
      <c r="L39" s="952"/>
      <c r="M39" s="952"/>
    </row>
    <row r="40" spans="1:18" ht="18" customHeight="1">
      <c r="A40" s="938" t="s">
        <v>2166</v>
      </c>
      <c r="B40" s="941" t="s">
        <v>1374</v>
      </c>
      <c r="C40" s="939">
        <f ca="1">ROUND(C7*F40,1)</f>
        <v>0</v>
      </c>
      <c r="D40" s="940" t="s">
        <v>1393</v>
      </c>
      <c r="E40" s="941" t="s">
        <v>1356</v>
      </c>
      <c r="F40" s="909">
        <f ca="1">INDIRECT("'数据-取费表'!Am"&amp;$G$1)</f>
        <v>0</v>
      </c>
      <c r="G40" s="946"/>
      <c r="H40" s="952"/>
      <c r="I40" s="1042"/>
      <c r="J40" s="1045"/>
      <c r="K40" s="1047"/>
      <c r="L40" s="952"/>
      <c r="M40" s="952"/>
    </row>
    <row r="41" spans="1:18" ht="18" customHeight="1">
      <c r="A41" s="911">
        <v>4</v>
      </c>
      <c r="B41" s="912" t="s">
        <v>2175</v>
      </c>
      <c r="C41" s="963"/>
      <c r="D41" s="964"/>
      <c r="E41" s="964"/>
      <c r="F41" s="965"/>
      <c r="G41" s="946"/>
      <c r="H41" s="946"/>
      <c r="I41" s="946"/>
      <c r="J41" s="946"/>
      <c r="K41" s="1047"/>
      <c r="L41" s="946"/>
      <c r="M41" s="946"/>
    </row>
    <row r="42" spans="1:18" ht="18" customHeight="1">
      <c r="A42" s="917" t="s">
        <v>851</v>
      </c>
      <c r="B42" s="966" t="s">
        <v>2176</v>
      </c>
      <c r="C42" s="967">
        <f ca="1">C7-C32</f>
        <v>0</v>
      </c>
      <c r="D42" s="920" t="s">
        <v>2177</v>
      </c>
      <c r="E42" s="968"/>
      <c r="F42" s="969"/>
      <c r="G42" s="946"/>
      <c r="H42" s="946"/>
      <c r="I42" s="946"/>
      <c r="J42" s="946"/>
      <c r="K42" s="1047"/>
      <c r="L42" s="946"/>
      <c r="M42" s="946"/>
    </row>
    <row r="43" spans="1:18" ht="18" customHeight="1">
      <c r="A43" s="917" t="s">
        <v>2163</v>
      </c>
      <c r="B43" s="966" t="s">
        <v>2178</v>
      </c>
      <c r="C43" s="970">
        <f ca="1">ROUND(C15*F43,0)</f>
        <v>0</v>
      </c>
      <c r="D43" s="971" t="s">
        <v>2179</v>
      </c>
      <c r="E43" s="972" t="s">
        <v>2180</v>
      </c>
      <c r="F43" s="973">
        <f ca="1">INDIRECT("'数据-取费表'!j"&amp;$G$1)</f>
        <v>0</v>
      </c>
      <c r="G43" s="946"/>
      <c r="H43" s="946"/>
      <c r="I43" s="946"/>
      <c r="J43" s="946"/>
      <c r="K43" s="1047"/>
      <c r="L43" s="946"/>
      <c r="M43" s="946"/>
    </row>
    <row r="44" spans="1:18" ht="18" customHeight="1">
      <c r="A44" s="917" t="s">
        <v>2164</v>
      </c>
      <c r="B44" s="966" t="s">
        <v>2181</v>
      </c>
      <c r="C44" s="974">
        <f ca="1">C42-C43</f>
        <v>0</v>
      </c>
      <c r="D44" s="975" t="s">
        <v>2182</v>
      </c>
      <c r="E44" s="976"/>
      <c r="F44" s="977"/>
      <c r="G44" s="946"/>
      <c r="H44" s="946"/>
      <c r="I44" s="946"/>
      <c r="J44" s="946"/>
      <c r="K44" s="1047"/>
      <c r="L44" s="946"/>
      <c r="M44" s="946"/>
    </row>
    <row r="45" spans="1:18" ht="18" customHeight="1">
      <c r="A45" s="917" t="s">
        <v>2166</v>
      </c>
      <c r="B45" s="971" t="s">
        <v>2183</v>
      </c>
      <c r="C45" s="978">
        <f ca="1">ROUND(-PV(F45,F46,C44,0),0)</f>
        <v>0</v>
      </c>
      <c r="D45" s="979" t="s">
        <v>2184</v>
      </c>
      <c r="E45" s="923" t="s">
        <v>2185</v>
      </c>
      <c r="F45" s="980">
        <f ca="1">INDIRECT("'数据-取费表'!h"&amp;$G$1)</f>
        <v>0</v>
      </c>
      <c r="G45" s="946"/>
      <c r="H45" s="946"/>
      <c r="I45" s="946"/>
      <c r="J45" s="946"/>
      <c r="K45" s="1047"/>
      <c r="L45" s="946"/>
      <c r="M45" s="946"/>
    </row>
    <row r="46" spans="1:18" ht="18" customHeight="1">
      <c r="A46" s="981"/>
      <c r="B46" s="982"/>
      <c r="C46" s="983"/>
      <c r="D46" s="984"/>
      <c r="E46" s="985" t="s">
        <v>2186</v>
      </c>
      <c r="F46" s="986">
        <f ca="1">IF(INDIRECT("'数据-取费表'!af"&amp;$G$1)=0,INDIRECT("'数据-取费表'!ae"&amp;$G$1),INDIRECT("'数据-取费表'!af"&amp;$G$1))</f>
        <v>0</v>
      </c>
      <c r="G46" s="946"/>
      <c r="H46" s="946"/>
      <c r="I46" s="946"/>
      <c r="J46" s="946"/>
      <c r="K46" s="1047"/>
      <c r="L46" s="946"/>
      <c r="M46" s="946"/>
    </row>
    <row r="47" spans="1:18" s="609" customFormat="1" ht="18" customHeight="1">
      <c r="A47" s="987"/>
      <c r="D47" s="988"/>
      <c r="E47" s="988"/>
      <c r="F47" s="988"/>
      <c r="I47" s="1048" t="s">
        <v>1434</v>
      </c>
      <c r="J47" s="1049"/>
      <c r="K47" s="1050"/>
      <c r="L47" s="1051" t="str">
        <f ca="1">IF(M48="住宅",0,IF(L49&gt;J52,L61,J61))</f>
        <v>0</v>
      </c>
      <c r="O47" s="1052" t="s">
        <v>1435</v>
      </c>
      <c r="P47" s="873"/>
      <c r="Q47" s="1098"/>
      <c r="R47" s="873"/>
    </row>
    <row r="48" spans="1:18" s="609" customFormat="1" ht="18" customHeight="1">
      <c r="A48" s="987"/>
      <c r="C48" s="989"/>
      <c r="D48" s="990"/>
      <c r="E48" s="990"/>
      <c r="F48" s="991"/>
      <c r="G48" s="992"/>
      <c r="I48" s="1053" t="s">
        <v>1437</v>
      </c>
      <c r="J48" s="1054"/>
      <c r="K48" s="1055" t="s">
        <v>1439</v>
      </c>
      <c r="L48" s="1056">
        <f ca="1">INDIRECT("'数据-取费表'!d"&amp;$G$1)</f>
        <v>0</v>
      </c>
      <c r="M48" s="1057" t="str">
        <f>IF(ISNUMBER(FIND("住宅",C1)),"住宅","非住宅")</f>
        <v>非住宅</v>
      </c>
      <c r="O48" s="1058" t="s">
        <v>1440</v>
      </c>
      <c r="P48" s="1059" t="s">
        <v>1441</v>
      </c>
      <c r="Q48" s="1099" t="s">
        <v>1442</v>
      </c>
      <c r="R48" s="1059" t="s">
        <v>1443</v>
      </c>
    </row>
    <row r="49" spans="1:18" s="609" customFormat="1" ht="18" customHeight="1">
      <c r="A49" s="987"/>
      <c r="D49" s="993"/>
      <c r="E49" s="994"/>
      <c r="F49" s="991"/>
      <c r="G49" s="992"/>
      <c r="H49" s="995"/>
      <c r="I49" s="1060" t="s">
        <v>1446</v>
      </c>
      <c r="J49" s="1061"/>
      <c r="K49" s="1062" t="s">
        <v>1448</v>
      </c>
      <c r="L49" s="1063">
        <f ca="1">INDIRECT("'数据-取费表'!f"&amp;$G$1)</f>
        <v>0</v>
      </c>
      <c r="O49" s="1064" t="s">
        <v>1449</v>
      </c>
      <c r="P49" s="1065" t="s">
        <v>1450</v>
      </c>
      <c r="Q49" s="1100">
        <f ca="1">C41+J31</f>
        <v>0</v>
      </c>
      <c r="R49" s="1065" t="s">
        <v>1451</v>
      </c>
    </row>
    <row r="50" spans="1:18" s="609" customFormat="1" ht="18" customHeight="1">
      <c r="A50" s="987"/>
      <c r="D50" s="996"/>
      <c r="E50" s="996"/>
      <c r="F50" s="990"/>
      <c r="G50" s="997"/>
      <c r="H50" s="995"/>
      <c r="I50" s="1060" t="s">
        <v>1452</v>
      </c>
      <c r="J50" s="1066"/>
      <c r="K50" s="1067" t="s">
        <v>1453</v>
      </c>
      <c r="L50" s="1068"/>
      <c r="O50" s="1064" t="s">
        <v>1454</v>
      </c>
      <c r="P50" s="1065" t="s">
        <v>1455</v>
      </c>
      <c r="Q50" s="1100" t="str">
        <f ca="1">J61</f>
        <v>0</v>
      </c>
      <c r="R50" s="1065" t="s">
        <v>1456</v>
      </c>
    </row>
    <row r="51" spans="1:18" s="609" customFormat="1" ht="18" customHeight="1">
      <c r="A51" s="998"/>
      <c r="D51" s="996"/>
      <c r="E51" s="996"/>
      <c r="F51" s="988"/>
      <c r="H51" s="995"/>
      <c r="I51" s="1060" t="s">
        <v>1457</v>
      </c>
      <c r="J51" s="1069">
        <f>SUMPRODUCT((I64:I66=J48)*(J63:L63=J49)*(J64:L66))</f>
        <v>0</v>
      </c>
      <c r="K51" s="1067" t="s">
        <v>1458</v>
      </c>
      <c r="L51" s="1068"/>
      <c r="O51" s="1070" t="s">
        <v>1459</v>
      </c>
      <c r="P51" s="1065" t="s">
        <v>1460</v>
      </c>
      <c r="Q51" s="1100">
        <f ca="1">C31</f>
        <v>0</v>
      </c>
      <c r="R51" s="1065" t="s">
        <v>1451</v>
      </c>
    </row>
    <row r="52" spans="1:18" s="609" customFormat="1" ht="18" customHeight="1">
      <c r="A52" s="998"/>
      <c r="F52" s="988"/>
      <c r="I52" s="1071" t="s">
        <v>1461</v>
      </c>
      <c r="J52" s="1072">
        <f>IF(J50="",J51,J50+J51-YEAR('数据-取费表'!B3))</f>
        <v>0</v>
      </c>
      <c r="K52" s="1060" t="s">
        <v>1462</v>
      </c>
      <c r="L52" s="1073">
        <f ca="1">ROUND(-PV(INDIRECT("'数据-取费表'!h"&amp;$G$1),L49,(C40-C14*J36),0),0)</f>
        <v>0</v>
      </c>
      <c r="O52" s="1070" t="s">
        <v>1463</v>
      </c>
      <c r="P52" s="1065" t="s">
        <v>1464</v>
      </c>
      <c r="Q52" s="1101" t="e">
        <f ca="1">J59</f>
        <v>#VALUE!</v>
      </c>
      <c r="R52" s="1102"/>
    </row>
    <row r="53" spans="1:18" s="609" customFormat="1" ht="18" customHeight="1">
      <c r="A53" s="998"/>
      <c r="F53" s="988"/>
      <c r="I53" s="1074" t="s">
        <v>1466</v>
      </c>
      <c r="J53" s="1075"/>
      <c r="K53" s="1074" t="s">
        <v>1187</v>
      </c>
      <c r="L53" s="1075"/>
      <c r="O53" s="1070" t="s">
        <v>1467</v>
      </c>
      <c r="P53" s="1065" t="s">
        <v>1468</v>
      </c>
      <c r="Q53" s="1101">
        <f>J53</f>
        <v>0</v>
      </c>
      <c r="R53" s="1102"/>
    </row>
    <row r="54" spans="1:18" s="609" customFormat="1" ht="31.2">
      <c r="A54" s="998"/>
      <c r="I54" s="1076" t="s">
        <v>1469</v>
      </c>
      <c r="J54" s="1077">
        <f ca="1">IF(M48="住宅",MAX(J52,L49-'数据-取费表'!B20),MIN(J52,L49-'数据-取费表'!B20))</f>
        <v>-3</v>
      </c>
      <c r="K54" s="3435"/>
      <c r="L54" s="3436"/>
      <c r="O54" s="1070" t="s">
        <v>1471</v>
      </c>
      <c r="P54" s="1065" t="s">
        <v>1472</v>
      </c>
      <c r="Q54" s="1100">
        <f ca="1">J54</f>
        <v>-3</v>
      </c>
      <c r="R54" s="1065" t="s">
        <v>1473</v>
      </c>
    </row>
    <row r="55" spans="1:18" s="609" customFormat="1" ht="18" customHeight="1">
      <c r="A55" s="998"/>
      <c r="I55" s="10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78"/>
      <c r="K55" s="1079"/>
      <c r="O55" s="1064" t="s">
        <v>1474</v>
      </c>
      <c r="P55" s="1065" t="s">
        <v>1475</v>
      </c>
      <c r="Q55" s="1100">
        <f ca="1">Q49+Q50</f>
        <v>0</v>
      </c>
      <c r="R55" s="1102" t="s">
        <v>1476</v>
      </c>
    </row>
    <row r="56" spans="1:18" s="609" customFormat="1" ht="15.6">
      <c r="A56" s="998"/>
      <c r="B56" s="999"/>
      <c r="C56" s="999"/>
      <c r="I56" s="1080" t="s">
        <v>1477</v>
      </c>
      <c r="J56" s="1081" t="e">
        <f ca="1">ROUND(IF(J48="钢混",J58/J51,1-(1-2%)*(J51-J58)/J51),3)</f>
        <v>#VALUE!</v>
      </c>
      <c r="K56" s="1082" t="s">
        <v>1478</v>
      </c>
      <c r="L56" s="1083"/>
      <c r="O56" s="1084" t="s">
        <v>1479</v>
      </c>
      <c r="P56" s="873"/>
      <c r="Q56" s="1098"/>
      <c r="R56" s="873"/>
    </row>
    <row r="57" spans="1:18" s="609" customFormat="1" ht="46.8">
      <c r="A57" s="998"/>
      <c r="B57" s="999"/>
      <c r="C57" s="999"/>
      <c r="I57" s="1085" t="s">
        <v>1480</v>
      </c>
      <c r="J57" s="1086" t="s">
        <v>493</v>
      </c>
      <c r="K57" s="1060" t="s">
        <v>1481</v>
      </c>
      <c r="L57" s="1063">
        <f ca="1">IF(L49&lt;J52,"——",L49-J52)</f>
        <v>0</v>
      </c>
      <c r="O57" s="1058" t="s">
        <v>1440</v>
      </c>
      <c r="P57" s="1059" t="s">
        <v>1441</v>
      </c>
      <c r="Q57" s="1099" t="s">
        <v>1442</v>
      </c>
      <c r="R57" s="1059" t="s">
        <v>1443</v>
      </c>
    </row>
    <row r="58" spans="1:18" s="609" customFormat="1" ht="31.2">
      <c r="A58" s="998"/>
      <c r="B58" s="999"/>
      <c r="C58" s="999"/>
      <c r="I58" s="1087" t="s">
        <v>1482</v>
      </c>
      <c r="J58" s="1088" t="str">
        <f ca="1">IF(OR(M48="住宅",J52&lt;L49,J57="是"),"——",J52-L49)</f>
        <v>——</v>
      </c>
      <c r="K58" s="1060" t="s">
        <v>1483</v>
      </c>
      <c r="L58" s="1063">
        <f ca="1">IF(L49&lt;J52,"——",IF(L56="比较法",L50,IF(L56="基准地价",L51,L52)))</f>
        <v>0</v>
      </c>
      <c r="O58" s="1064" t="s">
        <v>1449</v>
      </c>
      <c r="P58" s="1065" t="s">
        <v>1450</v>
      </c>
      <c r="Q58" s="1100">
        <f ca="1">C41+J31</f>
        <v>0</v>
      </c>
      <c r="R58" s="1065" t="s">
        <v>1451</v>
      </c>
    </row>
    <row r="59" spans="1:18" s="609" customFormat="1" ht="31.2">
      <c r="A59" s="998"/>
      <c r="B59" s="999"/>
      <c r="C59" s="999"/>
      <c r="I59" s="1087" t="s">
        <v>1484</v>
      </c>
      <c r="J59" s="1089" t="e">
        <f ca="1">IF(J56&lt;0.4,0.4,J56)</f>
        <v>#VALUE!</v>
      </c>
      <c r="K59" s="1060" t="s">
        <v>1485</v>
      </c>
      <c r="L59" s="1063">
        <f ca="1">IF(ISERROR(POWER(1+L53,L48-L49)*(POWER(1+L53,L49)-1)/(POWER(1+L53,L48)-1)),0,POWER(1+L53,L48-L49)*(POWER(1+L53,L49)-1)/(POWER(1+L53,L48)-1))</f>
        <v>0</v>
      </c>
      <c r="O59" s="1064" t="s">
        <v>1454</v>
      </c>
      <c r="P59" s="1065" t="s">
        <v>1486</v>
      </c>
      <c r="Q59" s="1100" t="e">
        <f ca="1">L61</f>
        <v>#DIV/0!</v>
      </c>
      <c r="R59" s="1102" t="s">
        <v>1487</v>
      </c>
    </row>
    <row r="60" spans="1:18" s="609" customFormat="1" ht="31.2">
      <c r="A60" s="998"/>
      <c r="B60" s="999"/>
      <c r="C60" s="999"/>
      <c r="I60" s="1087" t="s">
        <v>1488</v>
      </c>
      <c r="J60" s="1088" t="str">
        <f ca="1">IF(OR(M48="住宅",J52&lt;L49,J57="是"),"——",ROUND(C30*J59,0))</f>
        <v>——</v>
      </c>
      <c r="K60" s="1060" t="s">
        <v>2187</v>
      </c>
      <c r="L60" s="1063">
        <f ca="1">IF(ISERROR(POWER(1+L53,L48-J52)*(POWER(1+L53,J52)-1)/(POWER(1+L53,L48)-1)),0,POWER(1+L53,L48-J52)*(POWER(1+L53,J52)-1)/(POWER(1+L53,L48)-1))</f>
        <v>0</v>
      </c>
      <c r="O60" s="1070" t="s">
        <v>1459</v>
      </c>
      <c r="P60" s="1065" t="s">
        <v>1489</v>
      </c>
      <c r="Q60" s="1100">
        <f>IF(L56="比较法",L50,IF(L56="基准地价",L51,0))</f>
        <v>0</v>
      </c>
      <c r="R60" s="1065" t="s">
        <v>1451</v>
      </c>
    </row>
    <row r="61" spans="1:18" s="609" customFormat="1" ht="15.6">
      <c r="A61" s="998"/>
      <c r="B61" s="999"/>
      <c r="C61" s="999"/>
      <c r="I61" s="1090" t="s">
        <v>1490</v>
      </c>
      <c r="J61" s="1091" t="str">
        <f ca="1">IF(OR(M48="住宅",J52&lt;L49,J57="是"),"0",ROUND(J60/(1+J53)^J54,0))</f>
        <v>0</v>
      </c>
      <c r="K61" s="1092" t="s">
        <v>1491</v>
      </c>
      <c r="L61" s="1091" t="e">
        <f ca="1">IF(OR(M48="住宅",L49&lt;J52),0,ROUND(L58*(L59/L60-1),0))</f>
        <v>#DIV/0!</v>
      </c>
      <c r="O61" s="1070" t="s">
        <v>1463</v>
      </c>
      <c r="P61" s="1065" t="s">
        <v>1492</v>
      </c>
      <c r="Q61" s="1101">
        <f>L53</f>
        <v>0</v>
      </c>
      <c r="R61" s="1102"/>
    </row>
    <row r="62" spans="1:18" s="609" customFormat="1" ht="18.600000000000001">
      <c r="A62" s="998"/>
      <c r="B62" s="999"/>
      <c r="C62" s="999"/>
      <c r="K62" s="1093"/>
      <c r="O62" s="1070" t="s">
        <v>1467</v>
      </c>
      <c r="P62" s="1065" t="s">
        <v>1493</v>
      </c>
      <c r="Q62" s="1100">
        <f ca="1">L59</f>
        <v>0</v>
      </c>
      <c r="R62" s="1102" t="s">
        <v>1494</v>
      </c>
    </row>
    <row r="63" spans="1:18" s="609" customFormat="1" ht="18.600000000000001">
      <c r="A63" s="998"/>
      <c r="B63" s="999"/>
      <c r="C63" s="999"/>
      <c r="I63" s="1094" t="s">
        <v>1495</v>
      </c>
      <c r="J63" s="1095" t="s">
        <v>1496</v>
      </c>
      <c r="K63" s="1095" t="s">
        <v>1497</v>
      </c>
      <c r="L63" s="1095" t="s">
        <v>1447</v>
      </c>
      <c r="M63" s="1096" t="s">
        <v>1498</v>
      </c>
      <c r="O63" s="1070" t="s">
        <v>1471</v>
      </c>
      <c r="P63" s="1065" t="s">
        <v>2188</v>
      </c>
      <c r="Q63" s="1100">
        <f ca="1">L60</f>
        <v>0</v>
      </c>
      <c r="R63" s="1102" t="s">
        <v>1499</v>
      </c>
    </row>
    <row r="64" spans="1:18" s="609" customFormat="1" ht="15.6">
      <c r="A64" s="998"/>
      <c r="B64" s="999"/>
      <c r="C64" s="999"/>
      <c r="I64" s="1094" t="s">
        <v>1500</v>
      </c>
      <c r="J64" s="1095">
        <v>70</v>
      </c>
      <c r="K64" s="1095">
        <v>50</v>
      </c>
      <c r="L64" s="1095">
        <v>80</v>
      </c>
      <c r="M64" s="1097">
        <v>0.02</v>
      </c>
      <c r="O64" s="1064" t="s">
        <v>1474</v>
      </c>
      <c r="P64" s="1065" t="s">
        <v>1475</v>
      </c>
      <c r="Q64" s="1100" t="e">
        <f ca="1">Q58+Q59</f>
        <v>#DIV/0!</v>
      </c>
      <c r="R64" s="1102" t="s">
        <v>1476</v>
      </c>
    </row>
    <row r="65" spans="1:18" s="609" customFormat="1" ht="15.6">
      <c r="A65" s="998"/>
      <c r="B65" s="999"/>
      <c r="C65" s="999"/>
      <c r="I65" s="1094" t="s">
        <v>1438</v>
      </c>
      <c r="J65" s="1095">
        <v>50</v>
      </c>
      <c r="K65" s="1095">
        <v>35</v>
      </c>
      <c r="L65" s="1095">
        <v>60</v>
      </c>
      <c r="M65" s="1103">
        <v>0</v>
      </c>
      <c r="O65" s="1084" t="s">
        <v>1501</v>
      </c>
      <c r="P65" s="873"/>
      <c r="Q65" s="1098"/>
      <c r="R65" s="873"/>
    </row>
    <row r="66" spans="1:18" s="609" customFormat="1" ht="15.6">
      <c r="A66" s="998"/>
      <c r="B66" s="999"/>
      <c r="C66" s="999"/>
      <c r="I66" s="1094" t="s">
        <v>1502</v>
      </c>
      <c r="J66" s="1095">
        <v>40</v>
      </c>
      <c r="K66" s="1095">
        <v>30</v>
      </c>
      <c r="L66" s="1095">
        <v>50</v>
      </c>
      <c r="M66" s="1097">
        <v>0.02</v>
      </c>
      <c r="O66" s="1058" t="s">
        <v>1440</v>
      </c>
      <c r="P66" s="1059" t="s">
        <v>1441</v>
      </c>
      <c r="Q66" s="1099" t="s">
        <v>1442</v>
      </c>
      <c r="R66" s="1059" t="s">
        <v>1443</v>
      </c>
    </row>
    <row r="67" spans="1:18" s="609" customFormat="1" ht="15.6">
      <c r="A67" s="998"/>
      <c r="B67" s="999"/>
      <c r="C67" s="999"/>
      <c r="K67" s="1093"/>
      <c r="O67" s="1064" t="s">
        <v>1449</v>
      </c>
      <c r="P67" s="1065" t="s">
        <v>1450</v>
      </c>
      <c r="Q67" s="1100">
        <f ca="1">C41+J31</f>
        <v>0</v>
      </c>
      <c r="R67" s="1065" t="s">
        <v>1451</v>
      </c>
    </row>
    <row r="68" spans="1:18" s="609" customFormat="1" ht="18.600000000000001">
      <c r="A68" s="998"/>
      <c r="B68" s="999"/>
      <c r="C68" s="999"/>
      <c r="K68" s="1093"/>
      <c r="O68" s="1064" t="s">
        <v>1454</v>
      </c>
      <c r="P68" s="1065" t="s">
        <v>1486</v>
      </c>
      <c r="Q68" s="1100" t="e">
        <f ca="1">L61</f>
        <v>#DIV/0!</v>
      </c>
      <c r="R68" s="1102" t="s">
        <v>1487</v>
      </c>
    </row>
    <row r="69" spans="1:18" s="609" customFormat="1" ht="19.8">
      <c r="A69" s="998"/>
      <c r="B69" s="999"/>
      <c r="C69" s="999"/>
      <c r="K69" s="1093"/>
      <c r="O69" s="1070" t="s">
        <v>1459</v>
      </c>
      <c r="P69" s="1065" t="s">
        <v>1489</v>
      </c>
      <c r="Q69" s="1105">
        <f ca="1">L52</f>
        <v>0</v>
      </c>
      <c r="R69" s="1106" t="s">
        <v>1504</v>
      </c>
    </row>
    <row r="70" spans="1:18" s="609" customFormat="1" ht="18.600000000000001">
      <c r="A70" s="998"/>
      <c r="B70" s="999"/>
      <c r="C70" s="999"/>
      <c r="K70" s="1093"/>
      <c r="O70" s="1070" t="s">
        <v>1463</v>
      </c>
      <c r="P70" s="1104" t="s">
        <v>1505</v>
      </c>
      <c r="Q70" s="1100">
        <f ca="1">ROUND(Q71-Q72*Q73,0)</f>
        <v>0</v>
      </c>
      <c r="R70" s="1102"/>
    </row>
    <row r="71" spans="1:18" s="609" customFormat="1" ht="15.6">
      <c r="A71" s="998"/>
      <c r="B71" s="999"/>
      <c r="C71" s="999"/>
      <c r="K71" s="1093"/>
      <c r="O71" s="1070" t="s">
        <v>1506</v>
      </c>
      <c r="P71" s="1104" t="s">
        <v>1507</v>
      </c>
      <c r="Q71" s="1100">
        <f ca="1">C42</f>
        <v>0</v>
      </c>
      <c r="R71" s="1065" t="s">
        <v>1451</v>
      </c>
    </row>
    <row r="72" spans="1:18" s="609" customFormat="1" ht="15.6">
      <c r="A72" s="998"/>
      <c r="B72" s="999"/>
      <c r="C72" s="999"/>
      <c r="K72" s="1093"/>
      <c r="O72" s="1070" t="s">
        <v>1508</v>
      </c>
      <c r="P72" s="1104" t="s">
        <v>1509</v>
      </c>
      <c r="Q72" s="1100">
        <f ca="1">C15</f>
        <v>0</v>
      </c>
      <c r="R72" s="1065" t="s">
        <v>1451</v>
      </c>
    </row>
    <row r="73" spans="1:18" s="609" customFormat="1" ht="15.6">
      <c r="A73" s="998"/>
      <c r="B73" s="999"/>
      <c r="C73" s="999"/>
      <c r="K73" s="1093"/>
      <c r="O73" s="1070" t="s">
        <v>1510</v>
      </c>
      <c r="P73" s="1104" t="s">
        <v>1511</v>
      </c>
      <c r="Q73" s="1101">
        <f ca="1">F43</f>
        <v>0</v>
      </c>
      <c r="R73" s="1102"/>
    </row>
    <row r="74" spans="1:18" s="609" customFormat="1" ht="15.6">
      <c r="A74" s="998"/>
      <c r="B74" s="999"/>
      <c r="C74" s="999"/>
      <c r="K74" s="1093"/>
      <c r="O74" s="1070" t="s">
        <v>1467</v>
      </c>
      <c r="P74" s="1065" t="s">
        <v>1492</v>
      </c>
      <c r="Q74" s="1101">
        <f>L53</f>
        <v>0</v>
      </c>
      <c r="R74" s="1102"/>
    </row>
    <row r="75" spans="1:18" s="609" customFormat="1" ht="18.600000000000001">
      <c r="A75" s="998"/>
      <c r="B75" s="999"/>
      <c r="C75" s="999"/>
      <c r="K75" s="1093"/>
      <c r="O75" s="1070" t="s">
        <v>1471</v>
      </c>
      <c r="P75" s="1065" t="s">
        <v>1493</v>
      </c>
      <c r="Q75" s="1100">
        <f ca="1">L59</f>
        <v>0</v>
      </c>
      <c r="R75" s="1102" t="s">
        <v>1494</v>
      </c>
    </row>
    <row r="76" spans="1:18" s="609" customFormat="1" ht="18.600000000000001">
      <c r="A76" s="998"/>
      <c r="B76" s="999"/>
      <c r="C76" s="999"/>
      <c r="K76" s="1093"/>
      <c r="O76" s="1070" t="s">
        <v>1512</v>
      </c>
      <c r="P76" s="1065" t="s">
        <v>2188</v>
      </c>
      <c r="Q76" s="1100">
        <f ca="1">L60</f>
        <v>0</v>
      </c>
      <c r="R76" s="1102" t="s">
        <v>1499</v>
      </c>
    </row>
    <row r="77" spans="1:18" s="609" customFormat="1" ht="15.6">
      <c r="A77" s="998"/>
      <c r="B77" s="999"/>
      <c r="C77" s="999"/>
      <c r="K77" s="1093"/>
      <c r="O77" s="1064" t="s">
        <v>1474</v>
      </c>
      <c r="P77" s="1065" t="s">
        <v>1475</v>
      </c>
      <c r="Q77" s="1100" t="e">
        <f ca="1">Q67+Q68</f>
        <v>#DIV/0!</v>
      </c>
      <c r="R77" s="1102" t="s">
        <v>1476</v>
      </c>
    </row>
    <row r="78" spans="1:18" s="609" customFormat="1">
      <c r="A78" s="998"/>
      <c r="B78" s="999"/>
      <c r="C78" s="999"/>
      <c r="K78" s="1093"/>
    </row>
    <row r="79" spans="1:18" s="609" customFormat="1">
      <c r="A79" s="998"/>
      <c r="B79" s="999"/>
      <c r="C79" s="999"/>
      <c r="K79" s="1093"/>
    </row>
    <row r="80" spans="1:18" s="609" customFormat="1">
      <c r="A80" s="998"/>
      <c r="B80" s="999"/>
      <c r="C80" s="999"/>
      <c r="K80" s="1093"/>
    </row>
    <row r="81" spans="1:11" s="609" customFormat="1">
      <c r="A81" s="998"/>
      <c r="B81" s="999"/>
      <c r="C81" s="999"/>
      <c r="K81" s="1093"/>
    </row>
    <row r="82" spans="1:11" s="609" customFormat="1">
      <c r="A82" s="998"/>
      <c r="B82" s="999"/>
      <c r="C82" s="999"/>
      <c r="K82" s="1093"/>
    </row>
    <row r="83" spans="1:11" s="609" customFormat="1">
      <c r="A83" s="998"/>
      <c r="B83" s="999"/>
      <c r="C83" s="999"/>
      <c r="K83" s="1093"/>
    </row>
    <row r="84" spans="1:11" s="609" customFormat="1">
      <c r="A84" s="998"/>
      <c r="B84" s="999"/>
      <c r="C84" s="999"/>
      <c r="K84" s="1093"/>
    </row>
    <row r="85" spans="1:11" s="609" customFormat="1">
      <c r="A85" s="998"/>
      <c r="B85" s="999"/>
      <c r="C85" s="999"/>
      <c r="K85" s="1093"/>
    </row>
    <row r="86" spans="1:11" s="609" customFormat="1">
      <c r="A86" s="998"/>
      <c r="B86" s="999"/>
      <c r="C86" s="999"/>
      <c r="K86" s="1093"/>
    </row>
    <row r="87" spans="1:11" s="609" customFormat="1">
      <c r="A87" s="998"/>
      <c r="B87" s="999"/>
      <c r="C87" s="999"/>
      <c r="K87" s="1093"/>
    </row>
    <row r="88" spans="1:11" s="609" customFormat="1">
      <c r="A88" s="998"/>
      <c r="B88" s="999"/>
      <c r="C88" s="999"/>
      <c r="K88" s="1093"/>
    </row>
    <row r="89" spans="1:11" s="609" customFormat="1">
      <c r="A89" s="998"/>
      <c r="B89" s="999"/>
      <c r="C89" s="999"/>
      <c r="K89" s="1093"/>
    </row>
    <row r="90" spans="1:11" s="609" customFormat="1">
      <c r="A90" s="998"/>
      <c r="B90" s="999"/>
      <c r="C90" s="999"/>
      <c r="K90" s="1093"/>
    </row>
    <row r="91" spans="1:11" s="609" customFormat="1">
      <c r="A91" s="998"/>
      <c r="B91" s="999"/>
      <c r="C91" s="999"/>
      <c r="K91" s="1093"/>
    </row>
    <row r="92" spans="1:11" s="609" customFormat="1">
      <c r="A92" s="998"/>
      <c r="B92" s="999"/>
      <c r="C92" s="999"/>
      <c r="K92" s="1093"/>
    </row>
    <row r="93" spans="1:11" s="609" customFormat="1">
      <c r="A93" s="998"/>
      <c r="B93" s="999"/>
      <c r="C93" s="999"/>
      <c r="K93" s="1093"/>
    </row>
    <row r="94" spans="1:11" s="609" customFormat="1">
      <c r="A94" s="998"/>
      <c r="B94" s="999"/>
      <c r="C94" s="999"/>
      <c r="K94" s="1093"/>
    </row>
  </sheetData>
  <sheetProtection password="C66D" sheet="1" objects="1" scenarios="1" formatCells="0" formatColumns="0" formatRows="0"/>
  <mergeCells count="4">
    <mergeCell ref="K54:L54"/>
    <mergeCell ref="B8:B11"/>
    <mergeCell ref="I8:I11"/>
    <mergeCell ref="I36:I37"/>
  </mergeCells>
  <phoneticPr fontId="231"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I56">
    <cfRule type="expression" dxfId="79" priority="4">
      <formula>$J$51&gt;$L$48</formula>
    </cfRule>
  </conditionalFormatting>
  <conditionalFormatting sqref="K56">
    <cfRule type="expression" dxfId="78" priority="3">
      <formula>$L$48&gt;$J$51</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3.2"/>
  <cols>
    <col min="1" max="1" width="9" style="709"/>
    <col min="2" max="6" width="9" style="709" customWidth="1"/>
    <col min="7" max="7" width="9" style="710" customWidth="1"/>
    <col min="8" max="12" width="9" style="709" customWidth="1"/>
    <col min="13" max="13" width="2.21875" style="709" customWidth="1"/>
    <col min="14" max="14" width="9" style="710" customWidth="1"/>
    <col min="15" max="17" width="9" style="709" customWidth="1"/>
    <col min="18" max="18" width="2.33203125" style="709" customWidth="1"/>
    <col min="19" max="19" width="7.109375" style="710" customWidth="1"/>
    <col min="20" max="22" width="7.109375" style="709" customWidth="1"/>
    <col min="23" max="23" width="24" style="709" customWidth="1"/>
    <col min="24" max="25" width="9" style="709"/>
    <col min="26" max="27" width="11.6640625" style="709" customWidth="1"/>
    <col min="28" max="28" width="9" style="709"/>
    <col min="29" max="29" width="2" style="709" customWidth="1"/>
    <col min="30" max="16384" width="9" style="709"/>
  </cols>
  <sheetData>
    <row r="1" spans="1:34" s="700" customFormat="1">
      <c r="B1" s="3438" t="s">
        <v>2189</v>
      </c>
      <c r="C1" s="3438"/>
      <c r="D1" s="3438"/>
      <c r="E1" s="3438"/>
      <c r="F1" s="3438"/>
      <c r="G1" s="3439" t="s">
        <v>2190</v>
      </c>
      <c r="H1" s="3439"/>
      <c r="I1" s="3439"/>
      <c r="J1" s="3439"/>
      <c r="K1" s="3439"/>
      <c r="L1" s="3439"/>
      <c r="N1" s="3439" t="s">
        <v>2191</v>
      </c>
      <c r="O1" s="3439"/>
      <c r="P1" s="3439"/>
      <c r="Q1" s="3439"/>
      <c r="R1" s="711"/>
      <c r="S1" s="3439" t="s">
        <v>2192</v>
      </c>
      <c r="T1" s="3439"/>
      <c r="U1" s="3439"/>
      <c r="V1" s="3439"/>
      <c r="X1" s="3440" t="s">
        <v>2193</v>
      </c>
      <c r="Y1" s="3439"/>
      <c r="Z1" s="3439"/>
      <c r="AA1" s="3439"/>
      <c r="AB1" s="3439"/>
      <c r="AD1" s="3440" t="s">
        <v>2194</v>
      </c>
      <c r="AE1" s="3439"/>
      <c r="AF1" s="3439"/>
      <c r="AG1" s="3439"/>
      <c r="AH1" s="3439"/>
    </row>
    <row r="2" spans="1:34" s="701" customFormat="1" ht="14.4">
      <c r="B2" s="712" t="s">
        <v>993</v>
      </c>
      <c r="C2" s="712" t="s">
        <v>2195</v>
      </c>
      <c r="D2" s="713" t="s">
        <v>381</v>
      </c>
      <c r="E2" s="713" t="s">
        <v>379</v>
      </c>
      <c r="F2" s="712" t="s">
        <v>2196</v>
      </c>
      <c r="G2" s="714"/>
      <c r="H2" s="715"/>
      <c r="I2" s="712" t="s">
        <v>993</v>
      </c>
      <c r="J2" s="713" t="s">
        <v>2197</v>
      </c>
      <c r="K2" s="713" t="s">
        <v>379</v>
      </c>
      <c r="L2" s="712" t="s">
        <v>2196</v>
      </c>
      <c r="N2" s="712" t="s">
        <v>993</v>
      </c>
      <c r="O2" s="713" t="s">
        <v>2197</v>
      </c>
      <c r="P2" s="713" t="s">
        <v>379</v>
      </c>
      <c r="Q2" s="712" t="s">
        <v>2196</v>
      </c>
      <c r="R2" s="785"/>
      <c r="S2" s="712" t="s">
        <v>993</v>
      </c>
      <c r="T2" s="713" t="s">
        <v>2197</v>
      </c>
      <c r="U2" s="713" t="s">
        <v>379</v>
      </c>
      <c r="V2" s="712" t="s">
        <v>2196</v>
      </c>
      <c r="X2" s="712" t="s">
        <v>993</v>
      </c>
      <c r="Y2" s="712" t="s">
        <v>2195</v>
      </c>
      <c r="Z2" s="713" t="s">
        <v>381</v>
      </c>
      <c r="AA2" s="713" t="s">
        <v>379</v>
      </c>
      <c r="AB2" s="712" t="s">
        <v>2196</v>
      </c>
      <c r="AD2" s="712" t="s">
        <v>993</v>
      </c>
      <c r="AE2" s="712" t="s">
        <v>2195</v>
      </c>
      <c r="AF2" s="713" t="s">
        <v>381</v>
      </c>
      <c r="AG2" s="713" t="s">
        <v>379</v>
      </c>
      <c r="AH2" s="712" t="s">
        <v>2196</v>
      </c>
    </row>
    <row r="3" spans="1:34" s="702" customFormat="1" ht="14.4">
      <c r="A3" s="716" t="s">
        <v>2198</v>
      </c>
      <c r="B3" s="717"/>
      <c r="C3" s="717"/>
      <c r="D3" s="718"/>
      <c r="E3" s="718"/>
      <c r="F3" s="717"/>
      <c r="G3" s="719"/>
      <c r="H3" s="720"/>
      <c r="I3" s="752">
        <f>ROUND(AVERAGE($I4:$I25),2)</f>
        <v>2.13</v>
      </c>
      <c r="J3" s="752">
        <f>ROUND(AVERAGE($J4:$J25),2)</f>
        <v>1.51</v>
      </c>
      <c r="K3" s="752">
        <f>ROUND(AVERAGE($K4:$K25),2)</f>
        <v>2.34</v>
      </c>
      <c r="L3" s="752">
        <f>ROUND(AVERAGE($L4:$L25),2)</f>
        <v>1.42</v>
      </c>
      <c r="N3" s="719"/>
      <c r="O3" s="753"/>
      <c r="P3" s="753"/>
      <c r="Q3" s="753"/>
      <c r="R3" s="753"/>
      <c r="S3" s="719"/>
      <c r="T3" s="753"/>
      <c r="U3" s="753"/>
      <c r="V3" s="753"/>
      <c r="W3" s="786"/>
      <c r="X3" s="787">
        <f>ROUND(SUMPRODUCT(PRODUCT(1+N3:N$24)),4)</f>
        <v>1.5099</v>
      </c>
      <c r="Y3" s="787">
        <f>ROUND(SUMPRODUCT(PRODUCT(1+O3:O$24)),4)</f>
        <v>1.3372999999999999</v>
      </c>
      <c r="Z3" s="787">
        <f t="shared" ref="Z3:Z22" si="0">Y3</f>
        <v>1.3372999999999999</v>
      </c>
      <c r="AA3" s="787">
        <f>ROUND(SUMPRODUCT(PRODUCT(1+P3:P$24)),4)</f>
        <v>1.5683</v>
      </c>
      <c r="AB3" s="787">
        <f>ROUND(SUMPRODUCT(PRODUCT(1+Q3:Q$24)),4)</f>
        <v>1.3255999999999999</v>
      </c>
      <c r="AD3" s="808">
        <f>ROUND(AVERAGE(I3:I$25)/100,4)</f>
        <v>2.1299999999999999E-2</v>
      </c>
      <c r="AE3" s="808">
        <f>ROUND(AVERAGE(J3:J$25)/100,4)</f>
        <v>1.5100000000000001E-2</v>
      </c>
      <c r="AF3" s="808">
        <f t="shared" ref="AF3:AF23" si="1">AE3</f>
        <v>1.5100000000000001E-2</v>
      </c>
      <c r="AG3" s="808">
        <f>ROUND(AVERAGE(K3:K$25)/100,4)</f>
        <v>2.3400000000000001E-2</v>
      </c>
      <c r="AH3" s="808">
        <f>ROUND(AVERAGE(L3:L$25)/100,4)</f>
        <v>1.4200000000000001E-2</v>
      </c>
    </row>
    <row r="4" spans="1:34" s="703" customFormat="1" ht="14.4">
      <c r="B4" s="721"/>
      <c r="C4" s="721"/>
      <c r="D4" s="722"/>
      <c r="E4" s="722"/>
      <c r="F4" s="721"/>
      <c r="G4" s="723"/>
      <c r="H4" s="724"/>
      <c r="I4" s="754"/>
      <c r="J4" s="754"/>
      <c r="K4" s="754"/>
      <c r="L4" s="754"/>
      <c r="N4" s="723"/>
      <c r="O4" s="755"/>
      <c r="P4" s="755"/>
      <c r="Q4" s="755"/>
      <c r="R4" s="755"/>
      <c r="S4" s="723"/>
      <c r="T4" s="755"/>
      <c r="U4" s="755"/>
      <c r="V4" s="755"/>
      <c r="W4" s="788"/>
      <c r="X4" s="789"/>
      <c r="Y4" s="789"/>
      <c r="Z4" s="789"/>
      <c r="AA4" s="789"/>
      <c r="AB4" s="789"/>
      <c r="AD4" s="804"/>
      <c r="AE4" s="804"/>
      <c r="AF4" s="804"/>
      <c r="AG4" s="804"/>
      <c r="AH4" s="804"/>
    </row>
    <row r="5" spans="1:34" s="704" customFormat="1">
      <c r="A5" s="725" t="s">
        <v>1601</v>
      </c>
      <c r="B5" s="726">
        <f>B6*(1+N5)</f>
        <v>464.37293017158942</v>
      </c>
      <c r="C5" s="726">
        <f t="shared" ref="C5" si="2">C6*(1+O5)</f>
        <v>344.73679941385956</v>
      </c>
      <c r="D5" s="726">
        <f t="shared" ref="D5" si="3">C5</f>
        <v>344.73679941385956</v>
      </c>
      <c r="E5" s="726">
        <f t="shared" ref="E5" si="4">E6*(1+P5)</f>
        <v>663.2377795103107</v>
      </c>
      <c r="F5" s="726">
        <f t="shared" ref="F5" si="5">F6*(1+Q5)</f>
        <v>304.75936311478398</v>
      </c>
      <c r="G5" s="723">
        <v>2019</v>
      </c>
      <c r="H5" s="727">
        <v>1</v>
      </c>
      <c r="I5" s="756">
        <v>0</v>
      </c>
      <c r="J5" s="756">
        <v>0</v>
      </c>
      <c r="K5" s="756">
        <v>0</v>
      </c>
      <c r="L5" s="756">
        <v>0</v>
      </c>
      <c r="N5" s="757">
        <f t="shared" ref="N5" si="6">I5/100</f>
        <v>0</v>
      </c>
      <c r="O5" s="757">
        <f t="shared" ref="O5" si="7">J5/100</f>
        <v>0</v>
      </c>
      <c r="P5" s="757">
        <f t="shared" ref="P5" si="8">K5/100</f>
        <v>0</v>
      </c>
      <c r="Q5" s="757">
        <f t="shared" ref="Q5" si="9">L5/100</f>
        <v>0</v>
      </c>
      <c r="R5" s="790"/>
      <c r="S5" s="791"/>
      <c r="T5" s="790"/>
      <c r="U5" s="790"/>
      <c r="V5" s="790"/>
      <c r="W5" s="792" t="s">
        <v>2199</v>
      </c>
      <c r="X5" s="793">
        <f>ROUND(IF(项目基本情况!B8="出让",SUMPRODUCT(PRODUCT(1+N5:N$25)),SUMPRODUCT(PRODUCT(1+N5:N$24))),4)</f>
        <v>1.5099</v>
      </c>
      <c r="Y5" s="793">
        <f>ROUND(IF(项目基本情况!B8="出让",SUMPRODUCT(PRODUCT(1+O5:O$25)),SUMPRODUCT(PRODUCT(1+O5:O$24))),4)</f>
        <v>1.3372999999999999</v>
      </c>
      <c r="Z5" s="793">
        <f t="shared" ref="Z5" si="10">Y5</f>
        <v>1.3372999999999999</v>
      </c>
      <c r="AA5" s="793">
        <f>ROUND(IF(项目基本情况!B8="出让",SUMPRODUCT(PRODUCT(1+P5:P$25)),SUMPRODUCT(PRODUCT(1+P5:P$24))),4)</f>
        <v>1.5683</v>
      </c>
      <c r="AB5" s="793">
        <f>ROUND(IF(项目基本情况!B8="出让",SUMPRODUCT(PRODUCT(1+Q5:Q$25)),SUMPRODUCT(PRODUCT(1+Q5:Q$24))),4)</f>
        <v>1.3255999999999999</v>
      </c>
      <c r="AD5" s="809">
        <f>ROUND(AVERAGE(I5:I$25)/100,4)</f>
        <v>2.1299999999999999E-2</v>
      </c>
      <c r="AE5" s="809">
        <f>ROUND(AVERAGE(J5:J$25)/100,4)</f>
        <v>1.5100000000000001E-2</v>
      </c>
      <c r="AF5" s="809">
        <f t="shared" ref="AF5" si="11">AE5</f>
        <v>1.5100000000000001E-2</v>
      </c>
      <c r="AG5" s="809">
        <f>ROUND(AVERAGE(K5:K$25)/100,4)</f>
        <v>2.3400000000000001E-2</v>
      </c>
      <c r="AH5" s="809">
        <f>ROUND(AVERAGE(L5:L$25)/100,4)</f>
        <v>1.4200000000000001E-2</v>
      </c>
    </row>
    <row r="6" spans="1:34" s="705" customFormat="1">
      <c r="A6" s="728" t="s">
        <v>1600</v>
      </c>
      <c r="B6" s="729">
        <f>B7*(1+N6)</f>
        <v>464.37293017158942</v>
      </c>
      <c r="C6" s="729">
        <f t="shared" ref="C6" si="12">C7*(1+O6)</f>
        <v>344.73679941385956</v>
      </c>
      <c r="D6" s="729">
        <f t="shared" ref="D6" si="13">C6</f>
        <v>344.73679941385956</v>
      </c>
      <c r="E6" s="729">
        <f t="shared" ref="E6" si="14">E7*(1+P6)</f>
        <v>663.2377795103107</v>
      </c>
      <c r="F6" s="729">
        <f t="shared" ref="F6" si="15">F7*(1+Q6)</f>
        <v>304.75936311478398</v>
      </c>
      <c r="G6" s="3441">
        <v>2018</v>
      </c>
      <c r="H6" s="730">
        <v>4</v>
      </c>
      <c r="I6" s="758">
        <v>0.96</v>
      </c>
      <c r="J6" s="758">
        <v>1.03</v>
      </c>
      <c r="K6" s="758">
        <v>0.92</v>
      </c>
      <c r="L6" s="759">
        <v>1.29</v>
      </c>
      <c r="M6" s="709"/>
      <c r="N6" s="760">
        <f t="shared" ref="N6" si="16">I6/100</f>
        <v>9.5999999999999992E-3</v>
      </c>
      <c r="O6" s="761">
        <f t="shared" ref="O6" si="17">J6/100</f>
        <v>1.03E-2</v>
      </c>
      <c r="P6" s="761">
        <f t="shared" ref="P6" si="18">K6/100</f>
        <v>9.1999999999999998E-3</v>
      </c>
      <c r="Q6" s="761">
        <f t="shared" ref="Q6" si="19">L6/100</f>
        <v>1.29E-2</v>
      </c>
      <c r="R6" s="794"/>
      <c r="S6" s="795"/>
      <c r="T6" s="796"/>
      <c r="U6" s="796"/>
      <c r="V6" s="796"/>
      <c r="W6" s="709"/>
      <c r="X6" s="789">
        <f>ROUND(SUMPRODUCT(PRODUCT(1+N6:N$24)),4)</f>
        <v>1.5099</v>
      </c>
      <c r="Y6" s="789">
        <f>ROUND(SUMPRODUCT(PRODUCT(1+O6:O$24)),4)</f>
        <v>1.3372999999999999</v>
      </c>
      <c r="Z6" s="789">
        <f t="shared" ref="Z6" si="20">Y6</f>
        <v>1.3372999999999999</v>
      </c>
      <c r="AA6" s="789">
        <f>ROUND(SUMPRODUCT(PRODUCT(1+P6:P$24)),4)</f>
        <v>1.5683</v>
      </c>
      <c r="AB6" s="789">
        <f>ROUND(SUMPRODUCT(PRODUCT(1+Q6:Q$24)),4)</f>
        <v>1.3255999999999999</v>
      </c>
      <c r="AC6" s="709"/>
      <c r="AD6" s="804">
        <f>ROUND(AVERAGE(I6:I$25)/100,4)</f>
        <v>2.24E-2</v>
      </c>
      <c r="AE6" s="804">
        <f>ROUND(AVERAGE(J6:J$25)/100,4)</f>
        <v>1.5800000000000002E-2</v>
      </c>
      <c r="AF6" s="804">
        <f t="shared" ref="AF6" si="21">AE6</f>
        <v>1.5800000000000002E-2</v>
      </c>
      <c r="AG6" s="804">
        <f>ROUND(AVERAGE(K6:K$25)/100,4)</f>
        <v>2.4500000000000001E-2</v>
      </c>
      <c r="AH6" s="804">
        <f>ROUND(AVERAGE(L6:L$25)/100,4)</f>
        <v>1.49E-2</v>
      </c>
    </row>
    <row r="7" spans="1:34" s="705" customFormat="1" ht="14.4" customHeight="1">
      <c r="A7" s="728" t="s">
        <v>1599</v>
      </c>
      <c r="B7" s="729">
        <f>B8*(1+N7)</f>
        <v>459.95733971036987</v>
      </c>
      <c r="C7" s="729">
        <f t="shared" ref="C7" si="22">C8*(1+O7)</f>
        <v>341.22221064422405</v>
      </c>
      <c r="D7" s="729">
        <f t="shared" ref="D7" si="23">C7</f>
        <v>341.22221064422405</v>
      </c>
      <c r="E7" s="729">
        <f t="shared" ref="E7" si="24">E8*(1+P7)</f>
        <v>657.19161663724799</v>
      </c>
      <c r="F7" s="729">
        <f t="shared" ref="F7" si="25">F8*(1+Q7)</f>
        <v>300.87803644464805</v>
      </c>
      <c r="G7" s="3441"/>
      <c r="H7" s="730">
        <v>3</v>
      </c>
      <c r="I7" s="730">
        <v>1.51</v>
      </c>
      <c r="J7" s="730">
        <v>1.41</v>
      </c>
      <c r="K7" s="730">
        <v>1.52</v>
      </c>
      <c r="L7" s="762">
        <v>1.74</v>
      </c>
      <c r="M7" s="709"/>
      <c r="N7" s="760">
        <f t="shared" ref="N7" si="26">I7/100</f>
        <v>1.5100000000000001E-2</v>
      </c>
      <c r="O7" s="761">
        <f t="shared" ref="O7" si="27">J7/100</f>
        <v>1.41E-2</v>
      </c>
      <c r="P7" s="761">
        <f t="shared" ref="P7" si="28">K7/100</f>
        <v>1.52E-2</v>
      </c>
      <c r="Q7" s="761">
        <f t="shared" ref="Q7" si="29">L7/100</f>
        <v>1.7399999999999999E-2</v>
      </c>
      <c r="R7" s="794"/>
      <c r="S7" s="760"/>
      <c r="T7" s="761"/>
      <c r="U7" s="761"/>
      <c r="V7" s="761"/>
      <c r="W7" s="709"/>
      <c r="X7" s="789">
        <f>ROUND(SUMPRODUCT(PRODUCT(1+N7:N$24)),4)</f>
        <v>1.4956</v>
      </c>
      <c r="Y7" s="789">
        <f>ROUND(SUMPRODUCT(PRODUCT(1+O7:O$24)),4)</f>
        <v>1.3237000000000001</v>
      </c>
      <c r="Z7" s="789">
        <f t="shared" ref="Z7" si="30">Y7</f>
        <v>1.3237000000000001</v>
      </c>
      <c r="AA7" s="789">
        <f>ROUND(SUMPRODUCT(PRODUCT(1+P7:P$24)),4)</f>
        <v>1.554</v>
      </c>
      <c r="AB7" s="789">
        <f>ROUND(SUMPRODUCT(PRODUCT(1+Q7:Q$24)),4)</f>
        <v>1.3087</v>
      </c>
      <c r="AC7" s="709"/>
      <c r="AD7" s="804">
        <f>ROUND(AVERAGE(I7:I$25)/100,4)</f>
        <v>2.3099999999999999E-2</v>
      </c>
      <c r="AE7" s="804">
        <f>ROUND(AVERAGE(J7:J$25)/100,4)</f>
        <v>1.61E-2</v>
      </c>
      <c r="AF7" s="804">
        <f t="shared" ref="AF7" si="31">AE7</f>
        <v>1.61E-2</v>
      </c>
      <c r="AG7" s="804">
        <f>ROUND(AVERAGE(K7:K$25)/100,4)</f>
        <v>2.53E-2</v>
      </c>
      <c r="AH7" s="804">
        <f>ROUND(AVERAGE(L7:L$25)/100,4)</f>
        <v>1.4999999999999999E-2</v>
      </c>
    </row>
    <row r="8" spans="1:34" s="705" customFormat="1" ht="14.4" customHeight="1">
      <c r="A8" s="728" t="s">
        <v>1598</v>
      </c>
      <c r="B8" s="729">
        <f>B9*(1+N8)</f>
        <v>453.11529869999993</v>
      </c>
      <c r="C8" s="729">
        <f t="shared" ref="C8" si="32">C9*(1+O8)</f>
        <v>336.47787264000004</v>
      </c>
      <c r="D8" s="729">
        <f t="shared" ref="D8" si="33">C8</f>
        <v>336.47787264000004</v>
      </c>
      <c r="E8" s="729">
        <f t="shared" ref="E8" si="34">E9*(1+P8)</f>
        <v>647.35186823999993</v>
      </c>
      <c r="F8" s="729">
        <f t="shared" ref="F8" si="35">F9*(1+Q8)</f>
        <v>295.73229452000004</v>
      </c>
      <c r="G8" s="3441"/>
      <c r="H8" s="730">
        <v>2</v>
      </c>
      <c r="I8" s="730">
        <v>1.49</v>
      </c>
      <c r="J8" s="730">
        <v>0.96</v>
      </c>
      <c r="K8" s="730">
        <v>1.58</v>
      </c>
      <c r="L8" s="762">
        <v>2.44</v>
      </c>
      <c r="M8" s="709"/>
      <c r="N8" s="760">
        <f t="shared" ref="N8" si="36">I8/100</f>
        <v>1.49E-2</v>
      </c>
      <c r="O8" s="761">
        <f t="shared" ref="O8" si="37">J8/100</f>
        <v>9.5999999999999992E-3</v>
      </c>
      <c r="P8" s="761">
        <f t="shared" ref="P8" si="38">K8/100</f>
        <v>1.5800000000000002E-2</v>
      </c>
      <c r="Q8" s="761">
        <f t="shared" ref="Q8" si="39">L8/100</f>
        <v>2.4399999999999998E-2</v>
      </c>
      <c r="R8" s="794"/>
      <c r="S8" s="760"/>
      <c r="T8" s="761"/>
      <c r="U8" s="761"/>
      <c r="V8" s="761"/>
      <c r="W8" s="709"/>
      <c r="X8" s="789">
        <f>ROUND(SUMPRODUCT(PRODUCT(1+N8:N$24)),4)</f>
        <v>1.4733000000000001</v>
      </c>
      <c r="Y8" s="789">
        <f>ROUND(SUMPRODUCT(PRODUCT(1+O8:O$24)),4)</f>
        <v>1.3052999999999999</v>
      </c>
      <c r="Z8" s="789">
        <f t="shared" ref="Z8" si="40">Y8</f>
        <v>1.3052999999999999</v>
      </c>
      <c r="AA8" s="789">
        <f>ROUND(SUMPRODUCT(PRODUCT(1+P8:P$24)),4)</f>
        <v>1.5306999999999999</v>
      </c>
      <c r="AB8" s="789">
        <f>ROUND(SUMPRODUCT(PRODUCT(1+Q8:Q$24)),4)</f>
        <v>1.2863</v>
      </c>
      <c r="AC8" s="709"/>
      <c r="AD8" s="804">
        <f>ROUND(AVERAGE(I8:I$25)/100,4)</f>
        <v>2.35E-2</v>
      </c>
      <c r="AE8" s="804">
        <f>ROUND(AVERAGE(J8:J$25)/100,4)</f>
        <v>1.6199999999999999E-2</v>
      </c>
      <c r="AF8" s="804">
        <f t="shared" ref="AF8" si="41">AE8</f>
        <v>1.6199999999999999E-2</v>
      </c>
      <c r="AG8" s="804">
        <f>ROUND(AVERAGE(K8:K$25)/100,4)</f>
        <v>2.5899999999999999E-2</v>
      </c>
      <c r="AH8" s="804">
        <f>ROUND(AVERAGE(L8:L$25)/100,4)</f>
        <v>1.49E-2</v>
      </c>
    </row>
    <row r="9" spans="1:34" s="705" customFormat="1" ht="15" customHeight="1">
      <c r="A9" s="728" t="s">
        <v>1597</v>
      </c>
      <c r="B9" s="729">
        <f>B10*(1+N9)</f>
        <v>446.46299999999997</v>
      </c>
      <c r="C9" s="729">
        <f t="shared" ref="C9" si="42">C10*(1+O9)</f>
        <v>333.27840000000003</v>
      </c>
      <c r="D9" s="729">
        <f t="shared" ref="D9:D14" si="43">C9</f>
        <v>333.27840000000003</v>
      </c>
      <c r="E9" s="729">
        <f t="shared" ref="E9" si="44">E10*(1+P9)</f>
        <v>637.28279999999995</v>
      </c>
      <c r="F9" s="729">
        <f t="shared" ref="F9" si="45">F10*(1+Q9)</f>
        <v>288.68830000000003</v>
      </c>
      <c r="G9" s="3442"/>
      <c r="H9" s="730">
        <v>1</v>
      </c>
      <c r="I9" s="730">
        <v>1.7</v>
      </c>
      <c r="J9" s="730">
        <v>1.92</v>
      </c>
      <c r="K9" s="730">
        <v>1.64</v>
      </c>
      <c r="L9" s="762">
        <v>2.0099999999999998</v>
      </c>
      <c r="M9" s="709"/>
      <c r="N9" s="760">
        <f t="shared" ref="N9:N14" si="46">I9/100</f>
        <v>1.7000000000000001E-2</v>
      </c>
      <c r="O9" s="761">
        <f t="shared" ref="O9" si="47">J9/100</f>
        <v>1.9199999999999998E-2</v>
      </c>
      <c r="P9" s="761">
        <f t="shared" ref="P9" si="48">K9/100</f>
        <v>1.6399999999999998E-2</v>
      </c>
      <c r="Q9" s="761">
        <f t="shared" ref="Q9" si="49">L9/100</f>
        <v>2.0099999999999996E-2</v>
      </c>
      <c r="R9" s="794"/>
      <c r="S9" s="768">
        <f>B9/B10-1</f>
        <v>1.6999999999999904E-2</v>
      </c>
      <c r="T9" s="769">
        <f>C9/C10-1</f>
        <v>1.9200000000000106E-2</v>
      </c>
      <c r="U9" s="769">
        <f>E9/E10-1</f>
        <v>1.639999999999997E-2</v>
      </c>
      <c r="V9" s="769">
        <f>F9/F10-1</f>
        <v>2.0100000000000007E-2</v>
      </c>
      <c r="W9" s="709"/>
      <c r="X9" s="789">
        <f>ROUND(SUMPRODUCT(PRODUCT(1+N9:N$24)),4)</f>
        <v>1.4517</v>
      </c>
      <c r="Y9" s="789">
        <f>ROUND(SUMPRODUCT(PRODUCT(1+O9:O$24)),4)</f>
        <v>1.2928999999999999</v>
      </c>
      <c r="Z9" s="789">
        <f t="shared" ref="Z9" si="50">Y9</f>
        <v>1.2928999999999999</v>
      </c>
      <c r="AA9" s="789">
        <f>ROUND(SUMPRODUCT(PRODUCT(1+P9:P$24)),4)</f>
        <v>1.5068999999999999</v>
      </c>
      <c r="AB9" s="789">
        <f>ROUND(SUMPRODUCT(PRODUCT(1+Q9:Q$24)),4)</f>
        <v>1.2557</v>
      </c>
      <c r="AC9" s="709"/>
      <c r="AD9" s="804">
        <f>ROUND(AVERAGE(I9:I$25)/100,4)</f>
        <v>2.4E-2</v>
      </c>
      <c r="AE9" s="804">
        <f>ROUND(AVERAGE(J9:J$25)/100,4)</f>
        <v>1.66E-2</v>
      </c>
      <c r="AF9" s="804">
        <f t="shared" ref="AF9" si="51">AE9</f>
        <v>1.66E-2</v>
      </c>
      <c r="AG9" s="804">
        <f>ROUND(AVERAGE(K9:K$25)/100,4)</f>
        <v>2.6499999999999999E-2</v>
      </c>
      <c r="AH9" s="804">
        <f>ROUND(AVERAGE(L9:L$25)/100,4)</f>
        <v>1.43E-2</v>
      </c>
    </row>
    <row r="10" spans="1:34">
      <c r="A10" s="728" t="s">
        <v>2200</v>
      </c>
      <c r="B10" s="731">
        <v>439</v>
      </c>
      <c r="C10" s="731">
        <v>327</v>
      </c>
      <c r="D10" s="731">
        <f t="shared" si="43"/>
        <v>327</v>
      </c>
      <c r="E10" s="731">
        <v>627</v>
      </c>
      <c r="F10" s="732">
        <v>283</v>
      </c>
      <c r="G10" s="3443">
        <v>2017</v>
      </c>
      <c r="H10" s="733">
        <v>4</v>
      </c>
      <c r="I10" s="733">
        <v>1.71</v>
      </c>
      <c r="J10" s="733">
        <v>1.78</v>
      </c>
      <c r="K10" s="733">
        <v>1.71</v>
      </c>
      <c r="L10" s="763">
        <v>1.43</v>
      </c>
      <c r="N10" s="764">
        <f t="shared" si="46"/>
        <v>1.7100000000000001E-2</v>
      </c>
      <c r="O10" s="765">
        <f t="shared" ref="O10" si="52">J10/100</f>
        <v>1.78E-2</v>
      </c>
      <c r="P10" s="765">
        <f t="shared" ref="P10" si="53">K10/100</f>
        <v>1.7100000000000001E-2</v>
      </c>
      <c r="Q10" s="765">
        <f t="shared" ref="Q10" si="54">L10/100</f>
        <v>1.43E-2</v>
      </c>
      <c r="R10" s="794"/>
      <c r="S10" s="795"/>
      <c r="T10" s="796"/>
      <c r="U10" s="796"/>
      <c r="V10" s="796"/>
      <c r="X10" s="789">
        <f>ROUND(SUMPRODUCT(PRODUCT(1+N10:N$24)),4)</f>
        <v>1.4274</v>
      </c>
      <c r="Y10" s="789">
        <f>ROUND(SUMPRODUCT(PRODUCT(1+O10:O$24)),4)</f>
        <v>1.2685</v>
      </c>
      <c r="Z10" s="789">
        <f t="shared" si="0"/>
        <v>1.2685</v>
      </c>
      <c r="AA10" s="789">
        <f>ROUND(SUMPRODUCT(PRODUCT(1+P10:P$24)),4)</f>
        <v>1.4825999999999999</v>
      </c>
      <c r="AB10" s="789">
        <f>ROUND(SUMPRODUCT(PRODUCT(1+Q10:Q$24)),4)</f>
        <v>1.2309000000000001</v>
      </c>
      <c r="AD10" s="804">
        <f>ROUND(AVERAGE(I10:I$25)/100,4)</f>
        <v>2.4500000000000001E-2</v>
      </c>
      <c r="AE10" s="804">
        <f>ROUND(AVERAGE(J10:J$25)/100,4)</f>
        <v>1.6500000000000001E-2</v>
      </c>
      <c r="AF10" s="804">
        <f t="shared" si="1"/>
        <v>1.6500000000000001E-2</v>
      </c>
      <c r="AG10" s="804">
        <f>ROUND(AVERAGE(K10:K$25)/100,4)</f>
        <v>2.7099999999999999E-2</v>
      </c>
      <c r="AH10" s="804">
        <f>ROUND(AVERAGE(L10:L$25)/100,4)</f>
        <v>1.3899999999999999E-2</v>
      </c>
    </row>
    <row r="11" spans="1:34" s="705" customFormat="1" ht="14.4" customHeight="1">
      <c r="A11" s="728" t="s">
        <v>2201</v>
      </c>
      <c r="B11" s="729">
        <f t="shared" ref="B11:C13" si="55">B12*(1+N11)</f>
        <v>431.80730811680002</v>
      </c>
      <c r="C11" s="729">
        <f t="shared" si="55"/>
        <v>320.57880516480003</v>
      </c>
      <c r="D11" s="729">
        <f t="shared" si="43"/>
        <v>320.57880516480003</v>
      </c>
      <c r="E11" s="729">
        <f t="shared" ref="E11:F13" si="56">E12*(1+P11)</f>
        <v>615.96110553196797</v>
      </c>
      <c r="F11" s="729">
        <f t="shared" si="56"/>
        <v>279.46777300108801</v>
      </c>
      <c r="G11" s="3441"/>
      <c r="H11" s="730">
        <v>3</v>
      </c>
      <c r="I11" s="730">
        <v>2.98</v>
      </c>
      <c r="J11" s="730">
        <v>2.11</v>
      </c>
      <c r="K11" s="730">
        <v>3.24</v>
      </c>
      <c r="L11" s="762">
        <v>1.72</v>
      </c>
      <c r="M11" s="709"/>
      <c r="N11" s="760">
        <f t="shared" si="46"/>
        <v>2.98E-2</v>
      </c>
      <c r="O11" s="766">
        <f t="shared" ref="O11:O12" si="57">J11/100</f>
        <v>2.1099999999999997E-2</v>
      </c>
      <c r="P11" s="766">
        <f t="shared" ref="P11:P12" si="58">K11/100</f>
        <v>3.2400000000000005E-2</v>
      </c>
      <c r="Q11" s="766">
        <f t="shared" ref="Q11:Q12" si="59">L11/100</f>
        <v>1.72E-2</v>
      </c>
      <c r="R11" s="794"/>
      <c r="S11" s="760"/>
      <c r="T11" s="761"/>
      <c r="U11" s="761"/>
      <c r="V11" s="761"/>
      <c r="W11" s="709"/>
      <c r="X11" s="789">
        <f>ROUND(SUMPRODUCT(PRODUCT(1+N11:N$24)),4)</f>
        <v>1.4034</v>
      </c>
      <c r="Y11" s="789">
        <f>ROUND(SUMPRODUCT(PRODUCT(1+O11:O$24)),4)</f>
        <v>1.2463</v>
      </c>
      <c r="Z11" s="789">
        <f t="shared" si="0"/>
        <v>1.2463</v>
      </c>
      <c r="AA11" s="789">
        <f>ROUND(SUMPRODUCT(PRODUCT(1+P11:P$24)),4)</f>
        <v>1.4577</v>
      </c>
      <c r="AB11" s="789">
        <f>ROUND(SUMPRODUCT(PRODUCT(1+Q11:Q$24)),4)</f>
        <v>1.2136</v>
      </c>
      <c r="AC11" s="709"/>
      <c r="AD11" s="804">
        <f>ROUND(AVERAGE(I11:I$25)/100,4)</f>
        <v>2.4899999999999999E-2</v>
      </c>
      <c r="AE11" s="804">
        <f>ROUND(AVERAGE(J11:J$25)/100,4)</f>
        <v>1.6400000000000001E-2</v>
      </c>
      <c r="AF11" s="804">
        <f t="shared" si="1"/>
        <v>1.6400000000000001E-2</v>
      </c>
      <c r="AG11" s="804">
        <f>ROUND(AVERAGE(K11:K$25)/100,4)</f>
        <v>2.7799999999999998E-2</v>
      </c>
      <c r="AH11" s="804">
        <f>ROUND(AVERAGE(L11:L$25)/100,4)</f>
        <v>1.3899999999999999E-2</v>
      </c>
    </row>
    <row r="12" spans="1:34" s="700" customFormat="1" ht="14.4" customHeight="1">
      <c r="A12" s="728" t="s">
        <v>2202</v>
      </c>
      <c r="B12" s="729">
        <f t="shared" si="55"/>
        <v>419.31181600000002</v>
      </c>
      <c r="C12" s="729">
        <f t="shared" si="55"/>
        <v>313.95436800000004</v>
      </c>
      <c r="D12" s="729">
        <f t="shared" si="43"/>
        <v>313.95436800000004</v>
      </c>
      <c r="E12" s="729">
        <f t="shared" si="56"/>
        <v>596.63028431999999</v>
      </c>
      <c r="F12" s="729">
        <f t="shared" si="56"/>
        <v>274.74220703999998</v>
      </c>
      <c r="G12" s="3441"/>
      <c r="H12" s="734">
        <v>2</v>
      </c>
      <c r="I12" s="734">
        <v>3.4</v>
      </c>
      <c r="J12" s="734">
        <v>2</v>
      </c>
      <c r="K12" s="734">
        <v>3.82</v>
      </c>
      <c r="L12" s="767">
        <v>1.68</v>
      </c>
      <c r="N12" s="760">
        <f t="shared" si="46"/>
        <v>3.4000000000000002E-2</v>
      </c>
      <c r="O12" s="766">
        <f t="shared" si="57"/>
        <v>0.02</v>
      </c>
      <c r="P12" s="766">
        <f t="shared" si="58"/>
        <v>3.8199999999999998E-2</v>
      </c>
      <c r="Q12" s="766">
        <f t="shared" si="59"/>
        <v>1.6799999999999999E-2</v>
      </c>
      <c r="R12" s="711"/>
      <c r="S12" s="760"/>
      <c r="T12" s="761"/>
      <c r="U12" s="761"/>
      <c r="V12" s="761"/>
      <c r="X12" s="789">
        <f>ROUND(SUMPRODUCT(PRODUCT(1+N12:N$24)),4)</f>
        <v>1.3628</v>
      </c>
      <c r="Y12" s="789">
        <f>ROUND(SUMPRODUCT(PRODUCT(1+O12:O$24)),4)</f>
        <v>1.2205999999999999</v>
      </c>
      <c r="Z12" s="789">
        <f t="shared" si="0"/>
        <v>1.2205999999999999</v>
      </c>
      <c r="AA12" s="789">
        <f>ROUND(SUMPRODUCT(PRODUCT(1+P12:P$24)),4)</f>
        <v>1.4118999999999999</v>
      </c>
      <c r="AB12" s="789">
        <f>ROUND(SUMPRODUCT(PRODUCT(1+Q12:Q$24)),4)</f>
        <v>1.1930000000000001</v>
      </c>
      <c r="AD12" s="804">
        <f>ROUND(AVERAGE(I12:I$25)/100,4)</f>
        <v>2.46E-2</v>
      </c>
      <c r="AE12" s="804">
        <f>ROUND(AVERAGE(J12:J$25)/100,4)</f>
        <v>1.6E-2</v>
      </c>
      <c r="AF12" s="804">
        <f t="shared" si="1"/>
        <v>1.6E-2</v>
      </c>
      <c r="AG12" s="804">
        <f>ROUND(AVERAGE(K12:K$25)/100,4)</f>
        <v>2.75E-2</v>
      </c>
      <c r="AH12" s="804">
        <f>ROUND(AVERAGE(L12:L$25)/100,4)</f>
        <v>1.37E-2</v>
      </c>
    </row>
    <row r="13" spans="1:34" s="705" customFormat="1" ht="15" customHeight="1">
      <c r="A13" s="728" t="s">
        <v>2203</v>
      </c>
      <c r="B13" s="729">
        <f t="shared" si="55"/>
        <v>405.524</v>
      </c>
      <c r="C13" s="729">
        <f t="shared" si="55"/>
        <v>307.79840000000002</v>
      </c>
      <c r="D13" s="729">
        <f t="shared" si="43"/>
        <v>307.79840000000002</v>
      </c>
      <c r="E13" s="729">
        <f t="shared" si="56"/>
        <v>574.67759999999998</v>
      </c>
      <c r="F13" s="729">
        <f t="shared" si="56"/>
        <v>270.20280000000002</v>
      </c>
      <c r="G13" s="3442"/>
      <c r="H13" s="730">
        <v>1</v>
      </c>
      <c r="I13" s="730">
        <v>3.45</v>
      </c>
      <c r="J13" s="730">
        <v>1.92</v>
      </c>
      <c r="K13" s="730">
        <v>3.92</v>
      </c>
      <c r="L13" s="762">
        <v>1.58</v>
      </c>
      <c r="M13" s="709"/>
      <c r="N13" s="768">
        <f t="shared" si="46"/>
        <v>3.4500000000000003E-2</v>
      </c>
      <c r="O13" s="769">
        <f t="shared" ref="O13" si="60">J13/100</f>
        <v>1.9199999999999998E-2</v>
      </c>
      <c r="P13" s="769">
        <f t="shared" ref="P13" si="61">K13/100</f>
        <v>3.9199999999999999E-2</v>
      </c>
      <c r="Q13" s="769">
        <f t="shared" ref="Q13" si="62">L13/100</f>
        <v>1.5800000000000002E-2</v>
      </c>
      <c r="R13" s="794"/>
      <c r="S13" s="768">
        <f>B13/B14-1</f>
        <v>3.4499999999999975E-2</v>
      </c>
      <c r="T13" s="769">
        <f>C13/C14-1</f>
        <v>1.9200000000000106E-2</v>
      </c>
      <c r="U13" s="769">
        <f>E13/E14-1</f>
        <v>3.9199999999999902E-2</v>
      </c>
      <c r="V13" s="769">
        <f>F13/F14-1</f>
        <v>1.5800000000000036E-2</v>
      </c>
      <c r="W13" s="709"/>
      <c r="X13" s="789">
        <f>ROUND(SUMPRODUCT(PRODUCT(1+N13:N$24)),4)</f>
        <v>1.3180000000000001</v>
      </c>
      <c r="Y13" s="789">
        <f>ROUND(SUMPRODUCT(PRODUCT(1+O13:O$24)),4)</f>
        <v>1.1966000000000001</v>
      </c>
      <c r="Z13" s="789">
        <f t="shared" si="0"/>
        <v>1.1966000000000001</v>
      </c>
      <c r="AA13" s="789">
        <f>ROUND(SUMPRODUCT(PRODUCT(1+P13:P$24)),4)</f>
        <v>1.36</v>
      </c>
      <c r="AB13" s="789">
        <f>ROUND(SUMPRODUCT(PRODUCT(1+Q13:Q$24)),4)</f>
        <v>1.1733</v>
      </c>
      <c r="AC13" s="709"/>
      <c r="AD13" s="804">
        <f>ROUND(AVERAGE(I13:I$25)/100,4)</f>
        <v>2.3900000000000001E-2</v>
      </c>
      <c r="AE13" s="804">
        <f>ROUND(AVERAGE(J13:J$25)/100,4)</f>
        <v>1.5699999999999999E-2</v>
      </c>
      <c r="AF13" s="804">
        <f t="shared" si="1"/>
        <v>1.5699999999999999E-2</v>
      </c>
      <c r="AG13" s="804">
        <f>ROUND(AVERAGE(K13:K$25)/100,4)</f>
        <v>2.6599999999999999E-2</v>
      </c>
      <c r="AH13" s="804">
        <f>ROUND(AVERAGE(L13:L$25)/100,4)</f>
        <v>1.34E-2</v>
      </c>
    </row>
    <row r="14" spans="1:34">
      <c r="A14" s="728" t="s">
        <v>2204</v>
      </c>
      <c r="B14" s="735">
        <v>392</v>
      </c>
      <c r="C14" s="735">
        <v>302</v>
      </c>
      <c r="D14" s="735">
        <f t="shared" si="43"/>
        <v>302</v>
      </c>
      <c r="E14" s="735">
        <v>553</v>
      </c>
      <c r="F14" s="736">
        <v>266</v>
      </c>
      <c r="G14" s="3443">
        <v>2016</v>
      </c>
      <c r="H14" s="733">
        <v>4</v>
      </c>
      <c r="I14" s="733">
        <v>4.5599999999999996</v>
      </c>
      <c r="J14" s="733">
        <v>2.15</v>
      </c>
      <c r="K14" s="733">
        <v>5.32</v>
      </c>
      <c r="L14" s="763">
        <v>1.57</v>
      </c>
      <c r="N14" s="760">
        <f t="shared" si="46"/>
        <v>4.5599999999999995E-2</v>
      </c>
      <c r="O14" s="761">
        <f t="shared" ref="O14:Q29" si="63">J14/100</f>
        <v>2.1499999999999998E-2</v>
      </c>
      <c r="P14" s="761">
        <f t="shared" si="63"/>
        <v>5.3200000000000004E-2</v>
      </c>
      <c r="Q14" s="761">
        <f t="shared" si="63"/>
        <v>1.5700000000000002E-2</v>
      </c>
      <c r="R14" s="794"/>
      <c r="S14" s="795"/>
      <c r="T14" s="796"/>
      <c r="U14" s="796"/>
      <c r="V14" s="796"/>
      <c r="X14" s="789">
        <f>ROUND(SUMPRODUCT(PRODUCT(1+N14:N$24)),4)</f>
        <v>1.274</v>
      </c>
      <c r="Y14" s="789">
        <f>ROUND(SUMPRODUCT(PRODUCT(1+O14:O$24)),4)</f>
        <v>1.1740999999999999</v>
      </c>
      <c r="Z14" s="789">
        <f t="shared" si="0"/>
        <v>1.1740999999999999</v>
      </c>
      <c r="AA14" s="789">
        <f>ROUND(SUMPRODUCT(PRODUCT(1+P14:P$24)),4)</f>
        <v>1.3087</v>
      </c>
      <c r="AB14" s="789">
        <f>ROUND(SUMPRODUCT(PRODUCT(1+Q14:Q$24)),4)</f>
        <v>1.1551</v>
      </c>
      <c r="AD14" s="804">
        <f>ROUND(AVERAGE(I14:I$25)/100,4)</f>
        <v>2.3E-2</v>
      </c>
      <c r="AE14" s="804">
        <f>ROUND(AVERAGE(J14:J$25)/100,4)</f>
        <v>1.55E-2</v>
      </c>
      <c r="AF14" s="804">
        <f t="shared" si="1"/>
        <v>1.55E-2</v>
      </c>
      <c r="AG14" s="804">
        <f>ROUND(AVERAGE(K14:K$25)/100,4)</f>
        <v>2.5600000000000001E-2</v>
      </c>
      <c r="AH14" s="804">
        <f>ROUND(AVERAGE(L14:L$25)/100,4)</f>
        <v>1.32E-2</v>
      </c>
    </row>
    <row r="15" spans="1:34">
      <c r="A15" s="728" t="s">
        <v>2205</v>
      </c>
      <c r="B15" s="729">
        <f t="shared" ref="B15:C17" si="64">B14/(1+N14)</f>
        <v>374.90436113236416</v>
      </c>
      <c r="C15" s="729">
        <f t="shared" si="64"/>
        <v>295.64366128242779</v>
      </c>
      <c r="D15" s="729">
        <f t="shared" ref="D15:D74" si="65">C15</f>
        <v>295.64366128242779</v>
      </c>
      <c r="E15" s="729">
        <f t="shared" ref="E15:F17" si="66">E14/(1+P14)</f>
        <v>525.06646410938095</v>
      </c>
      <c r="F15" s="729">
        <f t="shared" si="66"/>
        <v>261.88835286009646</v>
      </c>
      <c r="G15" s="3441"/>
      <c r="H15" s="730">
        <v>3</v>
      </c>
      <c r="I15" s="730">
        <v>4.12</v>
      </c>
      <c r="J15" s="730">
        <v>2</v>
      </c>
      <c r="K15" s="730">
        <v>4.79</v>
      </c>
      <c r="L15" s="762">
        <v>1.97</v>
      </c>
      <c r="N15" s="760">
        <f t="shared" ref="N15:Q49" si="67">I15/100</f>
        <v>4.1200000000000001E-2</v>
      </c>
      <c r="O15" s="761">
        <f t="shared" si="63"/>
        <v>0.02</v>
      </c>
      <c r="P15" s="761">
        <f t="shared" si="63"/>
        <v>4.7899999999999998E-2</v>
      </c>
      <c r="Q15" s="761">
        <f t="shared" si="63"/>
        <v>1.9699999999999999E-2</v>
      </c>
      <c r="R15" s="794"/>
      <c r="S15" s="760"/>
      <c r="T15" s="761"/>
      <c r="U15" s="761"/>
      <c r="V15" s="761"/>
      <c r="X15" s="789">
        <f>ROUND(SUMPRODUCT(PRODUCT(1+N15:N$24)),4)</f>
        <v>1.2184999999999999</v>
      </c>
      <c r="Y15" s="789">
        <f>ROUND(SUMPRODUCT(PRODUCT(1+O15:O$24)),4)</f>
        <v>1.1494</v>
      </c>
      <c r="Z15" s="789">
        <f t="shared" si="0"/>
        <v>1.1494</v>
      </c>
      <c r="AA15" s="789">
        <f>ROUND(SUMPRODUCT(PRODUCT(1+P15:P$24)),4)</f>
        <v>1.2425999999999999</v>
      </c>
      <c r="AB15" s="789">
        <f>ROUND(SUMPRODUCT(PRODUCT(1+Q15:Q$24)),4)</f>
        <v>1.1372</v>
      </c>
      <c r="AD15" s="804">
        <f>ROUND(AVERAGE(I15:I$25)/100,4)</f>
        <v>2.0899999999999998E-2</v>
      </c>
      <c r="AE15" s="804">
        <f>ROUND(AVERAGE(J15:J$25)/100,4)</f>
        <v>1.49E-2</v>
      </c>
      <c r="AF15" s="804">
        <f t="shared" si="1"/>
        <v>1.49E-2</v>
      </c>
      <c r="AG15" s="804">
        <f>ROUND(AVERAGE(K15:K$25)/100,4)</f>
        <v>2.3099999999999999E-2</v>
      </c>
      <c r="AH15" s="804">
        <f>ROUND(AVERAGE(L15:L$25)/100,4)</f>
        <v>1.2999999999999999E-2</v>
      </c>
    </row>
    <row r="16" spans="1:34">
      <c r="A16" s="728" t="s">
        <v>2206</v>
      </c>
      <c r="B16" s="729">
        <f t="shared" si="64"/>
        <v>360.06949782209392</v>
      </c>
      <c r="C16" s="729">
        <f t="shared" si="64"/>
        <v>289.84672674747821</v>
      </c>
      <c r="D16" s="729">
        <f t="shared" si="65"/>
        <v>289.84672674747821</v>
      </c>
      <c r="E16" s="729">
        <f t="shared" si="66"/>
        <v>501.06543001181495</v>
      </c>
      <c r="F16" s="729">
        <f t="shared" si="66"/>
        <v>256.82882500744967</v>
      </c>
      <c r="G16" s="3441"/>
      <c r="H16" s="734">
        <v>2</v>
      </c>
      <c r="I16" s="734">
        <v>3.85</v>
      </c>
      <c r="J16" s="734">
        <v>1.95</v>
      </c>
      <c r="K16" s="734">
        <v>4.4800000000000004</v>
      </c>
      <c r="L16" s="767">
        <v>1.41</v>
      </c>
      <c r="N16" s="760">
        <f t="shared" si="67"/>
        <v>3.85E-2</v>
      </c>
      <c r="O16" s="761">
        <f t="shared" si="63"/>
        <v>1.95E-2</v>
      </c>
      <c r="P16" s="761">
        <f t="shared" si="63"/>
        <v>4.4800000000000006E-2</v>
      </c>
      <c r="Q16" s="761">
        <f t="shared" si="63"/>
        <v>1.41E-2</v>
      </c>
      <c r="R16" s="794"/>
      <c r="S16" s="760"/>
      <c r="T16" s="761"/>
      <c r="U16" s="761"/>
      <c r="V16" s="761"/>
      <c r="X16" s="789">
        <f>ROUND(SUMPRODUCT(PRODUCT(1+N16:N$24)),4)</f>
        <v>1.1702999999999999</v>
      </c>
      <c r="Y16" s="789">
        <f>ROUND(SUMPRODUCT(PRODUCT(1+O16:O$24)),4)</f>
        <v>1.1269</v>
      </c>
      <c r="Z16" s="789">
        <f t="shared" si="0"/>
        <v>1.1269</v>
      </c>
      <c r="AA16" s="789">
        <f>ROUND(SUMPRODUCT(PRODUCT(1+P16:P$24)),4)</f>
        <v>1.1858</v>
      </c>
      <c r="AB16" s="789">
        <f>ROUND(SUMPRODUCT(PRODUCT(1+Q16:Q$24)),4)</f>
        <v>1.1152</v>
      </c>
      <c r="AD16" s="804">
        <f>ROUND(AVERAGE(I16:I$25)/100,4)</f>
        <v>1.89E-2</v>
      </c>
      <c r="AE16" s="804">
        <f>ROUND(AVERAGE(J16:J$25)/100,4)</f>
        <v>1.44E-2</v>
      </c>
      <c r="AF16" s="804">
        <f t="shared" si="1"/>
        <v>1.44E-2</v>
      </c>
      <c r="AG16" s="804">
        <f>ROUND(AVERAGE(K16:K$25)/100,4)</f>
        <v>2.06E-2</v>
      </c>
      <c r="AH16" s="804">
        <f>ROUND(AVERAGE(L16:L$25)/100,4)</f>
        <v>1.23E-2</v>
      </c>
    </row>
    <row r="17" spans="1:34">
      <c r="A17" s="728" t="s">
        <v>2207</v>
      </c>
      <c r="B17" s="729">
        <f t="shared" si="64"/>
        <v>346.720748986128</v>
      </c>
      <c r="C17" s="729">
        <f t="shared" si="64"/>
        <v>284.30282172386285</v>
      </c>
      <c r="D17" s="729">
        <f t="shared" si="65"/>
        <v>284.30282172386285</v>
      </c>
      <c r="E17" s="729">
        <f t="shared" si="66"/>
        <v>479.58023546306947</v>
      </c>
      <c r="F17" s="729">
        <f t="shared" si="66"/>
        <v>253.25788877571213</v>
      </c>
      <c r="G17" s="3444"/>
      <c r="H17" s="730">
        <v>1</v>
      </c>
      <c r="I17" s="730">
        <v>4.09</v>
      </c>
      <c r="J17" s="730">
        <v>2.93</v>
      </c>
      <c r="K17" s="730">
        <v>4.54</v>
      </c>
      <c r="L17" s="762">
        <v>1.48</v>
      </c>
      <c r="N17" s="760">
        <f t="shared" si="67"/>
        <v>4.0899999999999999E-2</v>
      </c>
      <c r="O17" s="761">
        <f t="shared" si="63"/>
        <v>2.9300000000000003E-2</v>
      </c>
      <c r="P17" s="761">
        <f t="shared" si="63"/>
        <v>4.5400000000000003E-2</v>
      </c>
      <c r="Q17" s="761">
        <f t="shared" si="63"/>
        <v>1.4800000000000001E-2</v>
      </c>
      <c r="R17" s="794"/>
      <c r="S17" s="768">
        <f>B17/B18-1</f>
        <v>4.1203450408792808E-2</v>
      </c>
      <c r="T17" s="769">
        <f>C17/C18-1</f>
        <v>2.6363977342465095E-2</v>
      </c>
      <c r="U17" s="769">
        <f>E17/E18-1</f>
        <v>4.4837114298626357E-2</v>
      </c>
      <c r="V17" s="769">
        <f>F17/F18-1</f>
        <v>1.7099954922538574E-2</v>
      </c>
      <c r="X17" s="789">
        <f>ROUND(SUMPRODUCT(PRODUCT(1+N17:N$24)),4)</f>
        <v>1.1269</v>
      </c>
      <c r="Y17" s="789">
        <f>ROUND(SUMPRODUCT(PRODUCT(1+O17:O$24)),4)</f>
        <v>1.1052999999999999</v>
      </c>
      <c r="Z17" s="789">
        <f t="shared" si="0"/>
        <v>1.1052999999999999</v>
      </c>
      <c r="AA17" s="789">
        <f>ROUND(SUMPRODUCT(PRODUCT(1+P17:P$24)),4)</f>
        <v>1.1349</v>
      </c>
      <c r="AB17" s="789">
        <f>ROUND(SUMPRODUCT(PRODUCT(1+Q17:Q$24)),4)</f>
        <v>1.0996999999999999</v>
      </c>
      <c r="AD17" s="804">
        <f>ROUND(AVERAGE(I17:I$25)/100,4)</f>
        <v>1.67E-2</v>
      </c>
      <c r="AE17" s="804">
        <f>ROUND(AVERAGE(J17:J$25)/100,4)</f>
        <v>1.38E-2</v>
      </c>
      <c r="AF17" s="804">
        <f t="shared" si="1"/>
        <v>1.38E-2</v>
      </c>
      <c r="AG17" s="804">
        <f>ROUND(AVERAGE(K17:K$25)/100,4)</f>
        <v>1.7899999999999999E-2</v>
      </c>
      <c r="AH17" s="804">
        <f>ROUND(AVERAGE(L17:L$25)/100,4)</f>
        <v>1.21E-2</v>
      </c>
    </row>
    <row r="18" spans="1:34">
      <c r="A18" s="728" t="s">
        <v>2208</v>
      </c>
      <c r="B18" s="735">
        <v>333</v>
      </c>
      <c r="C18" s="735">
        <v>277</v>
      </c>
      <c r="D18" s="735">
        <f t="shared" si="65"/>
        <v>277</v>
      </c>
      <c r="E18" s="735">
        <v>459</v>
      </c>
      <c r="F18" s="736">
        <v>249</v>
      </c>
      <c r="G18" s="3445">
        <v>2015</v>
      </c>
      <c r="H18" s="737">
        <v>4</v>
      </c>
      <c r="I18" s="737">
        <v>1.63</v>
      </c>
      <c r="J18" s="737">
        <v>1.1100000000000001</v>
      </c>
      <c r="K18" s="737">
        <v>1.77</v>
      </c>
      <c r="L18" s="770">
        <v>1.89</v>
      </c>
      <c r="N18" s="764">
        <f t="shared" si="67"/>
        <v>1.6299999999999999E-2</v>
      </c>
      <c r="O18" s="765">
        <f t="shared" si="63"/>
        <v>1.11E-2</v>
      </c>
      <c r="P18" s="765">
        <f t="shared" si="63"/>
        <v>1.77E-2</v>
      </c>
      <c r="Q18" s="765">
        <f t="shared" si="63"/>
        <v>1.89E-2</v>
      </c>
      <c r="R18" s="794"/>
      <c r="X18" s="789">
        <f>ROUND(SUMPRODUCT(PRODUCT(1+N18:N$24)),4)</f>
        <v>1.0826</v>
      </c>
      <c r="Y18" s="789">
        <f>ROUND(SUMPRODUCT(PRODUCT(1+O18:O$24)),4)</f>
        <v>1.0738000000000001</v>
      </c>
      <c r="Z18" s="789">
        <f t="shared" si="0"/>
        <v>1.0738000000000001</v>
      </c>
      <c r="AA18" s="789">
        <f>ROUND(SUMPRODUCT(PRODUCT(1+P18:P$24)),4)</f>
        <v>1.0855999999999999</v>
      </c>
      <c r="AB18" s="789">
        <f>ROUND(SUMPRODUCT(PRODUCT(1+Q18:Q$24)),4)</f>
        <v>1.0837000000000001</v>
      </c>
      <c r="AD18" s="804">
        <f>ROUND(AVERAGE(I18:I$25)/100,4)</f>
        <v>1.37E-2</v>
      </c>
      <c r="AE18" s="804">
        <f>ROUND(AVERAGE(J18:J$25)/100,4)</f>
        <v>1.1900000000000001E-2</v>
      </c>
      <c r="AF18" s="804">
        <f t="shared" si="1"/>
        <v>1.1900000000000001E-2</v>
      </c>
      <c r="AG18" s="804">
        <f>ROUND(AVERAGE(K18:K$25)/100,4)</f>
        <v>1.4500000000000001E-2</v>
      </c>
      <c r="AH18" s="804">
        <f>ROUND(AVERAGE(L18:L$25)/100,4)</f>
        <v>1.18E-2</v>
      </c>
    </row>
    <row r="19" spans="1:34">
      <c r="A19" s="728" t="s">
        <v>2209</v>
      </c>
      <c r="B19" s="729">
        <f t="shared" ref="B19:C21" si="68">B18/(1+N18)</f>
        <v>327.65915576109415</v>
      </c>
      <c r="C19" s="729">
        <f t="shared" si="68"/>
        <v>273.95905449510434</v>
      </c>
      <c r="D19" s="729">
        <f t="shared" si="65"/>
        <v>273.95905449510434</v>
      </c>
      <c r="E19" s="729">
        <f t="shared" ref="E19:F21" si="69">E18/(1+P18)</f>
        <v>451.01699911565294</v>
      </c>
      <c r="F19" s="729">
        <f t="shared" si="69"/>
        <v>244.38119540681129</v>
      </c>
      <c r="G19" s="3441"/>
      <c r="H19" s="738">
        <v>3</v>
      </c>
      <c r="I19" s="738">
        <v>1.65</v>
      </c>
      <c r="J19" s="738">
        <v>0.92</v>
      </c>
      <c r="K19" s="738">
        <v>1.88</v>
      </c>
      <c r="L19" s="771">
        <v>1.26</v>
      </c>
      <c r="N19" s="760">
        <f t="shared" si="67"/>
        <v>1.6500000000000001E-2</v>
      </c>
      <c r="O19" s="766">
        <f t="shared" si="63"/>
        <v>9.1999999999999998E-3</v>
      </c>
      <c r="P19" s="766">
        <f t="shared" si="63"/>
        <v>1.8799999999999997E-2</v>
      </c>
      <c r="Q19" s="766">
        <f t="shared" si="63"/>
        <v>1.26E-2</v>
      </c>
      <c r="R19" s="794"/>
      <c r="S19" s="760"/>
      <c r="T19" s="761"/>
      <c r="U19" s="761"/>
      <c r="V19" s="761"/>
      <c r="X19" s="789">
        <f>ROUND(SUMPRODUCT(PRODUCT(1+N19:N$24)),4)</f>
        <v>1.0651999999999999</v>
      </c>
      <c r="Y19" s="789">
        <f>ROUND(SUMPRODUCT(PRODUCT(1+O19:O$24)),4)</f>
        <v>1.0621</v>
      </c>
      <c r="Z19" s="789">
        <f t="shared" si="0"/>
        <v>1.0621</v>
      </c>
      <c r="AA19" s="789">
        <f>ROUND(SUMPRODUCT(PRODUCT(1+P19:P$24)),4)</f>
        <v>1.0668</v>
      </c>
      <c r="AB19" s="789">
        <f>ROUND(SUMPRODUCT(PRODUCT(1+Q19:Q$24)),4)</f>
        <v>1.0636000000000001</v>
      </c>
      <c r="AD19" s="804">
        <f>ROUND(AVERAGE(I19:I$25)/100,4)</f>
        <v>1.3299999999999999E-2</v>
      </c>
      <c r="AE19" s="804">
        <f>ROUND(AVERAGE(J19:J$25)/100,4)</f>
        <v>1.2E-2</v>
      </c>
      <c r="AF19" s="804">
        <f t="shared" si="1"/>
        <v>1.2E-2</v>
      </c>
      <c r="AG19" s="804">
        <f>ROUND(AVERAGE(K19:K$25)/100,4)</f>
        <v>1.4E-2</v>
      </c>
      <c r="AH19" s="804">
        <f>ROUND(AVERAGE(L19:L$25)/100,4)</f>
        <v>1.0800000000000001E-2</v>
      </c>
    </row>
    <row r="20" spans="1:34">
      <c r="A20" s="728" t="s">
        <v>2210</v>
      </c>
      <c r="B20" s="729">
        <f t="shared" si="68"/>
        <v>322.34053690220776</v>
      </c>
      <c r="C20" s="729">
        <f t="shared" si="68"/>
        <v>271.46160770422546</v>
      </c>
      <c r="D20" s="729">
        <f t="shared" si="65"/>
        <v>271.46160770422546</v>
      </c>
      <c r="E20" s="729">
        <f t="shared" si="69"/>
        <v>442.69434542172456</v>
      </c>
      <c r="F20" s="729">
        <f t="shared" si="69"/>
        <v>241.34030753190925</v>
      </c>
      <c r="G20" s="3441"/>
      <c r="H20" s="734">
        <v>2</v>
      </c>
      <c r="I20" s="734">
        <v>0.77</v>
      </c>
      <c r="J20" s="734">
        <v>0.69</v>
      </c>
      <c r="K20" s="734">
        <v>0.8</v>
      </c>
      <c r="L20" s="767">
        <v>0.88</v>
      </c>
      <c r="N20" s="760">
        <f t="shared" si="67"/>
        <v>7.7000000000000002E-3</v>
      </c>
      <c r="O20" s="766">
        <f t="shared" si="63"/>
        <v>6.8999999999999999E-3</v>
      </c>
      <c r="P20" s="766">
        <f t="shared" si="63"/>
        <v>8.0000000000000002E-3</v>
      </c>
      <c r="Q20" s="766">
        <f t="shared" si="63"/>
        <v>8.8000000000000005E-3</v>
      </c>
      <c r="R20" s="794"/>
      <c r="S20" s="760"/>
      <c r="T20" s="761"/>
      <c r="U20" s="761"/>
      <c r="V20" s="761"/>
      <c r="X20" s="789">
        <f>ROUND(SUMPRODUCT(PRODUCT(1+N20:N$24)),4)</f>
        <v>1.048</v>
      </c>
      <c r="Y20" s="789">
        <f>ROUND(SUMPRODUCT(PRODUCT(1+O20:O$24)),4)</f>
        <v>1.0524</v>
      </c>
      <c r="Z20" s="789">
        <f t="shared" si="0"/>
        <v>1.0524</v>
      </c>
      <c r="AA20" s="789">
        <f>ROUND(SUMPRODUCT(PRODUCT(1+P20:P$24)),4)</f>
        <v>1.0470999999999999</v>
      </c>
      <c r="AB20" s="789">
        <f>ROUND(SUMPRODUCT(PRODUCT(1+Q20:Q$24)),4)</f>
        <v>1.0504</v>
      </c>
      <c r="AD20" s="804">
        <f>ROUND(AVERAGE(I20:I$25)/100,4)</f>
        <v>1.2800000000000001E-2</v>
      </c>
      <c r="AE20" s="804">
        <f>ROUND(AVERAGE(J20:J$25)/100,4)</f>
        <v>1.2500000000000001E-2</v>
      </c>
      <c r="AF20" s="804">
        <f t="shared" si="1"/>
        <v>1.2500000000000001E-2</v>
      </c>
      <c r="AG20" s="804">
        <f>ROUND(AVERAGE(K20:K$25)/100,4)</f>
        <v>1.32E-2</v>
      </c>
      <c r="AH20" s="804">
        <f>ROUND(AVERAGE(L20:L$25)/100,4)</f>
        <v>1.0500000000000001E-2</v>
      </c>
    </row>
    <row r="21" spans="1:34">
      <c r="A21" s="728" t="s">
        <v>2211</v>
      </c>
      <c r="B21" s="729">
        <f t="shared" si="68"/>
        <v>319.87748030386797</v>
      </c>
      <c r="C21" s="729">
        <f t="shared" si="68"/>
        <v>269.60135833173649</v>
      </c>
      <c r="D21" s="729">
        <f t="shared" si="65"/>
        <v>269.60135833173649</v>
      </c>
      <c r="E21" s="729">
        <f t="shared" si="69"/>
        <v>439.18089823583784</v>
      </c>
      <c r="F21" s="729">
        <f t="shared" si="69"/>
        <v>239.23503918706311</v>
      </c>
      <c r="G21" s="3444"/>
      <c r="H21" s="730">
        <v>1</v>
      </c>
      <c r="I21" s="730">
        <v>0.51</v>
      </c>
      <c r="J21" s="730">
        <v>0.54</v>
      </c>
      <c r="K21" s="730">
        <v>0.48</v>
      </c>
      <c r="L21" s="762">
        <v>0.93</v>
      </c>
      <c r="N21" s="768">
        <f t="shared" si="67"/>
        <v>5.1000000000000004E-3</v>
      </c>
      <c r="O21" s="769">
        <f t="shared" si="63"/>
        <v>5.4000000000000003E-3</v>
      </c>
      <c r="P21" s="769">
        <f t="shared" si="63"/>
        <v>4.7999999999999996E-3</v>
      </c>
      <c r="Q21" s="769">
        <f t="shared" si="63"/>
        <v>9.300000000000001E-3</v>
      </c>
      <c r="R21" s="794"/>
      <c r="S21" s="768">
        <f>B21/B22-1</f>
        <v>5.9040261127922822E-3</v>
      </c>
      <c r="T21" s="769">
        <f>C21/C22-1</f>
        <v>5.9752176557332781E-3</v>
      </c>
      <c r="U21" s="769">
        <f>E21/E22-1</f>
        <v>4.9906138119859556E-3</v>
      </c>
      <c r="V21" s="769">
        <f>F21/F22-1</f>
        <v>9.4305450930933787E-3</v>
      </c>
      <c r="X21" s="789">
        <f>ROUND(SUMPRODUCT(PRODUCT(1+N21:N$24)),4)</f>
        <v>1.0399</v>
      </c>
      <c r="Y21" s="789">
        <f>ROUND(SUMPRODUCT(PRODUCT(1+O21:O$24)),4)</f>
        <v>1.0451999999999999</v>
      </c>
      <c r="Z21" s="789">
        <f t="shared" si="0"/>
        <v>1.0451999999999999</v>
      </c>
      <c r="AA21" s="789">
        <f>ROUND(SUMPRODUCT(PRODUCT(1+P21:P$24)),4)</f>
        <v>1.0387999999999999</v>
      </c>
      <c r="AB21" s="789">
        <f>ROUND(SUMPRODUCT(PRODUCT(1+Q21:Q$24)),4)</f>
        <v>1.0411999999999999</v>
      </c>
      <c r="AD21" s="804">
        <f>ROUND(AVERAGE(I21:I$25)/100,4)</f>
        <v>1.38E-2</v>
      </c>
      <c r="AE21" s="804">
        <f>ROUND(AVERAGE(J21:J$25)/100,4)</f>
        <v>1.3599999999999999E-2</v>
      </c>
      <c r="AF21" s="804">
        <f t="shared" si="1"/>
        <v>1.3599999999999999E-2</v>
      </c>
      <c r="AG21" s="804">
        <f>ROUND(AVERAGE(K21:K$25)/100,4)</f>
        <v>1.4200000000000001E-2</v>
      </c>
      <c r="AH21" s="804">
        <f>ROUND(AVERAGE(L21:L$25)/100,4)</f>
        <v>1.0800000000000001E-2</v>
      </c>
    </row>
    <row r="22" spans="1:34">
      <c r="A22" s="728" t="s">
        <v>2212</v>
      </c>
      <c r="B22" s="739">
        <v>318</v>
      </c>
      <c r="C22" s="739">
        <v>268</v>
      </c>
      <c r="D22" s="739">
        <f t="shared" si="65"/>
        <v>268</v>
      </c>
      <c r="E22" s="739">
        <v>437</v>
      </c>
      <c r="F22" s="740">
        <v>237</v>
      </c>
      <c r="G22" s="3445">
        <v>2014</v>
      </c>
      <c r="H22" s="737">
        <v>4</v>
      </c>
      <c r="I22" s="737">
        <v>0.21</v>
      </c>
      <c r="J22" s="737">
        <v>0.41</v>
      </c>
      <c r="K22" s="737">
        <v>0.12</v>
      </c>
      <c r="L22" s="770">
        <v>0.89</v>
      </c>
      <c r="N22" s="760">
        <f t="shared" si="67"/>
        <v>2.0999999999999999E-3</v>
      </c>
      <c r="O22" s="761">
        <f t="shared" si="63"/>
        <v>4.0999999999999995E-3</v>
      </c>
      <c r="P22" s="761">
        <f t="shared" si="63"/>
        <v>1.1999999999999999E-3</v>
      </c>
      <c r="Q22" s="761">
        <f t="shared" si="63"/>
        <v>8.8999999999999999E-3</v>
      </c>
      <c r="R22" s="794"/>
      <c r="S22" s="795"/>
      <c r="T22" s="796"/>
      <c r="U22" s="796"/>
      <c r="V22" s="796"/>
      <c r="X22" s="789">
        <f>ROUND(SUMPRODUCT(PRODUCT(1+N22:N$24)),4)</f>
        <v>1.0347</v>
      </c>
      <c r="Y22" s="789">
        <f>ROUND(SUMPRODUCT(PRODUCT(1+O22:O$24)),4)</f>
        <v>1.0395000000000001</v>
      </c>
      <c r="Z22" s="789">
        <f t="shared" si="0"/>
        <v>1.0395000000000001</v>
      </c>
      <c r="AA22" s="789">
        <f>ROUND(SUMPRODUCT(PRODUCT(1+P22:P$24)),4)</f>
        <v>1.0338000000000001</v>
      </c>
      <c r="AB22" s="789">
        <f>ROUND(SUMPRODUCT(PRODUCT(1+Q22:Q$24)),4)</f>
        <v>1.0316000000000001</v>
      </c>
      <c r="AD22" s="804">
        <f>ROUND(AVERAGE(I22:I$25)/100,4)</f>
        <v>1.6E-2</v>
      </c>
      <c r="AE22" s="804">
        <f>ROUND(AVERAGE(J22:J$25)/100,4)</f>
        <v>1.5599999999999999E-2</v>
      </c>
      <c r="AF22" s="804">
        <f t="shared" si="1"/>
        <v>1.5599999999999999E-2</v>
      </c>
      <c r="AG22" s="804">
        <f>ROUND(AVERAGE(K22:K$25)/100,4)</f>
        <v>1.66E-2</v>
      </c>
      <c r="AH22" s="804">
        <f>ROUND(AVERAGE(L22:L$25)/100,4)</f>
        <v>1.12E-2</v>
      </c>
    </row>
    <row r="23" spans="1:34">
      <c r="A23" s="728" t="s">
        <v>2213</v>
      </c>
      <c r="B23" s="729">
        <f t="shared" ref="B23:C25" si="70">B22/(1+N22)</f>
        <v>317.33359944117353</v>
      </c>
      <c r="C23" s="729">
        <f t="shared" si="70"/>
        <v>266.90568668459315</v>
      </c>
      <c r="D23" s="729">
        <f t="shared" si="65"/>
        <v>266.90568668459315</v>
      </c>
      <c r="E23" s="729">
        <f t="shared" ref="E23:F25" si="71">E22/(1+P22)</f>
        <v>436.47622852576905</v>
      </c>
      <c r="F23" s="729">
        <f t="shared" si="71"/>
        <v>234.90930716622066</v>
      </c>
      <c r="G23" s="3441"/>
      <c r="H23" s="741">
        <v>3</v>
      </c>
      <c r="I23" s="741">
        <v>0.83</v>
      </c>
      <c r="J23" s="741">
        <v>1.47</v>
      </c>
      <c r="K23" s="741">
        <v>0.65</v>
      </c>
      <c r="L23" s="772">
        <v>0.72</v>
      </c>
      <c r="N23" s="760">
        <f t="shared" si="67"/>
        <v>8.3000000000000001E-3</v>
      </c>
      <c r="O23" s="761">
        <f t="shared" si="63"/>
        <v>1.47E-2</v>
      </c>
      <c r="P23" s="761">
        <f t="shared" si="63"/>
        <v>6.5000000000000006E-3</v>
      </c>
      <c r="Q23" s="761">
        <f t="shared" si="63"/>
        <v>7.1999999999999998E-3</v>
      </c>
      <c r="R23" s="794"/>
      <c r="S23" s="760"/>
      <c r="T23" s="761"/>
      <c r="U23" s="761"/>
      <c r="V23" s="761"/>
      <c r="X23" s="789">
        <f>ROUND(SUMPRODUCT(PRODUCT(1+N23:N$24)),4)</f>
        <v>1.0325</v>
      </c>
      <c r="Y23" s="789">
        <f>ROUND(SUMPRODUCT(PRODUCT(1+O23:O$24)),4)</f>
        <v>1.0353000000000001</v>
      </c>
      <c r="Z23" s="789">
        <f t="shared" ref="Z23:Z24" si="72">Y23</f>
        <v>1.0353000000000001</v>
      </c>
      <c r="AA23" s="789">
        <f>ROUND(SUMPRODUCT(PRODUCT(1+P23:P$24)),4)</f>
        <v>1.0326</v>
      </c>
      <c r="AB23" s="789">
        <f>ROUND(SUMPRODUCT(PRODUCT(1+Q23:Q$24)),4)</f>
        <v>1.0225</v>
      </c>
      <c r="AD23" s="804">
        <f>ROUND(AVERAGE(I23:I$25)/100,4)</f>
        <v>2.07E-2</v>
      </c>
      <c r="AE23" s="804">
        <f>ROUND(AVERAGE(J23:J$25)/100,4)</f>
        <v>1.95E-2</v>
      </c>
      <c r="AF23" s="804">
        <f t="shared" si="1"/>
        <v>1.95E-2</v>
      </c>
      <c r="AG23" s="804">
        <f>ROUND(AVERAGE(K23:K$25)/100,4)</f>
        <v>2.1700000000000001E-2</v>
      </c>
      <c r="AH23" s="804">
        <f>ROUND(AVERAGE(L23:L$25)/100,4)</f>
        <v>1.2E-2</v>
      </c>
    </row>
    <row r="24" spans="1:34">
      <c r="A24" s="728" t="s">
        <v>2214</v>
      </c>
      <c r="B24" s="729">
        <f t="shared" si="70"/>
        <v>314.72141172386546</v>
      </c>
      <c r="C24" s="729">
        <f t="shared" si="70"/>
        <v>263.03901319069001</v>
      </c>
      <c r="D24" s="729">
        <f t="shared" si="65"/>
        <v>263.03901319069001</v>
      </c>
      <c r="E24" s="729">
        <f t="shared" si="71"/>
        <v>433.65745506782821</v>
      </c>
      <c r="F24" s="729">
        <f t="shared" si="71"/>
        <v>233.23005080045735</v>
      </c>
      <c r="G24" s="3441"/>
      <c r="H24" s="737">
        <v>2</v>
      </c>
      <c r="I24" s="737">
        <v>2.4</v>
      </c>
      <c r="J24" s="737">
        <v>2.0299999999999998</v>
      </c>
      <c r="K24" s="737">
        <v>2.59</v>
      </c>
      <c r="L24" s="770">
        <v>1.52</v>
      </c>
      <c r="N24" s="760">
        <f t="shared" si="67"/>
        <v>2.4E-2</v>
      </c>
      <c r="O24" s="761">
        <f t="shared" si="63"/>
        <v>2.0299999999999999E-2</v>
      </c>
      <c r="P24" s="761">
        <f t="shared" si="63"/>
        <v>2.5899999999999999E-2</v>
      </c>
      <c r="Q24" s="761">
        <f t="shared" si="63"/>
        <v>1.52E-2</v>
      </c>
      <c r="R24" s="794"/>
      <c r="S24" s="760"/>
      <c r="T24" s="761"/>
      <c r="U24" s="761"/>
      <c r="V24" s="761"/>
      <c r="X24" s="789">
        <f>1+N24</f>
        <v>1.024</v>
      </c>
      <c r="Y24" s="789">
        <f>1+O24</f>
        <v>1.0203</v>
      </c>
      <c r="Z24" s="789">
        <f t="shared" si="72"/>
        <v>1.0203</v>
      </c>
      <c r="AA24" s="789">
        <f>1+P24</f>
        <v>1.0259</v>
      </c>
      <c r="AB24" s="789">
        <f>1+Q24</f>
        <v>1.0152000000000001</v>
      </c>
      <c r="AD24" s="804">
        <f>ROUND(AVERAGE(I24:I$25)/100,4)</f>
        <v>2.69E-2</v>
      </c>
      <c r="AE24" s="804">
        <f>ROUND(AVERAGE(J24:J$25)/100,4)</f>
        <v>2.1899999999999999E-2</v>
      </c>
      <c r="AF24" s="804">
        <f t="shared" ref="AF24:AF25" si="73">AE24</f>
        <v>2.1899999999999999E-2</v>
      </c>
      <c r="AG24" s="804">
        <f>ROUND(AVERAGE(K24:K$25)/100,4)</f>
        <v>2.9399999999999999E-2</v>
      </c>
      <c r="AH24" s="804">
        <f>ROUND(AVERAGE(L24:L$25)/100,4)</f>
        <v>1.44E-2</v>
      </c>
    </row>
    <row r="25" spans="1:34" s="706" customFormat="1">
      <c r="A25" s="742" t="s">
        <v>2215</v>
      </c>
      <c r="B25" s="743">
        <f t="shared" si="70"/>
        <v>307.34512863658733</v>
      </c>
      <c r="C25" s="743">
        <f t="shared" si="70"/>
        <v>257.80556031626975</v>
      </c>
      <c r="D25" s="743">
        <f t="shared" si="65"/>
        <v>257.80556031626975</v>
      </c>
      <c r="E25" s="743">
        <f t="shared" si="71"/>
        <v>422.70928459677179</v>
      </c>
      <c r="F25" s="743">
        <f t="shared" si="71"/>
        <v>229.73803270336617</v>
      </c>
      <c r="G25" s="3444"/>
      <c r="H25" s="744">
        <v>1</v>
      </c>
      <c r="I25" s="744">
        <v>2.97</v>
      </c>
      <c r="J25" s="744">
        <v>2.34</v>
      </c>
      <c r="K25" s="744">
        <v>3.28</v>
      </c>
      <c r="L25" s="773">
        <v>1.36</v>
      </c>
      <c r="N25" s="774">
        <f t="shared" si="67"/>
        <v>2.9700000000000001E-2</v>
      </c>
      <c r="O25" s="775">
        <f t="shared" si="63"/>
        <v>2.3399999999999997E-2</v>
      </c>
      <c r="P25" s="775">
        <f t="shared" si="63"/>
        <v>3.2799999999999996E-2</v>
      </c>
      <c r="Q25" s="775">
        <f t="shared" si="63"/>
        <v>1.3600000000000001E-2</v>
      </c>
      <c r="R25" s="797"/>
      <c r="S25" s="798">
        <f>B25/B26-1</f>
        <v>2.7910129219355539E-2</v>
      </c>
      <c r="T25" s="799">
        <f>C25/C26-1</f>
        <v>2.3037937762975247E-2</v>
      </c>
      <c r="U25" s="799">
        <f>E25/E26-1</f>
        <v>3.3519033243940788E-2</v>
      </c>
      <c r="V25" s="799">
        <f>F25/F26-1</f>
        <v>1.2061818076502862E-2</v>
      </c>
      <c r="W25" s="800" t="s">
        <v>2216</v>
      </c>
      <c r="X25" s="801">
        <v>1</v>
      </c>
      <c r="Y25" s="801">
        <v>1</v>
      </c>
      <c r="Z25" s="801">
        <v>1</v>
      </c>
      <c r="AA25" s="801">
        <v>1</v>
      </c>
      <c r="AB25" s="801">
        <v>1</v>
      </c>
      <c r="AD25" s="810">
        <f>I25/100</f>
        <v>2.9700000000000001E-2</v>
      </c>
      <c r="AE25" s="810">
        <f>J25/100</f>
        <v>2.3399999999999997E-2</v>
      </c>
      <c r="AF25" s="810">
        <f t="shared" si="73"/>
        <v>2.3399999999999997E-2</v>
      </c>
      <c r="AG25" s="810">
        <f>K25/100</f>
        <v>3.2799999999999996E-2</v>
      </c>
      <c r="AH25" s="810">
        <f>L25/100</f>
        <v>1.3600000000000001E-2</v>
      </c>
    </row>
    <row r="26" spans="1:34">
      <c r="A26" s="728" t="s">
        <v>2217</v>
      </c>
      <c r="B26" s="735">
        <v>299</v>
      </c>
      <c r="C26" s="735">
        <v>252</v>
      </c>
      <c r="D26" s="735">
        <f t="shared" si="65"/>
        <v>252</v>
      </c>
      <c r="E26" s="735">
        <v>409</v>
      </c>
      <c r="F26" s="736">
        <v>227</v>
      </c>
      <c r="G26" s="3446">
        <v>2013</v>
      </c>
      <c r="H26" s="745">
        <v>4</v>
      </c>
      <c r="I26" s="745">
        <v>1.83</v>
      </c>
      <c r="J26" s="745">
        <v>1.68</v>
      </c>
      <c r="K26" s="745">
        <v>1.97</v>
      </c>
      <c r="L26" s="776">
        <v>0.87</v>
      </c>
      <c r="N26" s="764">
        <f t="shared" si="67"/>
        <v>1.83E-2</v>
      </c>
      <c r="O26" s="765">
        <f t="shared" si="63"/>
        <v>1.6799999999999999E-2</v>
      </c>
      <c r="P26" s="765">
        <f t="shared" si="63"/>
        <v>1.9699999999999999E-2</v>
      </c>
      <c r="Q26" s="765">
        <f t="shared" si="63"/>
        <v>8.6999999999999994E-3</v>
      </c>
      <c r="R26" s="794"/>
      <c r="S26" s="795"/>
      <c r="T26" s="796"/>
      <c r="U26" s="796"/>
      <c r="V26" s="796"/>
      <c r="X26" s="796"/>
      <c r="Y26" s="796"/>
      <c r="Z26" s="796"/>
    </row>
    <row r="27" spans="1:34">
      <c r="A27" s="728" t="s">
        <v>2218</v>
      </c>
      <c r="B27" s="729">
        <f t="shared" ref="B27:C29" si="74">B26/(1+N26)</f>
        <v>293.62663262299913</v>
      </c>
      <c r="C27" s="729">
        <f t="shared" si="74"/>
        <v>247.83634933123525</v>
      </c>
      <c r="D27" s="729">
        <f t="shared" si="65"/>
        <v>247.83634933123525</v>
      </c>
      <c r="E27" s="729">
        <f t="shared" ref="E27:F29" si="75">E26/(1+P26)</f>
        <v>401.09836226341076</v>
      </c>
      <c r="F27" s="729">
        <f t="shared" si="75"/>
        <v>225.04213343908003</v>
      </c>
      <c r="G27" s="3447"/>
      <c r="H27" s="738">
        <v>3</v>
      </c>
      <c r="I27" s="738">
        <v>1.86</v>
      </c>
      <c r="J27" s="738">
        <v>1.72</v>
      </c>
      <c r="K27" s="738">
        <v>1.98</v>
      </c>
      <c r="L27" s="771">
        <v>0.88</v>
      </c>
      <c r="N27" s="760">
        <f t="shared" si="67"/>
        <v>1.8600000000000002E-2</v>
      </c>
      <c r="O27" s="766">
        <f t="shared" si="63"/>
        <v>1.72E-2</v>
      </c>
      <c r="P27" s="766">
        <f t="shared" si="63"/>
        <v>1.9799999999999998E-2</v>
      </c>
      <c r="Q27" s="766">
        <f t="shared" si="63"/>
        <v>8.8000000000000005E-3</v>
      </c>
      <c r="R27" s="794"/>
      <c r="S27" s="760"/>
      <c r="T27" s="761"/>
      <c r="U27" s="761"/>
      <c r="V27" s="761"/>
    </row>
    <row r="28" spans="1:34">
      <c r="A28" s="728" t="s">
        <v>2219</v>
      </c>
      <c r="B28" s="729">
        <f t="shared" si="74"/>
        <v>288.2649053828776</v>
      </c>
      <c r="C28" s="729">
        <f t="shared" si="74"/>
        <v>243.64564425013293</v>
      </c>
      <c r="D28" s="729">
        <f t="shared" si="65"/>
        <v>243.64564425013293</v>
      </c>
      <c r="E28" s="729">
        <f t="shared" si="75"/>
        <v>393.31080825986544</v>
      </c>
      <c r="F28" s="729">
        <f t="shared" si="75"/>
        <v>223.07903790551154</v>
      </c>
      <c r="G28" s="3447"/>
      <c r="H28" s="734">
        <v>2</v>
      </c>
      <c r="I28" s="734">
        <v>2.04</v>
      </c>
      <c r="J28" s="734">
        <v>2.33</v>
      </c>
      <c r="K28" s="734">
        <v>2.0699999999999998</v>
      </c>
      <c r="L28" s="767">
        <v>0.69</v>
      </c>
      <c r="N28" s="760">
        <f t="shared" si="67"/>
        <v>2.0400000000000001E-2</v>
      </c>
      <c r="O28" s="766">
        <f t="shared" si="63"/>
        <v>2.3300000000000001E-2</v>
      </c>
      <c r="P28" s="766">
        <f t="shared" si="63"/>
        <v>2.07E-2</v>
      </c>
      <c r="Q28" s="766">
        <f t="shared" si="63"/>
        <v>6.8999999999999999E-3</v>
      </c>
      <c r="R28" s="794"/>
      <c r="S28" s="760"/>
      <c r="T28" s="761"/>
      <c r="U28" s="761"/>
      <c r="V28" s="761"/>
      <c r="X28" s="802"/>
      <c r="Y28" s="811"/>
    </row>
    <row r="29" spans="1:34">
      <c r="A29" s="728" t="s">
        <v>2220</v>
      </c>
      <c r="B29" s="729">
        <f t="shared" si="74"/>
        <v>282.50186729015837</v>
      </c>
      <c r="C29" s="729">
        <f t="shared" si="74"/>
        <v>238.09796174155468</v>
      </c>
      <c r="D29" s="729">
        <f t="shared" si="65"/>
        <v>238.09796174155468</v>
      </c>
      <c r="E29" s="729">
        <f t="shared" si="75"/>
        <v>385.33438646014054</v>
      </c>
      <c r="F29" s="729">
        <f t="shared" si="75"/>
        <v>221.55034055567739</v>
      </c>
      <c r="G29" s="3448"/>
      <c r="H29" s="730">
        <v>1</v>
      </c>
      <c r="I29" s="730">
        <v>1.67</v>
      </c>
      <c r="J29" s="730">
        <v>1.31</v>
      </c>
      <c r="K29" s="730">
        <v>1.85</v>
      </c>
      <c r="L29" s="762">
        <v>0.96</v>
      </c>
      <c r="N29" s="768">
        <f t="shared" si="67"/>
        <v>1.67E-2</v>
      </c>
      <c r="O29" s="769">
        <f t="shared" si="63"/>
        <v>1.3100000000000001E-2</v>
      </c>
      <c r="P29" s="769">
        <f t="shared" si="63"/>
        <v>1.8500000000000003E-2</v>
      </c>
      <c r="Q29" s="769">
        <f t="shared" si="63"/>
        <v>9.5999999999999992E-3</v>
      </c>
      <c r="R29" s="794"/>
      <c r="S29" s="768">
        <f>B29/B30-1</f>
        <v>1.6193767230785472E-2</v>
      </c>
      <c r="T29" s="769">
        <f>C29/C30-1</f>
        <v>1.7512657015190891E-2</v>
      </c>
      <c r="U29" s="769">
        <f>E29/E30-1</f>
        <v>1.6713420739157048E-2</v>
      </c>
      <c r="V29" s="769">
        <f>F29/F30-1</f>
        <v>7.0470025258062563E-3</v>
      </c>
      <c r="X29" s="803"/>
      <c r="Y29" s="804"/>
      <c r="Z29" s="804"/>
    </row>
    <row r="30" spans="1:34">
      <c r="A30" s="728" t="s">
        <v>2221</v>
      </c>
      <c r="B30" s="746">
        <v>278</v>
      </c>
      <c r="C30" s="746">
        <v>234</v>
      </c>
      <c r="D30" s="746">
        <f t="shared" si="65"/>
        <v>234</v>
      </c>
      <c r="E30" s="746">
        <v>379</v>
      </c>
      <c r="F30" s="747">
        <v>220</v>
      </c>
      <c r="G30" s="3445">
        <v>2012</v>
      </c>
      <c r="H30" s="737">
        <v>4</v>
      </c>
      <c r="I30" s="737">
        <v>0.91</v>
      </c>
      <c r="J30" s="737">
        <v>0.68</v>
      </c>
      <c r="K30" s="737">
        <v>0.98</v>
      </c>
      <c r="L30" s="770">
        <v>0.9</v>
      </c>
      <c r="N30" s="760">
        <f t="shared" si="67"/>
        <v>9.1000000000000004E-3</v>
      </c>
      <c r="O30" s="761">
        <f t="shared" si="67"/>
        <v>6.8000000000000005E-3</v>
      </c>
      <c r="P30" s="761">
        <f t="shared" si="67"/>
        <v>9.7999999999999997E-3</v>
      </c>
      <c r="Q30" s="761">
        <f t="shared" si="67"/>
        <v>9.0000000000000011E-3</v>
      </c>
      <c r="R30" s="794"/>
      <c r="S30" s="795"/>
      <c r="T30" s="796"/>
      <c r="U30" s="796"/>
      <c r="V30" s="796"/>
      <c r="X30" s="796"/>
      <c r="Y30" s="796"/>
      <c r="Z30" s="796"/>
    </row>
    <row r="31" spans="1:34">
      <c r="A31" s="728" t="s">
        <v>2222</v>
      </c>
      <c r="B31" s="729">
        <f>B30/(1+N30)</f>
        <v>275.49301357645425</v>
      </c>
      <c r="C31" s="729">
        <f>C30/(1+O30)</f>
        <v>232.41954707985698</v>
      </c>
      <c r="D31" s="729">
        <f t="shared" si="65"/>
        <v>232.41954707985698</v>
      </c>
      <c r="E31" s="729">
        <f t="shared" ref="E31:F33" si="76">E30/(1+P30)</f>
        <v>375.32184591008121</v>
      </c>
      <c r="F31" s="729">
        <f t="shared" si="76"/>
        <v>218.03766105054513</v>
      </c>
      <c r="G31" s="3441"/>
      <c r="H31" s="738">
        <v>3</v>
      </c>
      <c r="I31" s="738">
        <v>0.09</v>
      </c>
      <c r="J31" s="738">
        <v>0.28999999999999998</v>
      </c>
      <c r="K31" s="738">
        <v>-0.01</v>
      </c>
      <c r="L31" s="771">
        <v>0.57999999999999996</v>
      </c>
      <c r="N31" s="760">
        <f t="shared" si="67"/>
        <v>8.9999999999999998E-4</v>
      </c>
      <c r="O31" s="761">
        <f t="shared" si="67"/>
        <v>2.8999999999999998E-3</v>
      </c>
      <c r="P31" s="761">
        <f t="shared" si="67"/>
        <v>-1E-4</v>
      </c>
      <c r="Q31" s="761">
        <f t="shared" si="67"/>
        <v>5.7999999999999996E-3</v>
      </c>
      <c r="R31" s="794"/>
      <c r="S31" s="760"/>
      <c r="T31" s="761"/>
      <c r="U31" s="761"/>
      <c r="V31" s="761"/>
    </row>
    <row r="32" spans="1:34">
      <c r="A32" s="728" t="s">
        <v>2223</v>
      </c>
      <c r="B32" s="729">
        <f>B31/(1+N31)</f>
        <v>275.24529281292263</v>
      </c>
      <c r="C32" s="729">
        <f>C31/(1+O31)</f>
        <v>231.74747938962707</v>
      </c>
      <c r="D32" s="729">
        <f t="shared" si="65"/>
        <v>231.74747938962707</v>
      </c>
      <c r="E32" s="729">
        <f t="shared" si="76"/>
        <v>375.35938184826603</v>
      </c>
      <c r="F32" s="729">
        <f t="shared" si="76"/>
        <v>216.78033510692495</v>
      </c>
      <c r="G32" s="3441"/>
      <c r="H32" s="734">
        <v>2</v>
      </c>
      <c r="I32" s="734">
        <v>0.02</v>
      </c>
      <c r="J32" s="734">
        <v>0.12</v>
      </c>
      <c r="K32" s="734">
        <v>-0.08</v>
      </c>
      <c r="L32" s="767">
        <v>1.24</v>
      </c>
      <c r="N32" s="760">
        <f t="shared" si="67"/>
        <v>2.0000000000000001E-4</v>
      </c>
      <c r="O32" s="761">
        <f t="shared" si="67"/>
        <v>1.1999999999999999E-3</v>
      </c>
      <c r="P32" s="761">
        <f t="shared" si="67"/>
        <v>-8.0000000000000004E-4</v>
      </c>
      <c r="Q32" s="761">
        <f t="shared" si="67"/>
        <v>1.24E-2</v>
      </c>
      <c r="R32" s="794"/>
      <c r="S32" s="760"/>
      <c r="T32" s="761"/>
      <c r="U32" s="761"/>
      <c r="V32" s="761"/>
    </row>
    <row r="33" spans="1:26">
      <c r="A33" s="728" t="s">
        <v>2224</v>
      </c>
      <c r="B33" s="729">
        <f>B32/(1+N32)</f>
        <v>275.19025476197027</v>
      </c>
      <c r="C33" s="748">
        <v>232</v>
      </c>
      <c r="D33" s="748">
        <f t="shared" si="65"/>
        <v>232</v>
      </c>
      <c r="E33" s="729">
        <f t="shared" si="76"/>
        <v>375.65990977608692</v>
      </c>
      <c r="F33" s="729">
        <f t="shared" si="76"/>
        <v>214.12518283971252</v>
      </c>
      <c r="G33" s="3444"/>
      <c r="H33" s="730">
        <v>1</v>
      </c>
      <c r="I33" s="730">
        <v>0.02</v>
      </c>
      <c r="J33" s="730">
        <v>0.13</v>
      </c>
      <c r="K33" s="730">
        <v>-0.04</v>
      </c>
      <c r="L33" s="762">
        <v>0.46</v>
      </c>
      <c r="N33" s="760">
        <f t="shared" si="67"/>
        <v>2.0000000000000001E-4</v>
      </c>
      <c r="O33" s="761">
        <f t="shared" si="67"/>
        <v>1.2999999999999999E-3</v>
      </c>
      <c r="P33" s="761">
        <f t="shared" si="67"/>
        <v>-4.0000000000000002E-4</v>
      </c>
      <c r="Q33" s="761">
        <f t="shared" si="67"/>
        <v>4.5999999999999999E-3</v>
      </c>
      <c r="R33" s="794"/>
      <c r="S33" s="768">
        <f>B33/B34-1</f>
        <v>6.9183549807361189E-4</v>
      </c>
      <c r="T33" s="769">
        <f>C33/C34-1</f>
        <v>0</v>
      </c>
      <c r="U33" s="769">
        <f>E33/E34-1</f>
        <v>-9.0449527636460303E-4</v>
      </c>
      <c r="V33" s="769">
        <f>F33/F34-1</f>
        <v>5.2825485432512753E-3</v>
      </c>
      <c r="X33" s="804"/>
      <c r="Y33" s="804"/>
      <c r="Z33" s="804"/>
    </row>
    <row r="34" spans="1:26">
      <c r="A34" s="728" t="s">
        <v>2225</v>
      </c>
      <c r="B34" s="735">
        <v>275</v>
      </c>
      <c r="C34" s="735">
        <v>232</v>
      </c>
      <c r="D34" s="735">
        <f t="shared" si="65"/>
        <v>232</v>
      </c>
      <c r="E34" s="735">
        <v>376</v>
      </c>
      <c r="F34" s="736">
        <v>213</v>
      </c>
      <c r="G34" s="3445">
        <v>2011</v>
      </c>
      <c r="H34" s="737">
        <v>4</v>
      </c>
      <c r="I34" s="737">
        <v>-0.2</v>
      </c>
      <c r="J34" s="737">
        <v>0.04</v>
      </c>
      <c r="K34" s="737">
        <v>-0.34</v>
      </c>
      <c r="L34" s="770">
        <v>0.46</v>
      </c>
      <c r="N34" s="764">
        <f t="shared" si="67"/>
        <v>-2E-3</v>
      </c>
      <c r="O34" s="765">
        <f t="shared" si="67"/>
        <v>4.0000000000000002E-4</v>
      </c>
      <c r="P34" s="765">
        <f t="shared" si="67"/>
        <v>-3.4000000000000002E-3</v>
      </c>
      <c r="Q34" s="765">
        <f t="shared" si="67"/>
        <v>4.5999999999999999E-3</v>
      </c>
      <c r="R34" s="794"/>
      <c r="S34" s="795"/>
      <c r="T34" s="796"/>
      <c r="U34" s="796"/>
      <c r="V34" s="796"/>
      <c r="X34" s="796"/>
      <c r="Y34" s="796"/>
      <c r="Z34" s="796"/>
    </row>
    <row r="35" spans="1:26">
      <c r="A35" s="728" t="s">
        <v>2226</v>
      </c>
      <c r="B35" s="729">
        <f t="shared" ref="B35:C37" si="77">B34/(1+N34)</f>
        <v>275.55110220440883</v>
      </c>
      <c r="C35" s="729">
        <f t="shared" si="77"/>
        <v>231.90723710515795</v>
      </c>
      <c r="D35" s="729">
        <f t="shared" si="65"/>
        <v>231.90723710515795</v>
      </c>
      <c r="E35" s="729">
        <f t="shared" ref="E35:F37" si="78">E34/(1+P34)</f>
        <v>377.28276138872161</v>
      </c>
      <c r="F35" s="729">
        <f t="shared" si="78"/>
        <v>212.02468644236512</v>
      </c>
      <c r="G35" s="3441">
        <v>2011</v>
      </c>
      <c r="H35" s="738">
        <v>3</v>
      </c>
      <c r="I35" s="738">
        <v>0.13</v>
      </c>
      <c r="J35" s="738">
        <v>0.75</v>
      </c>
      <c r="K35" s="738">
        <v>-0.08</v>
      </c>
      <c r="L35" s="771">
        <v>0.53</v>
      </c>
      <c r="N35" s="760">
        <f t="shared" si="67"/>
        <v>1.2999999999999999E-3</v>
      </c>
      <c r="O35" s="766">
        <f t="shared" si="67"/>
        <v>7.4999999999999997E-3</v>
      </c>
      <c r="P35" s="766">
        <f t="shared" si="67"/>
        <v>-8.0000000000000004E-4</v>
      </c>
      <c r="Q35" s="766">
        <f t="shared" si="67"/>
        <v>5.3E-3</v>
      </c>
      <c r="R35" s="794"/>
      <c r="S35" s="760"/>
      <c r="T35" s="761"/>
      <c r="U35" s="761"/>
      <c r="V35" s="761"/>
    </row>
    <row r="36" spans="1:26">
      <c r="A36" s="728" t="s">
        <v>2227</v>
      </c>
      <c r="B36" s="729">
        <f t="shared" si="77"/>
        <v>275.19335084830601</v>
      </c>
      <c r="C36" s="729">
        <f t="shared" si="77"/>
        <v>230.18088050139744</v>
      </c>
      <c r="D36" s="729">
        <f t="shared" si="65"/>
        <v>230.18088050139744</v>
      </c>
      <c r="E36" s="729">
        <f t="shared" si="78"/>
        <v>377.58482925212331</v>
      </c>
      <c r="F36" s="729">
        <f t="shared" si="78"/>
        <v>210.90687997847917</v>
      </c>
      <c r="G36" s="3441">
        <v>2011</v>
      </c>
      <c r="H36" s="734">
        <v>2</v>
      </c>
      <c r="I36" s="734">
        <v>-0.4</v>
      </c>
      <c r="J36" s="734">
        <v>0.17</v>
      </c>
      <c r="K36" s="734">
        <v>-0.57999999999999996</v>
      </c>
      <c r="L36" s="767">
        <v>-0.2</v>
      </c>
      <c r="N36" s="760">
        <f t="shared" si="67"/>
        <v>-4.0000000000000001E-3</v>
      </c>
      <c r="O36" s="766">
        <f t="shared" si="67"/>
        <v>1.7000000000000001E-3</v>
      </c>
      <c r="P36" s="766">
        <f t="shared" si="67"/>
        <v>-5.7999999999999996E-3</v>
      </c>
      <c r="Q36" s="766">
        <f t="shared" si="67"/>
        <v>-2E-3</v>
      </c>
      <c r="R36" s="794"/>
      <c r="S36" s="760"/>
      <c r="T36" s="761"/>
      <c r="U36" s="761"/>
      <c r="V36" s="761"/>
    </row>
    <row r="37" spans="1:26">
      <c r="A37" s="728" t="s">
        <v>2228</v>
      </c>
      <c r="B37" s="729">
        <f t="shared" si="77"/>
        <v>276.29854502841971</v>
      </c>
      <c r="C37" s="729">
        <f t="shared" si="77"/>
        <v>229.79023709833027</v>
      </c>
      <c r="D37" s="729">
        <f t="shared" si="65"/>
        <v>229.79023709833027</v>
      </c>
      <c r="E37" s="729">
        <f t="shared" si="78"/>
        <v>379.78759731655936</v>
      </c>
      <c r="F37" s="729">
        <f t="shared" si="78"/>
        <v>211.32953905659235</v>
      </c>
      <c r="G37" s="3444">
        <v>2011</v>
      </c>
      <c r="H37" s="730">
        <v>1</v>
      </c>
      <c r="I37" s="730">
        <v>2.65</v>
      </c>
      <c r="J37" s="730">
        <v>3.76</v>
      </c>
      <c r="K37" s="730">
        <v>1.89</v>
      </c>
      <c r="L37" s="762">
        <v>7.95</v>
      </c>
      <c r="N37" s="768">
        <f t="shared" si="67"/>
        <v>2.6499999999999999E-2</v>
      </c>
      <c r="O37" s="769">
        <f t="shared" si="67"/>
        <v>3.7599999999999995E-2</v>
      </c>
      <c r="P37" s="769">
        <f t="shared" si="67"/>
        <v>1.89E-2</v>
      </c>
      <c r="Q37" s="769">
        <f t="shared" si="67"/>
        <v>7.9500000000000001E-2</v>
      </c>
      <c r="R37" s="794"/>
      <c r="S37" s="768">
        <f>B37/B38-1</f>
        <v>2.713213765211786E-2</v>
      </c>
      <c r="T37" s="769">
        <f>C37/C38-1</f>
        <v>3.9774828499231862E-2</v>
      </c>
      <c r="U37" s="769">
        <f>E37/E38-1</f>
        <v>1.8197311840641772E-2</v>
      </c>
      <c r="V37" s="769">
        <f>F37/F38-1</f>
        <v>7.8211933962205826E-2</v>
      </c>
      <c r="X37" s="804"/>
      <c r="Y37" s="804"/>
      <c r="Z37" s="804"/>
    </row>
    <row r="38" spans="1:26">
      <c r="A38" s="728" t="s">
        <v>2229</v>
      </c>
      <c r="B38" s="735">
        <v>269</v>
      </c>
      <c r="C38" s="735">
        <v>221</v>
      </c>
      <c r="D38" s="735">
        <f t="shared" si="65"/>
        <v>221</v>
      </c>
      <c r="E38" s="735">
        <v>373</v>
      </c>
      <c r="F38" s="736">
        <v>196</v>
      </c>
      <c r="G38" s="3445">
        <v>2010</v>
      </c>
      <c r="H38" s="737">
        <v>4</v>
      </c>
      <c r="I38" s="737">
        <v>5.72</v>
      </c>
      <c r="J38" s="737">
        <v>6.57</v>
      </c>
      <c r="K38" s="737">
        <v>5.72</v>
      </c>
      <c r="L38" s="770">
        <v>2.72</v>
      </c>
      <c r="N38" s="760">
        <f t="shared" si="67"/>
        <v>5.7200000000000001E-2</v>
      </c>
      <c r="O38" s="761">
        <f t="shared" si="67"/>
        <v>6.5700000000000008E-2</v>
      </c>
      <c r="P38" s="761">
        <f t="shared" si="67"/>
        <v>5.7200000000000001E-2</v>
      </c>
      <c r="Q38" s="761">
        <f t="shared" si="67"/>
        <v>2.7200000000000002E-2</v>
      </c>
      <c r="R38" s="794"/>
      <c r="S38" s="795"/>
      <c r="T38" s="796"/>
      <c r="U38" s="796"/>
      <c r="V38" s="796"/>
      <c r="X38" s="796"/>
      <c r="Y38" s="796"/>
      <c r="Z38" s="796"/>
    </row>
    <row r="39" spans="1:26">
      <c r="A39" s="728" t="s">
        <v>2230</v>
      </c>
      <c r="B39" s="729">
        <f t="shared" ref="B39:C41" si="79">B38/(1+N38)</f>
        <v>254.44570563753314</v>
      </c>
      <c r="C39" s="729">
        <f t="shared" si="79"/>
        <v>207.37543398705074</v>
      </c>
      <c r="D39" s="729">
        <f t="shared" si="65"/>
        <v>207.37543398705074</v>
      </c>
      <c r="E39" s="729">
        <f t="shared" ref="E39:F41" si="80">E38/(1+P38)</f>
        <v>352.81876655315932</v>
      </c>
      <c r="F39" s="729">
        <f t="shared" si="80"/>
        <v>190.809968847352</v>
      </c>
      <c r="G39" s="3441">
        <v>2010</v>
      </c>
      <c r="H39" s="738">
        <v>3</v>
      </c>
      <c r="I39" s="738">
        <v>4.7300000000000004</v>
      </c>
      <c r="J39" s="738">
        <v>3.9</v>
      </c>
      <c r="K39" s="738">
        <v>5.03</v>
      </c>
      <c r="L39" s="771">
        <v>4.21</v>
      </c>
      <c r="N39" s="760">
        <f t="shared" si="67"/>
        <v>4.7300000000000002E-2</v>
      </c>
      <c r="O39" s="761">
        <f t="shared" si="67"/>
        <v>3.9E-2</v>
      </c>
      <c r="P39" s="761">
        <f t="shared" si="67"/>
        <v>5.0300000000000004E-2</v>
      </c>
      <c r="Q39" s="761">
        <f t="shared" si="67"/>
        <v>4.2099999999999999E-2</v>
      </c>
      <c r="R39" s="794"/>
      <c r="S39" s="760"/>
      <c r="T39" s="761"/>
      <c r="U39" s="761"/>
      <c r="V39" s="761"/>
    </row>
    <row r="40" spans="1:26">
      <c r="A40" s="728" t="s">
        <v>2231</v>
      </c>
      <c r="B40" s="729">
        <f t="shared" si="79"/>
        <v>242.95398227588385</v>
      </c>
      <c r="C40" s="729">
        <f t="shared" si="79"/>
        <v>199.59137053614126</v>
      </c>
      <c r="D40" s="729">
        <f t="shared" si="65"/>
        <v>199.59137053614126</v>
      </c>
      <c r="E40" s="729">
        <f t="shared" si="80"/>
        <v>335.92189522342125</v>
      </c>
      <c r="F40" s="729">
        <f t="shared" si="80"/>
        <v>183.10139991109489</v>
      </c>
      <c r="G40" s="3441">
        <v>2010</v>
      </c>
      <c r="H40" s="734">
        <v>2</v>
      </c>
      <c r="I40" s="734">
        <v>4.6900000000000004</v>
      </c>
      <c r="J40" s="734">
        <v>3.55</v>
      </c>
      <c r="K40" s="734">
        <v>5.07</v>
      </c>
      <c r="L40" s="767">
        <v>4.2300000000000004</v>
      </c>
      <c r="N40" s="760">
        <f t="shared" si="67"/>
        <v>4.6900000000000004E-2</v>
      </c>
      <c r="O40" s="761">
        <f t="shared" si="67"/>
        <v>3.5499999999999997E-2</v>
      </c>
      <c r="P40" s="761">
        <f t="shared" si="67"/>
        <v>5.0700000000000002E-2</v>
      </c>
      <c r="Q40" s="761">
        <f t="shared" si="67"/>
        <v>4.2300000000000004E-2</v>
      </c>
      <c r="R40" s="794"/>
      <c r="S40" s="760"/>
      <c r="T40" s="761"/>
      <c r="U40" s="761"/>
      <c r="V40" s="761"/>
    </row>
    <row r="41" spans="1:26">
      <c r="A41" s="728" t="s">
        <v>2232</v>
      </c>
      <c r="B41" s="729">
        <f t="shared" si="79"/>
        <v>232.06990378821649</v>
      </c>
      <c r="C41" s="729">
        <f t="shared" si="79"/>
        <v>192.74878854286936</v>
      </c>
      <c r="D41" s="729">
        <f t="shared" si="65"/>
        <v>192.74878854286936</v>
      </c>
      <c r="E41" s="729">
        <f t="shared" si="80"/>
        <v>319.71247284992984</v>
      </c>
      <c r="F41" s="729">
        <f t="shared" si="80"/>
        <v>175.67053622862409</v>
      </c>
      <c r="G41" s="3444">
        <v>2010</v>
      </c>
      <c r="H41" s="730">
        <v>1</v>
      </c>
      <c r="I41" s="730">
        <v>5.4</v>
      </c>
      <c r="J41" s="730">
        <v>3.2</v>
      </c>
      <c r="K41" s="730">
        <v>6.16</v>
      </c>
      <c r="L41" s="762">
        <v>4.51</v>
      </c>
      <c r="N41" s="760">
        <f t="shared" si="67"/>
        <v>5.4000000000000006E-2</v>
      </c>
      <c r="O41" s="761">
        <f t="shared" si="67"/>
        <v>3.2000000000000001E-2</v>
      </c>
      <c r="P41" s="761">
        <f t="shared" si="67"/>
        <v>6.1600000000000002E-2</v>
      </c>
      <c r="Q41" s="761">
        <f t="shared" si="67"/>
        <v>4.5100000000000001E-2</v>
      </c>
      <c r="R41" s="794"/>
      <c r="S41" s="768">
        <f>B41/B42-1</f>
        <v>5.4863199037347599E-2</v>
      </c>
      <c r="T41" s="769">
        <f>C41/C42-1</f>
        <v>3.0742184721226584E-2</v>
      </c>
      <c r="U41" s="769">
        <f>E41/E42-1</f>
        <v>6.2167683886810154E-2</v>
      </c>
      <c r="V41" s="769">
        <f>F41/F42-1</f>
        <v>4.5657953741810031E-2</v>
      </c>
      <c r="X41" s="804"/>
      <c r="Y41" s="804"/>
      <c r="Z41" s="804"/>
    </row>
    <row r="42" spans="1:26">
      <c r="A42" s="728" t="s">
        <v>2233</v>
      </c>
      <c r="B42" s="735">
        <v>220</v>
      </c>
      <c r="C42" s="735">
        <v>187</v>
      </c>
      <c r="D42" s="735">
        <f t="shared" si="65"/>
        <v>187</v>
      </c>
      <c r="E42" s="735">
        <v>301</v>
      </c>
      <c r="F42" s="736">
        <v>168</v>
      </c>
      <c r="G42" s="3445">
        <v>2009</v>
      </c>
      <c r="H42" s="737">
        <v>4</v>
      </c>
      <c r="I42" s="737">
        <v>2.2999999999999998</v>
      </c>
      <c r="J42" s="737">
        <v>1.04</v>
      </c>
      <c r="K42" s="737">
        <v>2.84</v>
      </c>
      <c r="L42" s="770">
        <v>0.67</v>
      </c>
      <c r="N42" s="764">
        <f t="shared" si="67"/>
        <v>2.3E-2</v>
      </c>
      <c r="O42" s="765">
        <f t="shared" si="67"/>
        <v>1.04E-2</v>
      </c>
      <c r="P42" s="765">
        <f t="shared" si="67"/>
        <v>2.8399999999999998E-2</v>
      </c>
      <c r="Q42" s="765">
        <f t="shared" si="67"/>
        <v>6.7000000000000002E-3</v>
      </c>
      <c r="R42" s="794"/>
      <c r="S42" s="795"/>
      <c r="T42" s="796"/>
      <c r="U42" s="796"/>
      <c r="V42" s="796"/>
      <c r="X42" s="796"/>
      <c r="Y42" s="796"/>
      <c r="Z42" s="796"/>
    </row>
    <row r="43" spans="1:26">
      <c r="A43" s="728" t="s">
        <v>2234</v>
      </c>
      <c r="B43" s="729">
        <f t="shared" ref="B43:C45" si="81">B42/(1+N42)</f>
        <v>215.05376344086022</v>
      </c>
      <c r="C43" s="729">
        <f t="shared" si="81"/>
        <v>185.0752177355503</v>
      </c>
      <c r="D43" s="729">
        <f t="shared" si="65"/>
        <v>185.0752177355503</v>
      </c>
      <c r="E43" s="729">
        <f t="shared" ref="E43:F45" si="82">E42/(1+P42)</f>
        <v>292.68767016725008</v>
      </c>
      <c r="F43" s="729">
        <f t="shared" si="82"/>
        <v>166.88189132810174</v>
      </c>
      <c r="G43" s="3441">
        <v>2009</v>
      </c>
      <c r="H43" s="738">
        <v>3</v>
      </c>
      <c r="I43" s="738">
        <v>2.1</v>
      </c>
      <c r="J43" s="738">
        <v>1.86</v>
      </c>
      <c r="K43" s="738">
        <v>2.29</v>
      </c>
      <c r="L43" s="771">
        <v>0.85</v>
      </c>
      <c r="N43" s="760">
        <f t="shared" si="67"/>
        <v>2.1000000000000001E-2</v>
      </c>
      <c r="O43" s="766">
        <f t="shared" si="67"/>
        <v>1.8600000000000002E-2</v>
      </c>
      <c r="P43" s="766">
        <f t="shared" si="67"/>
        <v>2.29E-2</v>
      </c>
      <c r="Q43" s="766">
        <f t="shared" si="67"/>
        <v>8.5000000000000006E-3</v>
      </c>
      <c r="R43" s="794"/>
      <c r="S43" s="760"/>
      <c r="T43" s="761"/>
      <c r="U43" s="761"/>
      <c r="V43" s="761"/>
    </row>
    <row r="44" spans="1:26">
      <c r="A44" s="728" t="s">
        <v>2235</v>
      </c>
      <c r="B44" s="729">
        <f t="shared" si="81"/>
        <v>210.630522469011</v>
      </c>
      <c r="C44" s="729">
        <f t="shared" si="81"/>
        <v>181.69567812247232</v>
      </c>
      <c r="D44" s="729">
        <f t="shared" si="65"/>
        <v>181.69567812247232</v>
      </c>
      <c r="E44" s="729">
        <f t="shared" si="82"/>
        <v>286.13517466736738</v>
      </c>
      <c r="F44" s="729">
        <f t="shared" si="82"/>
        <v>165.47535084591149</v>
      </c>
      <c r="G44" s="3441">
        <v>2009</v>
      </c>
      <c r="H44" s="734">
        <v>2</v>
      </c>
      <c r="I44" s="734">
        <v>0.86</v>
      </c>
      <c r="J44" s="734">
        <v>-1.1299999999999999</v>
      </c>
      <c r="K44" s="734">
        <v>1.79</v>
      </c>
      <c r="L44" s="767">
        <v>-2.0699999999999998</v>
      </c>
      <c r="N44" s="760">
        <f t="shared" si="67"/>
        <v>8.6E-3</v>
      </c>
      <c r="O44" s="766">
        <f t="shared" si="67"/>
        <v>-1.1299999999999999E-2</v>
      </c>
      <c r="P44" s="766">
        <f t="shared" si="67"/>
        <v>1.7899999999999999E-2</v>
      </c>
      <c r="Q44" s="766">
        <f t="shared" si="67"/>
        <v>-2.07E-2</v>
      </c>
      <c r="R44" s="794"/>
      <c r="S44" s="760"/>
      <c r="T44" s="761"/>
      <c r="U44" s="761"/>
      <c r="V44" s="761"/>
    </row>
    <row r="45" spans="1:26">
      <c r="A45" s="728" t="s">
        <v>2236</v>
      </c>
      <c r="B45" s="729">
        <f t="shared" si="81"/>
        <v>208.83454537875372</v>
      </c>
      <c r="C45" s="729">
        <f t="shared" si="81"/>
        <v>183.77230517090351</v>
      </c>
      <c r="D45" s="729">
        <f t="shared" si="65"/>
        <v>183.77230517090351</v>
      </c>
      <c r="E45" s="729">
        <f t="shared" si="82"/>
        <v>281.10342338870947</v>
      </c>
      <c r="F45" s="729">
        <f t="shared" si="82"/>
        <v>168.97309388942256</v>
      </c>
      <c r="G45" s="3444">
        <v>2009</v>
      </c>
      <c r="H45" s="730">
        <v>1</v>
      </c>
      <c r="I45" s="730">
        <v>-2.64</v>
      </c>
      <c r="J45" s="730">
        <v>-2.5299999999999998</v>
      </c>
      <c r="K45" s="730">
        <v>-3.02</v>
      </c>
      <c r="L45" s="762">
        <v>1.52</v>
      </c>
      <c r="N45" s="768">
        <f t="shared" si="67"/>
        <v>-2.64E-2</v>
      </c>
      <c r="O45" s="769">
        <f t="shared" si="67"/>
        <v>-2.53E-2</v>
      </c>
      <c r="P45" s="769">
        <f t="shared" si="67"/>
        <v>-3.0200000000000001E-2</v>
      </c>
      <c r="Q45" s="769">
        <f t="shared" si="67"/>
        <v>1.52E-2</v>
      </c>
      <c r="R45" s="794"/>
      <c r="S45" s="768">
        <f>B45/B46-1</f>
        <v>-2.4137638417038754E-2</v>
      </c>
      <c r="T45" s="769">
        <f>C45/C46-1</f>
        <v>-2.248773845264096E-2</v>
      </c>
      <c r="U45" s="769">
        <f>E45/E46-1</f>
        <v>-2.7323794502735366E-2</v>
      </c>
      <c r="V45" s="769">
        <f>F45/F46-1</f>
        <v>1.7910204153148035E-2</v>
      </c>
      <c r="X45" s="804"/>
      <c r="Y45" s="804"/>
      <c r="Z45" s="804"/>
    </row>
    <row r="46" spans="1:26">
      <c r="A46" s="728" t="s">
        <v>2237</v>
      </c>
      <c r="B46" s="746">
        <v>214</v>
      </c>
      <c r="C46" s="746">
        <v>188</v>
      </c>
      <c r="D46" s="746">
        <f t="shared" si="65"/>
        <v>188</v>
      </c>
      <c r="E46" s="746">
        <v>289</v>
      </c>
      <c r="F46" s="747">
        <v>166</v>
      </c>
      <c r="G46" s="3445">
        <v>2008</v>
      </c>
      <c r="H46" s="737">
        <v>4</v>
      </c>
      <c r="I46" s="737">
        <v>1.73</v>
      </c>
      <c r="J46" s="737">
        <v>0.03</v>
      </c>
      <c r="K46" s="737">
        <v>2.59</v>
      </c>
      <c r="L46" s="770">
        <v>-1.66</v>
      </c>
      <c r="N46" s="760">
        <f t="shared" si="67"/>
        <v>1.7299999999999999E-2</v>
      </c>
      <c r="O46" s="761">
        <f t="shared" si="67"/>
        <v>2.9999999999999997E-4</v>
      </c>
      <c r="P46" s="761">
        <f t="shared" si="67"/>
        <v>2.5899999999999999E-2</v>
      </c>
      <c r="Q46" s="761">
        <f t="shared" si="67"/>
        <v>-1.66E-2</v>
      </c>
      <c r="R46" s="794"/>
      <c r="S46" s="795"/>
      <c r="T46" s="796"/>
      <c r="U46" s="796"/>
      <c r="V46" s="796"/>
      <c r="X46" s="796"/>
      <c r="Y46" s="796"/>
      <c r="Z46" s="796"/>
    </row>
    <row r="47" spans="1:26">
      <c r="A47" s="728" t="s">
        <v>2238</v>
      </c>
      <c r="B47" s="729">
        <f t="shared" ref="B47:C49" si="83">B46/(1+N46)</f>
        <v>210.36075887152265</v>
      </c>
      <c r="C47" s="729">
        <f t="shared" si="83"/>
        <v>187.94361691492554</v>
      </c>
      <c r="D47" s="729">
        <f t="shared" si="65"/>
        <v>187.94361691492554</v>
      </c>
      <c r="E47" s="729">
        <f t="shared" ref="E47:F49" si="84">E46/(1+P46)</f>
        <v>281.70386977288234</v>
      </c>
      <c r="F47" s="729">
        <f t="shared" si="84"/>
        <v>168.80211511083994</v>
      </c>
      <c r="G47" s="3441">
        <v>2008</v>
      </c>
      <c r="H47" s="738">
        <v>3</v>
      </c>
      <c r="I47" s="738">
        <v>1.96</v>
      </c>
      <c r="J47" s="738">
        <v>2.36</v>
      </c>
      <c r="K47" s="738">
        <v>1.82</v>
      </c>
      <c r="L47" s="771">
        <v>2.2200000000000002</v>
      </c>
      <c r="N47" s="760">
        <f t="shared" si="67"/>
        <v>1.9599999999999999E-2</v>
      </c>
      <c r="O47" s="761">
        <f t="shared" si="67"/>
        <v>2.3599999999999999E-2</v>
      </c>
      <c r="P47" s="761">
        <f t="shared" si="67"/>
        <v>1.8200000000000001E-2</v>
      </c>
      <c r="Q47" s="761">
        <f t="shared" si="67"/>
        <v>2.2200000000000001E-2</v>
      </c>
      <c r="R47" s="794"/>
      <c r="S47" s="760"/>
      <c r="T47" s="761"/>
      <c r="U47" s="761"/>
      <c r="V47" s="761"/>
    </row>
    <row r="48" spans="1:26">
      <c r="A48" s="728" t="s">
        <v>2239</v>
      </c>
      <c r="B48" s="729">
        <f t="shared" si="83"/>
        <v>206.31694671589116</v>
      </c>
      <c r="C48" s="729">
        <f t="shared" si="83"/>
        <v>183.61041121036101</v>
      </c>
      <c r="D48" s="729">
        <f t="shared" si="65"/>
        <v>183.61041121036101</v>
      </c>
      <c r="E48" s="729">
        <f t="shared" si="84"/>
        <v>276.66850301795557</v>
      </c>
      <c r="F48" s="729">
        <f t="shared" si="84"/>
        <v>165.1360938278614</v>
      </c>
      <c r="G48" s="3441">
        <v>2008</v>
      </c>
      <c r="H48" s="734">
        <v>2</v>
      </c>
      <c r="I48" s="734">
        <v>4.93</v>
      </c>
      <c r="J48" s="734">
        <v>7.38</v>
      </c>
      <c r="K48" s="734">
        <v>3.98</v>
      </c>
      <c r="L48" s="767">
        <v>6.86</v>
      </c>
      <c r="N48" s="760">
        <f t="shared" si="67"/>
        <v>4.9299999999999997E-2</v>
      </c>
      <c r="O48" s="761">
        <f t="shared" si="67"/>
        <v>7.3800000000000004E-2</v>
      </c>
      <c r="P48" s="761">
        <f t="shared" si="67"/>
        <v>3.9800000000000002E-2</v>
      </c>
      <c r="Q48" s="761">
        <f t="shared" si="67"/>
        <v>6.8600000000000008E-2</v>
      </c>
      <c r="R48" s="794"/>
      <c r="S48" s="760"/>
      <c r="T48" s="761"/>
      <c r="U48" s="761"/>
      <c r="V48" s="761"/>
    </row>
    <row r="49" spans="1:26" s="707" customFormat="1">
      <c r="A49" s="728" t="s">
        <v>2240</v>
      </c>
      <c r="B49" s="749">
        <f t="shared" si="83"/>
        <v>196.62341248059772</v>
      </c>
      <c r="C49" s="749">
        <f t="shared" si="83"/>
        <v>170.99125648199012</v>
      </c>
      <c r="D49" s="749">
        <f t="shared" si="65"/>
        <v>170.99125648199012</v>
      </c>
      <c r="E49" s="749">
        <f t="shared" si="84"/>
        <v>266.07857570490052</v>
      </c>
      <c r="F49" s="749">
        <f t="shared" si="84"/>
        <v>154.53499328828505</v>
      </c>
      <c r="G49" s="3444">
        <v>2008</v>
      </c>
      <c r="H49" s="750">
        <v>1</v>
      </c>
      <c r="I49" s="750">
        <v>4.1399999999999997</v>
      </c>
      <c r="J49" s="750">
        <v>3.45</v>
      </c>
      <c r="K49" s="750">
        <v>4.95</v>
      </c>
      <c r="L49" s="777">
        <v>4.82</v>
      </c>
      <c r="N49" s="778">
        <f t="shared" si="67"/>
        <v>4.1399999999999999E-2</v>
      </c>
      <c r="O49" s="779">
        <f t="shared" si="67"/>
        <v>3.4500000000000003E-2</v>
      </c>
      <c r="P49" s="779">
        <f t="shared" si="67"/>
        <v>4.9500000000000002E-2</v>
      </c>
      <c r="Q49" s="779">
        <f t="shared" si="67"/>
        <v>4.82E-2</v>
      </c>
      <c r="R49" s="805"/>
      <c r="S49" s="778">
        <f>B49/B50-1</f>
        <v>4.5869215322328349E-2</v>
      </c>
      <c r="T49" s="779">
        <f>C49/C50-1</f>
        <v>3.6310645345394743E-2</v>
      </c>
      <c r="U49" s="779">
        <f>E49/E50-1</f>
        <v>4.7553447657088688E-2</v>
      </c>
      <c r="V49" s="779">
        <f>F49/F50-1</f>
        <v>4.4155360055980086E-2</v>
      </c>
      <c r="X49" s="806"/>
      <c r="Y49" s="806"/>
      <c r="Z49" s="806"/>
    </row>
    <row r="50" spans="1:26">
      <c r="A50" s="728" t="s">
        <v>2241</v>
      </c>
      <c r="B50" s="735">
        <v>188</v>
      </c>
      <c r="C50" s="735">
        <v>165</v>
      </c>
      <c r="D50" s="735">
        <f t="shared" si="65"/>
        <v>165</v>
      </c>
      <c r="E50" s="735">
        <v>254</v>
      </c>
      <c r="F50" s="736">
        <v>148</v>
      </c>
      <c r="G50" s="3445">
        <v>2007</v>
      </c>
      <c r="H50" s="751">
        <v>4</v>
      </c>
      <c r="I50" s="751">
        <v>5.51</v>
      </c>
      <c r="J50" s="751">
        <v>4.8899999999999997</v>
      </c>
      <c r="K50" s="751">
        <v>6.43</v>
      </c>
      <c r="L50" s="780">
        <v>5.36</v>
      </c>
      <c r="N50" s="781">
        <f t="shared" ref="N50:O53" si="85">B50/B51-1</f>
        <v>4.1339718365245526E-2</v>
      </c>
      <c r="O50" s="782">
        <f t="shared" si="85"/>
        <v>4.0324492593776018E-2</v>
      </c>
      <c r="P50" s="782">
        <f t="shared" ref="P50:Q53" si="86">E50/E51-1</f>
        <v>6.1625555347990968E-2</v>
      </c>
      <c r="Q50" s="782">
        <f t="shared" si="86"/>
        <v>4.6757569250590603E-2</v>
      </c>
      <c r="R50" s="794"/>
      <c r="S50" s="795"/>
      <c r="T50" s="796"/>
      <c r="U50" s="796"/>
      <c r="V50" s="796"/>
      <c r="X50" s="796"/>
      <c r="Y50" s="796"/>
      <c r="Z50" s="796"/>
    </row>
    <row r="51" spans="1:26">
      <c r="A51" s="728" t="s">
        <v>2242</v>
      </c>
      <c r="B51" s="729">
        <f t="shared" ref="B51:C53" si="87">B52+(B$50-B$54)*I51/SUM(I$50:I$53)</f>
        <v>180.5366651097618</v>
      </c>
      <c r="C51" s="729">
        <f t="shared" si="87"/>
        <v>158.60435967302453</v>
      </c>
      <c r="D51" s="729">
        <f t="shared" si="65"/>
        <v>158.60435967302453</v>
      </c>
      <c r="E51" s="729">
        <f t="shared" ref="E51:F53" si="88">E52+(E$50-E$54)*K51/SUM(K$50:K$53)</f>
        <v>239.25573260785075</v>
      </c>
      <c r="F51" s="729">
        <f t="shared" si="88"/>
        <v>141.38899430740037</v>
      </c>
      <c r="G51" s="3441">
        <v>2007</v>
      </c>
      <c r="H51" s="738">
        <v>3</v>
      </c>
      <c r="I51" s="738">
        <v>8.65</v>
      </c>
      <c r="J51" s="738">
        <v>8.06</v>
      </c>
      <c r="K51" s="738">
        <v>9.94</v>
      </c>
      <c r="L51" s="771">
        <v>5.8</v>
      </c>
      <c r="N51" s="781">
        <f t="shared" si="85"/>
        <v>6.940217571740015E-2</v>
      </c>
      <c r="O51" s="782">
        <f t="shared" si="85"/>
        <v>7.1197482471153428E-2</v>
      </c>
      <c r="P51" s="782">
        <f t="shared" si="86"/>
        <v>0.10529679922579582</v>
      </c>
      <c r="Q51" s="782">
        <f t="shared" si="86"/>
        <v>5.3292245059512133E-2</v>
      </c>
      <c r="R51" s="794"/>
      <c r="S51" s="760"/>
      <c r="T51" s="761"/>
      <c r="U51" s="761"/>
      <c r="V51" s="761"/>
      <c r="X51" s="807"/>
      <c r="Y51" s="807"/>
      <c r="Z51" s="807"/>
    </row>
    <row r="52" spans="1:26">
      <c r="A52" s="728" t="s">
        <v>2243</v>
      </c>
      <c r="B52" s="729">
        <f t="shared" si="87"/>
        <v>168.82017748715555</v>
      </c>
      <c r="C52" s="729">
        <f t="shared" si="87"/>
        <v>148.06267029972753</v>
      </c>
      <c r="D52" s="729">
        <f t="shared" si="65"/>
        <v>148.06267029972753</v>
      </c>
      <c r="E52" s="729">
        <f t="shared" si="88"/>
        <v>216.46288379323747</v>
      </c>
      <c r="F52" s="729">
        <f t="shared" si="88"/>
        <v>134.23529411764704</v>
      </c>
      <c r="G52" s="3441">
        <v>2007</v>
      </c>
      <c r="H52" s="734">
        <v>2</v>
      </c>
      <c r="I52" s="734">
        <v>3.67</v>
      </c>
      <c r="J52" s="734">
        <v>2.3199999999999998</v>
      </c>
      <c r="K52" s="734">
        <v>5.0199999999999996</v>
      </c>
      <c r="L52" s="767">
        <v>6.71</v>
      </c>
      <c r="N52" s="781">
        <f t="shared" si="85"/>
        <v>3.0339138143848032E-2</v>
      </c>
      <c r="O52" s="782">
        <f t="shared" si="85"/>
        <v>2.0922341588790472E-2</v>
      </c>
      <c r="P52" s="782">
        <f t="shared" si="86"/>
        <v>5.6164796592717003E-2</v>
      </c>
      <c r="Q52" s="782">
        <f t="shared" si="86"/>
        <v>6.5704536723887319E-2</v>
      </c>
      <c r="R52" s="794"/>
      <c r="S52" s="760"/>
      <c r="T52" s="761"/>
      <c r="U52" s="761"/>
      <c r="V52" s="761"/>
      <c r="X52" s="807"/>
      <c r="Y52" s="807"/>
      <c r="Z52" s="807"/>
    </row>
    <row r="53" spans="1:26">
      <c r="A53" s="728" t="s">
        <v>2244</v>
      </c>
      <c r="B53" s="729">
        <f t="shared" si="87"/>
        <v>163.84913591779542</v>
      </c>
      <c r="C53" s="729">
        <f t="shared" si="87"/>
        <v>145.0283378746594</v>
      </c>
      <c r="D53" s="729">
        <f t="shared" si="65"/>
        <v>145.0283378746594</v>
      </c>
      <c r="E53" s="729">
        <f t="shared" si="88"/>
        <v>204.95180722891567</v>
      </c>
      <c r="F53" s="729">
        <f t="shared" si="88"/>
        <v>125.95920303605313</v>
      </c>
      <c r="G53" s="3444">
        <v>2007</v>
      </c>
      <c r="H53" s="730">
        <v>1</v>
      </c>
      <c r="I53" s="730">
        <v>3.58</v>
      </c>
      <c r="J53" s="730">
        <v>3.08</v>
      </c>
      <c r="K53" s="730">
        <v>4.34</v>
      </c>
      <c r="L53" s="762">
        <v>3.21</v>
      </c>
      <c r="N53" s="783">
        <f t="shared" si="85"/>
        <v>3.0497710174814063E-2</v>
      </c>
      <c r="O53" s="784">
        <f t="shared" si="85"/>
        <v>2.8569772160704998E-2</v>
      </c>
      <c r="P53" s="784">
        <f t="shared" si="86"/>
        <v>5.1034908866234296E-2</v>
      </c>
      <c r="Q53" s="784">
        <f t="shared" si="86"/>
        <v>3.245248390207478E-2</v>
      </c>
      <c r="R53" s="794"/>
      <c r="S53" s="768">
        <f>B53/B54-1</f>
        <v>3.0497710174814063E-2</v>
      </c>
      <c r="T53" s="769">
        <f>C53/C54-1</f>
        <v>2.8569772160704998E-2</v>
      </c>
      <c r="U53" s="769">
        <f>E53/E54-1</f>
        <v>5.1034908866234296E-2</v>
      </c>
      <c r="V53" s="769">
        <f>F53/F54-1</f>
        <v>3.245248390207478E-2</v>
      </c>
      <c r="X53" s="807"/>
      <c r="Y53" s="807"/>
      <c r="Z53" s="807"/>
    </row>
    <row r="54" spans="1:26">
      <c r="A54" s="728" t="s">
        <v>2245</v>
      </c>
      <c r="B54" s="739">
        <v>159</v>
      </c>
      <c r="C54" s="739">
        <v>141</v>
      </c>
      <c r="D54" s="739">
        <f t="shared" si="65"/>
        <v>141</v>
      </c>
      <c r="E54" s="739">
        <v>195</v>
      </c>
      <c r="F54" s="740">
        <v>122</v>
      </c>
      <c r="G54" s="3445">
        <v>2006</v>
      </c>
      <c r="H54" s="737">
        <v>4</v>
      </c>
      <c r="I54" s="737">
        <v>3.79</v>
      </c>
      <c r="J54" s="737">
        <v>2.21</v>
      </c>
      <c r="K54" s="737">
        <v>5.65</v>
      </c>
      <c r="L54" s="770">
        <v>5.41</v>
      </c>
      <c r="N54" s="781">
        <f t="shared" ref="N54:O57" si="89">I54/SUM(I$54:I$57)*(B$54/B$58-1)</f>
        <v>7.245466462748526E-2</v>
      </c>
      <c r="O54" s="782">
        <f t="shared" si="89"/>
        <v>2.3237230038062766E-2</v>
      </c>
      <c r="P54" s="782">
        <f t="shared" ref="P54:Q57" si="90">K54/SUM(K$54:K$57)*(E$54/E$58-1)</f>
        <v>0.16146893866323722</v>
      </c>
      <c r="Q54" s="782">
        <f t="shared" si="90"/>
        <v>5.0755230321793784E-2</v>
      </c>
      <c r="R54" s="794"/>
      <c r="S54" s="795"/>
      <c r="T54" s="796"/>
      <c r="U54" s="796"/>
      <c r="V54" s="796"/>
      <c r="X54" s="807"/>
      <c r="Y54" s="807"/>
      <c r="Z54" s="807"/>
    </row>
    <row r="55" spans="1:26">
      <c r="A55" s="728" t="s">
        <v>2246</v>
      </c>
      <c r="B55" s="729">
        <f t="shared" ref="B55:C57" si="91">B56+(B$54-B$58)*I55/SUM(I$54:I$57)</f>
        <v>149.00125628140702</v>
      </c>
      <c r="C55" s="729">
        <f t="shared" si="91"/>
        <v>137.95592286501378</v>
      </c>
      <c r="D55" s="729">
        <f t="shared" si="65"/>
        <v>137.95592286501378</v>
      </c>
      <c r="E55" s="729">
        <f t="shared" ref="E55:F57" si="92">E56+(E$54-E$58)*K55/SUM(K$54:K$57)</f>
        <v>169.97231450719823</v>
      </c>
      <c r="F55" s="729">
        <f t="shared" si="92"/>
        <v>116.21390374331551</v>
      </c>
      <c r="G55" s="3441">
        <v>2006</v>
      </c>
      <c r="H55" s="738">
        <v>3</v>
      </c>
      <c r="I55" s="738">
        <v>0.92</v>
      </c>
      <c r="J55" s="738">
        <v>1.08</v>
      </c>
      <c r="K55" s="738">
        <v>0.73</v>
      </c>
      <c r="L55" s="771">
        <v>1.08</v>
      </c>
      <c r="N55" s="781">
        <f t="shared" si="89"/>
        <v>1.7587939698492462E-2</v>
      </c>
      <c r="O55" s="782">
        <f t="shared" si="89"/>
        <v>1.1355750425840628E-2</v>
      </c>
      <c r="P55" s="782">
        <f t="shared" si="90"/>
        <v>2.0862358446754544E-2</v>
      </c>
      <c r="Q55" s="782">
        <f t="shared" si="90"/>
        <v>1.0132282578103011E-2</v>
      </c>
      <c r="R55" s="794"/>
      <c r="S55" s="760"/>
      <c r="T55" s="761"/>
      <c r="U55" s="761"/>
      <c r="V55" s="761"/>
      <c r="X55" s="807"/>
      <c r="Y55" s="807"/>
      <c r="Z55" s="807"/>
    </row>
    <row r="56" spans="1:26">
      <c r="A56" s="728" t="s">
        <v>2247</v>
      </c>
      <c r="B56" s="729">
        <f t="shared" si="91"/>
        <v>146.57412060301507</v>
      </c>
      <c r="C56" s="729">
        <f t="shared" si="91"/>
        <v>136.46831955922866</v>
      </c>
      <c r="D56" s="729">
        <f t="shared" si="65"/>
        <v>136.46831955922866</v>
      </c>
      <c r="E56" s="729">
        <f t="shared" si="92"/>
        <v>166.73864894795128</v>
      </c>
      <c r="F56" s="729">
        <f t="shared" si="92"/>
        <v>115.05882352941177</v>
      </c>
      <c r="G56" s="3441">
        <v>2006</v>
      </c>
      <c r="H56" s="734">
        <v>2</v>
      </c>
      <c r="I56" s="734">
        <v>0.96</v>
      </c>
      <c r="J56" s="734">
        <v>0.25</v>
      </c>
      <c r="K56" s="734">
        <v>1.9</v>
      </c>
      <c r="L56" s="767">
        <v>0.95</v>
      </c>
      <c r="N56" s="781">
        <f t="shared" si="89"/>
        <v>1.8352632728861701E-2</v>
      </c>
      <c r="O56" s="782">
        <f t="shared" si="89"/>
        <v>2.6286459319075526E-3</v>
      </c>
      <c r="P56" s="782">
        <f t="shared" si="90"/>
        <v>5.4299289107991269E-2</v>
      </c>
      <c r="Q56" s="782">
        <f t="shared" si="90"/>
        <v>8.9126559714794995E-3</v>
      </c>
      <c r="R56" s="794"/>
      <c r="S56" s="760"/>
      <c r="T56" s="761"/>
      <c r="U56" s="761"/>
      <c r="V56" s="761"/>
      <c r="X56" s="807"/>
      <c r="Y56" s="807"/>
      <c r="Z56" s="807"/>
    </row>
    <row r="57" spans="1:26">
      <c r="A57" s="728" t="s">
        <v>2248</v>
      </c>
      <c r="B57" s="729">
        <f t="shared" si="91"/>
        <v>144.04145728643215</v>
      </c>
      <c r="C57" s="729">
        <f t="shared" si="91"/>
        <v>136.12396694214877</v>
      </c>
      <c r="D57" s="729">
        <f t="shared" si="65"/>
        <v>136.12396694214877</v>
      </c>
      <c r="E57" s="729">
        <f t="shared" si="92"/>
        <v>158.32225913621264</v>
      </c>
      <c r="F57" s="729">
        <f t="shared" si="92"/>
        <v>114.04278074866311</v>
      </c>
      <c r="G57" s="3444">
        <v>2006</v>
      </c>
      <c r="H57" s="730">
        <v>1</v>
      </c>
      <c r="I57" s="730">
        <v>2.29</v>
      </c>
      <c r="J57" s="730">
        <v>3.72</v>
      </c>
      <c r="K57" s="730">
        <v>0.75</v>
      </c>
      <c r="L57" s="762">
        <v>0.04</v>
      </c>
      <c r="N57" s="783">
        <f t="shared" si="89"/>
        <v>4.3778675988638847E-2</v>
      </c>
      <c r="O57" s="784">
        <f t="shared" si="89"/>
        <v>3.9114251466784385E-2</v>
      </c>
      <c r="P57" s="784">
        <f t="shared" si="90"/>
        <v>2.1433929911049188E-2</v>
      </c>
      <c r="Q57" s="784">
        <f t="shared" si="90"/>
        <v>3.7526972511492629E-4</v>
      </c>
      <c r="R57" s="794"/>
      <c r="S57" s="768">
        <f>B57/B58-1</f>
        <v>4.3778675988638716E-2</v>
      </c>
      <c r="T57" s="769">
        <f>C57/C58-1</f>
        <v>3.91142514667846E-2</v>
      </c>
      <c r="U57" s="769">
        <f>E57/E58-1</f>
        <v>2.143392991104931E-2</v>
      </c>
      <c r="V57" s="769">
        <f>F57/F58-1</f>
        <v>3.7526972511492396E-4</v>
      </c>
      <c r="X57" s="807"/>
      <c r="Y57" s="807"/>
      <c r="Z57" s="807"/>
    </row>
    <row r="58" spans="1:26">
      <c r="A58" s="728" t="s">
        <v>2249</v>
      </c>
      <c r="B58" s="739">
        <v>138</v>
      </c>
      <c r="C58" s="739">
        <v>131</v>
      </c>
      <c r="D58" s="739">
        <f t="shared" si="65"/>
        <v>131</v>
      </c>
      <c r="E58" s="739">
        <v>155</v>
      </c>
      <c r="F58" s="740">
        <v>114</v>
      </c>
      <c r="G58" s="3445">
        <v>2005</v>
      </c>
      <c r="H58" s="737">
        <v>4</v>
      </c>
      <c r="I58" s="737">
        <v>3.29</v>
      </c>
      <c r="J58" s="737">
        <v>1.44</v>
      </c>
      <c r="K58" s="737">
        <v>0.66</v>
      </c>
      <c r="L58" s="770">
        <v>7.78</v>
      </c>
      <c r="N58" s="781">
        <f t="shared" ref="N58:O61" si="93">I58/SUM(I$58:I$61)*(B$58/B$62-1)</f>
        <v>9.9404603216919935E-2</v>
      </c>
      <c r="O58" s="782">
        <f t="shared" si="93"/>
        <v>4.7636550760861554E-2</v>
      </c>
      <c r="P58" s="782">
        <f t="shared" ref="P58:Q61" si="94">K58/SUM(K$58:K$61)*(E$58/E$62-1)</f>
        <v>8.3756345177664976E-2</v>
      </c>
      <c r="Q58" s="782">
        <f t="shared" si="94"/>
        <v>5.2148766661559584E-2</v>
      </c>
      <c r="R58" s="794"/>
      <c r="S58" s="795"/>
      <c r="T58" s="796"/>
      <c r="U58" s="796"/>
      <c r="V58" s="796"/>
      <c r="X58" s="807"/>
      <c r="Y58" s="807"/>
      <c r="Z58" s="807"/>
    </row>
    <row r="59" spans="1:26">
      <c r="A59" s="728" t="s">
        <v>2250</v>
      </c>
      <c r="B59" s="729">
        <f t="shared" ref="B59:C61" si="95">B60+(B$58-B$62)*I59/SUM(I$58:I$61)</f>
        <v>125.9720430107527</v>
      </c>
      <c r="C59" s="729">
        <f t="shared" si="95"/>
        <v>125.1883408071749</v>
      </c>
      <c r="D59" s="729">
        <f t="shared" si="65"/>
        <v>125.1883408071749</v>
      </c>
      <c r="E59" s="729">
        <f t="shared" ref="E59:F61" si="96">E60+(E$58-E$62)*K59/SUM(K$58:K$61)</f>
        <v>144.61421319796952</v>
      </c>
      <c r="F59" s="729">
        <f t="shared" si="96"/>
        <v>108.42008196721311</v>
      </c>
      <c r="G59" s="3441">
        <v>2005</v>
      </c>
      <c r="H59" s="738">
        <v>3</v>
      </c>
      <c r="I59" s="738">
        <v>0.46</v>
      </c>
      <c r="J59" s="738">
        <v>0.32</v>
      </c>
      <c r="K59" s="738">
        <v>0.42</v>
      </c>
      <c r="L59" s="771">
        <v>0.64</v>
      </c>
      <c r="N59" s="781">
        <f t="shared" si="93"/>
        <v>1.3898515951301874E-2</v>
      </c>
      <c r="O59" s="782">
        <f t="shared" si="93"/>
        <v>1.0585900169080346E-2</v>
      </c>
      <c r="P59" s="782">
        <f t="shared" si="94"/>
        <v>5.3299492385786795E-2</v>
      </c>
      <c r="Q59" s="782">
        <f t="shared" si="94"/>
        <v>4.2898728359123568E-3</v>
      </c>
      <c r="R59" s="794"/>
      <c r="S59" s="760"/>
      <c r="T59" s="761"/>
      <c r="U59" s="761"/>
      <c r="V59" s="761"/>
      <c r="X59" s="807"/>
      <c r="Y59" s="807"/>
      <c r="Z59" s="807"/>
    </row>
    <row r="60" spans="1:26">
      <c r="A60" s="728" t="s">
        <v>2251</v>
      </c>
      <c r="B60" s="729">
        <f t="shared" si="95"/>
        <v>124.29032258064517</v>
      </c>
      <c r="C60" s="729">
        <f t="shared" si="95"/>
        <v>123.8968609865471</v>
      </c>
      <c r="D60" s="729">
        <f t="shared" si="65"/>
        <v>123.8968609865471</v>
      </c>
      <c r="E60" s="729">
        <f t="shared" si="96"/>
        <v>138.00507614213197</v>
      </c>
      <c r="F60" s="729">
        <f t="shared" si="96"/>
        <v>107.96106557377048</v>
      </c>
      <c r="G60" s="3441">
        <v>2005</v>
      </c>
      <c r="H60" s="734">
        <v>2</v>
      </c>
      <c r="I60" s="734">
        <v>0.47</v>
      </c>
      <c r="J60" s="734">
        <v>0.1</v>
      </c>
      <c r="K60" s="734">
        <v>0.52</v>
      </c>
      <c r="L60" s="767">
        <v>0.79</v>
      </c>
      <c r="N60" s="781">
        <f t="shared" si="93"/>
        <v>1.420065760241713E-2</v>
      </c>
      <c r="O60" s="782">
        <f t="shared" si="93"/>
        <v>3.3080938028376083E-3</v>
      </c>
      <c r="P60" s="782">
        <f t="shared" si="94"/>
        <v>6.598984771573603E-2</v>
      </c>
      <c r="Q60" s="782">
        <f t="shared" si="94"/>
        <v>5.2953117818293153E-3</v>
      </c>
      <c r="R60" s="794"/>
      <c r="S60" s="760"/>
      <c r="T60" s="761"/>
      <c r="U60" s="761"/>
      <c r="V60" s="761"/>
      <c r="X60" s="807"/>
      <c r="Y60" s="807"/>
      <c r="Z60" s="807"/>
    </row>
    <row r="61" spans="1:26">
      <c r="A61" s="728" t="s">
        <v>2252</v>
      </c>
      <c r="B61" s="729">
        <f t="shared" si="95"/>
        <v>122.57204301075269</v>
      </c>
      <c r="C61" s="729">
        <f t="shared" si="95"/>
        <v>123.4932735426009</v>
      </c>
      <c r="D61" s="729">
        <f t="shared" si="65"/>
        <v>123.4932735426009</v>
      </c>
      <c r="E61" s="729">
        <f t="shared" si="96"/>
        <v>129.82233502538071</v>
      </c>
      <c r="F61" s="729">
        <f t="shared" si="96"/>
        <v>107.39446721311475</v>
      </c>
      <c r="G61" s="3444">
        <v>2005</v>
      </c>
      <c r="H61" s="730">
        <v>1</v>
      </c>
      <c r="I61" s="730">
        <v>0.43</v>
      </c>
      <c r="J61" s="730">
        <v>0.37</v>
      </c>
      <c r="K61" s="730">
        <v>0.37</v>
      </c>
      <c r="L61" s="762">
        <v>0.55000000000000004</v>
      </c>
      <c r="N61" s="783">
        <f t="shared" si="93"/>
        <v>1.2992090997956099E-2</v>
      </c>
      <c r="O61" s="784">
        <f t="shared" si="93"/>
        <v>1.2239947070499151E-2</v>
      </c>
      <c r="P61" s="784">
        <f t="shared" si="94"/>
        <v>4.6954314720812178E-2</v>
      </c>
      <c r="Q61" s="784">
        <f t="shared" si="94"/>
        <v>3.6866094683621815E-3</v>
      </c>
      <c r="R61" s="794"/>
      <c r="S61" s="768">
        <f>B61/B62-1</f>
        <v>1.2992090997956174E-2</v>
      </c>
      <c r="T61" s="769">
        <f>C61/C62-1</f>
        <v>1.2239947070499246E-2</v>
      </c>
      <c r="U61" s="769">
        <f>E61/E62-1</f>
        <v>4.695431472081224E-2</v>
      </c>
      <c r="V61" s="769">
        <f>F61/F62-1</f>
        <v>3.6866094683620787E-3</v>
      </c>
      <c r="X61" s="807"/>
      <c r="Y61" s="807"/>
      <c r="Z61" s="807"/>
    </row>
    <row r="62" spans="1:26">
      <c r="A62" s="728" t="s">
        <v>2253</v>
      </c>
      <c r="B62" s="746">
        <v>121</v>
      </c>
      <c r="C62" s="746">
        <v>122</v>
      </c>
      <c r="D62" s="746">
        <f t="shared" si="65"/>
        <v>122</v>
      </c>
      <c r="E62" s="746">
        <v>124</v>
      </c>
      <c r="F62" s="747">
        <v>107</v>
      </c>
      <c r="G62" s="3445">
        <v>2004</v>
      </c>
      <c r="H62" s="737">
        <v>4</v>
      </c>
      <c r="I62" s="737">
        <v>0.33</v>
      </c>
      <c r="J62" s="737">
        <v>0.5</v>
      </c>
      <c r="K62" s="737">
        <v>0.5</v>
      </c>
      <c r="L62" s="770">
        <v>0</v>
      </c>
      <c r="N62" s="781">
        <f t="shared" ref="N62:O65" si="97">I62/SUM(I$62:I$65)*(B$62/B$66-1)</f>
        <v>1.3391770148526898E-2</v>
      </c>
      <c r="O62" s="782">
        <f t="shared" si="97"/>
        <v>1.063264221158958E-2</v>
      </c>
      <c r="P62" s="782">
        <f t="shared" ref="P62:Q65" si="98">K62/SUM(K$62:K$65)*(E$62/E$66-1)</f>
        <v>2.2244466688911134E-2</v>
      </c>
      <c r="Q62" s="782">
        <f t="shared" si="98"/>
        <v>0</v>
      </c>
      <c r="R62" s="794"/>
      <c r="S62" s="795"/>
      <c r="T62" s="796"/>
      <c r="U62" s="796"/>
      <c r="V62" s="796"/>
      <c r="X62" s="807"/>
      <c r="Y62" s="807"/>
      <c r="Z62" s="807"/>
    </row>
    <row r="63" spans="1:26">
      <c r="A63" s="728" t="s">
        <v>2254</v>
      </c>
      <c r="B63" s="729">
        <f t="shared" ref="B63:C65" si="99">B64+(B$62-B$66)*I63/SUM(I$62:I$65)</f>
        <v>119.51351351351352</v>
      </c>
      <c r="C63" s="729">
        <f t="shared" si="99"/>
        <v>120.7878787878788</v>
      </c>
      <c r="D63" s="729">
        <f t="shared" si="65"/>
        <v>120.7878787878788</v>
      </c>
      <c r="E63" s="729">
        <f t="shared" ref="E63:F65" si="100">E64+(E$62-E$66)*K63/SUM(K$62:K$65)</f>
        <v>121.5975975975976</v>
      </c>
      <c r="F63" s="729">
        <f t="shared" si="100"/>
        <v>107</v>
      </c>
      <c r="G63" s="3441">
        <v>2004</v>
      </c>
      <c r="H63" s="738">
        <v>3</v>
      </c>
      <c r="I63" s="738">
        <v>0.56000000000000005</v>
      </c>
      <c r="J63" s="738">
        <v>0.8</v>
      </c>
      <c r="K63" s="738">
        <v>0.83</v>
      </c>
      <c r="L63" s="771">
        <v>0.06</v>
      </c>
      <c r="N63" s="781">
        <f t="shared" si="97"/>
        <v>2.2725428130833527E-2</v>
      </c>
      <c r="O63" s="782">
        <f t="shared" si="97"/>
        <v>1.7012227538543329E-2</v>
      </c>
      <c r="P63" s="782">
        <f t="shared" si="98"/>
        <v>3.6925814703592477E-2</v>
      </c>
      <c r="Q63" s="782">
        <f t="shared" si="98"/>
        <v>2.8846153846153744E-2</v>
      </c>
      <c r="R63" s="794"/>
      <c r="S63" s="760"/>
      <c r="T63" s="761"/>
      <c r="U63" s="761"/>
      <c r="V63" s="761"/>
      <c r="X63" s="807"/>
      <c r="Y63" s="807"/>
      <c r="Z63" s="807"/>
    </row>
    <row r="64" spans="1:26">
      <c r="A64" s="728" t="s">
        <v>2255</v>
      </c>
      <c r="B64" s="729">
        <f t="shared" si="99"/>
        <v>116.99099099099099</v>
      </c>
      <c r="C64" s="729">
        <f t="shared" si="99"/>
        <v>118.84848484848486</v>
      </c>
      <c r="D64" s="729">
        <f t="shared" si="65"/>
        <v>118.84848484848486</v>
      </c>
      <c r="E64" s="729">
        <f t="shared" si="100"/>
        <v>117.60960960960961</v>
      </c>
      <c r="F64" s="729">
        <f t="shared" si="100"/>
        <v>104</v>
      </c>
      <c r="G64" s="3441">
        <v>2004</v>
      </c>
      <c r="H64" s="734">
        <v>2</v>
      </c>
      <c r="I64" s="734">
        <v>1</v>
      </c>
      <c r="J64" s="734">
        <v>1.5</v>
      </c>
      <c r="K64" s="734">
        <v>1.5</v>
      </c>
      <c r="L64" s="767">
        <v>0</v>
      </c>
      <c r="N64" s="781">
        <f t="shared" si="97"/>
        <v>4.0581121662202721E-2</v>
      </c>
      <c r="O64" s="782">
        <f t="shared" si="97"/>
        <v>3.1897926634768738E-2</v>
      </c>
      <c r="P64" s="782">
        <f t="shared" si="98"/>
        <v>6.6733400066733395E-2</v>
      </c>
      <c r="Q64" s="782">
        <f t="shared" si="98"/>
        <v>0</v>
      </c>
      <c r="R64" s="794"/>
      <c r="S64" s="760"/>
      <c r="T64" s="761"/>
      <c r="U64" s="761"/>
      <c r="V64" s="761"/>
      <c r="X64" s="807"/>
      <c r="Y64" s="807"/>
      <c r="Z64" s="807"/>
    </row>
    <row r="65" spans="1:26" s="707" customFormat="1">
      <c r="A65" s="728" t="s">
        <v>2256</v>
      </c>
      <c r="B65" s="749">
        <f t="shared" si="99"/>
        <v>112.48648648648648</v>
      </c>
      <c r="C65" s="749">
        <f t="shared" si="99"/>
        <v>115.21212121212122</v>
      </c>
      <c r="D65" s="749">
        <f t="shared" si="65"/>
        <v>115.21212121212122</v>
      </c>
      <c r="E65" s="749">
        <f t="shared" si="100"/>
        <v>110.4024024024024</v>
      </c>
      <c r="F65" s="749">
        <f t="shared" si="100"/>
        <v>104</v>
      </c>
      <c r="G65" s="3444">
        <v>2004</v>
      </c>
      <c r="H65" s="750">
        <v>1</v>
      </c>
      <c r="I65" s="750">
        <v>0.33</v>
      </c>
      <c r="J65" s="750">
        <v>0.5</v>
      </c>
      <c r="K65" s="750">
        <v>0.5</v>
      </c>
      <c r="L65" s="777">
        <v>0</v>
      </c>
      <c r="N65" s="825">
        <f t="shared" si="97"/>
        <v>1.3391770148526898E-2</v>
      </c>
      <c r="O65" s="826">
        <f t="shared" si="97"/>
        <v>1.063264221158958E-2</v>
      </c>
      <c r="P65" s="826">
        <f t="shared" si="98"/>
        <v>2.2244466688911134E-2</v>
      </c>
      <c r="Q65" s="826">
        <f t="shared" si="98"/>
        <v>0</v>
      </c>
      <c r="R65" s="805"/>
      <c r="S65" s="778">
        <f>B65/B66-1</f>
        <v>1.3391770148526883E-2</v>
      </c>
      <c r="T65" s="779">
        <f>C65/C66-1</f>
        <v>1.063264221158966E-2</v>
      </c>
      <c r="U65" s="779">
        <f>E65/E66-1</f>
        <v>2.2244466688911224E-2</v>
      </c>
      <c r="V65" s="779">
        <f>F65/F66-1</f>
        <v>0</v>
      </c>
      <c r="X65" s="833"/>
      <c r="Y65" s="833"/>
      <c r="Z65" s="833"/>
    </row>
    <row r="66" spans="1:26">
      <c r="A66" s="728" t="s">
        <v>2257</v>
      </c>
      <c r="B66" s="812">
        <v>111</v>
      </c>
      <c r="C66" s="812">
        <v>114</v>
      </c>
      <c r="D66" s="812">
        <f t="shared" si="65"/>
        <v>114</v>
      </c>
      <c r="E66" s="812">
        <v>108</v>
      </c>
      <c r="F66" s="813">
        <v>104</v>
      </c>
      <c r="G66" s="3445">
        <v>2003</v>
      </c>
      <c r="H66" s="751">
        <v>4</v>
      </c>
      <c r="I66" s="827"/>
      <c r="J66" s="827"/>
      <c r="K66" s="827"/>
      <c r="L66" s="827"/>
      <c r="N66" s="828"/>
      <c r="O66" s="827"/>
      <c r="P66" s="827"/>
      <c r="Q66" s="827"/>
      <c r="S66" s="828"/>
      <c r="T66" s="827"/>
      <c r="U66" s="827"/>
      <c r="V66" s="827"/>
      <c r="X66" s="807"/>
      <c r="Y66" s="807"/>
      <c r="Z66" s="807"/>
    </row>
    <row r="67" spans="1:26">
      <c r="A67" s="728" t="s">
        <v>2258</v>
      </c>
      <c r="B67" s="814">
        <f t="shared" ref="B67:C69" si="101">B68+(B$66-B$70)/4</f>
        <v>109.75</v>
      </c>
      <c r="C67" s="814">
        <f t="shared" si="101"/>
        <v>112.25</v>
      </c>
      <c r="D67" s="814">
        <f t="shared" si="65"/>
        <v>112.25</v>
      </c>
      <c r="E67" s="814">
        <f t="shared" ref="E67:F69" si="102">E68+(E$66-E$70)/4</f>
        <v>107.25</v>
      </c>
      <c r="F67" s="814">
        <f t="shared" si="102"/>
        <v>103.5</v>
      </c>
      <c r="G67" s="3441">
        <v>2003</v>
      </c>
      <c r="H67" s="738">
        <v>3</v>
      </c>
      <c r="I67" s="827"/>
      <c r="J67" s="827"/>
      <c r="K67" s="827"/>
      <c r="L67" s="827"/>
      <c r="X67" s="807"/>
      <c r="Y67" s="807"/>
      <c r="Z67" s="807"/>
    </row>
    <row r="68" spans="1:26">
      <c r="A68" s="728" t="s">
        <v>2259</v>
      </c>
      <c r="B68" s="814">
        <f t="shared" si="101"/>
        <v>108.5</v>
      </c>
      <c r="C68" s="814">
        <f t="shared" si="101"/>
        <v>110.5</v>
      </c>
      <c r="D68" s="814">
        <f t="shared" si="65"/>
        <v>110.5</v>
      </c>
      <c r="E68" s="814">
        <f t="shared" si="102"/>
        <v>106.5</v>
      </c>
      <c r="F68" s="814">
        <f t="shared" si="102"/>
        <v>103</v>
      </c>
      <c r="G68" s="3441">
        <v>2003</v>
      </c>
      <c r="H68" s="734">
        <v>2</v>
      </c>
      <c r="I68" s="827"/>
      <c r="J68" s="827"/>
      <c r="K68" s="827"/>
      <c r="L68" s="827"/>
      <c r="X68" s="807"/>
      <c r="Y68" s="807"/>
      <c r="Z68" s="807"/>
    </row>
    <row r="69" spans="1:26">
      <c r="A69" s="728" t="s">
        <v>2260</v>
      </c>
      <c r="B69" s="814">
        <f t="shared" si="101"/>
        <v>107.25</v>
      </c>
      <c r="C69" s="814">
        <f t="shared" si="101"/>
        <v>108.75</v>
      </c>
      <c r="D69" s="814">
        <f t="shared" si="65"/>
        <v>108.75</v>
      </c>
      <c r="E69" s="814">
        <f t="shared" si="102"/>
        <v>105.75</v>
      </c>
      <c r="F69" s="814">
        <f t="shared" si="102"/>
        <v>102.5</v>
      </c>
      <c r="G69" s="3444">
        <v>2003</v>
      </c>
      <c r="H69" s="815">
        <v>1</v>
      </c>
      <c r="I69" s="827"/>
      <c r="J69" s="827"/>
      <c r="K69" s="827"/>
      <c r="L69" s="827"/>
      <c r="S69" s="760"/>
      <c r="T69" s="761"/>
      <c r="U69" s="761"/>
      <c r="X69" s="807"/>
      <c r="Y69" s="807"/>
      <c r="Z69" s="807"/>
    </row>
    <row r="70" spans="1:26">
      <c r="A70" s="728" t="s">
        <v>2261</v>
      </c>
      <c r="B70" s="816">
        <v>106</v>
      </c>
      <c r="C70" s="816">
        <v>107</v>
      </c>
      <c r="D70" s="816">
        <f t="shared" si="65"/>
        <v>107</v>
      </c>
      <c r="E70" s="816">
        <v>105</v>
      </c>
      <c r="F70" s="817">
        <v>102</v>
      </c>
      <c r="G70" s="3445">
        <v>2002</v>
      </c>
      <c r="H70" s="737">
        <v>4</v>
      </c>
      <c r="I70" s="827"/>
      <c r="J70" s="827"/>
      <c r="K70" s="827"/>
      <c r="L70" s="827"/>
      <c r="N70" s="828"/>
      <c r="O70" s="827"/>
      <c r="P70" s="827"/>
      <c r="Q70" s="827"/>
      <c r="S70" s="828"/>
      <c r="T70" s="827"/>
      <c r="U70" s="827"/>
      <c r="V70" s="827"/>
      <c r="X70" s="807"/>
      <c r="Y70" s="807"/>
      <c r="Z70" s="807"/>
    </row>
    <row r="71" spans="1:26">
      <c r="A71" s="728" t="s">
        <v>2262</v>
      </c>
      <c r="B71" s="814">
        <f t="shared" ref="B71:C73" si="103">B72+(B$70-B$74)/4</f>
        <v>105</v>
      </c>
      <c r="C71" s="814">
        <f t="shared" si="103"/>
        <v>106</v>
      </c>
      <c r="D71" s="814">
        <f t="shared" si="65"/>
        <v>106</v>
      </c>
      <c r="E71" s="814">
        <f t="shared" ref="E71:F73" si="104">E72+(E$70-E$74)/4</f>
        <v>104.5</v>
      </c>
      <c r="F71" s="814">
        <f t="shared" si="104"/>
        <v>101.5</v>
      </c>
      <c r="G71" s="3441">
        <v>2002</v>
      </c>
      <c r="H71" s="738">
        <v>3</v>
      </c>
      <c r="I71" s="827"/>
      <c r="J71" s="827"/>
      <c r="K71" s="827"/>
      <c r="L71" s="827"/>
      <c r="X71" s="807"/>
      <c r="Y71" s="807"/>
      <c r="Z71" s="807"/>
    </row>
    <row r="72" spans="1:26">
      <c r="A72" s="728" t="s">
        <v>2263</v>
      </c>
      <c r="B72" s="814">
        <f t="shared" si="103"/>
        <v>104</v>
      </c>
      <c r="C72" s="814">
        <f t="shared" si="103"/>
        <v>105</v>
      </c>
      <c r="D72" s="814">
        <f t="shared" si="65"/>
        <v>105</v>
      </c>
      <c r="E72" s="814">
        <f t="shared" si="104"/>
        <v>104</v>
      </c>
      <c r="F72" s="814">
        <f t="shared" si="104"/>
        <v>101</v>
      </c>
      <c r="G72" s="3441">
        <v>2002</v>
      </c>
      <c r="H72" s="734">
        <v>2</v>
      </c>
      <c r="I72" s="827"/>
      <c r="J72" s="827"/>
      <c r="K72" s="827"/>
      <c r="L72" s="827"/>
      <c r="X72" s="807"/>
      <c r="Y72" s="807"/>
      <c r="Z72" s="807"/>
    </row>
    <row r="73" spans="1:26" s="706" customFormat="1">
      <c r="A73" s="742" t="s">
        <v>2264</v>
      </c>
      <c r="B73" s="818">
        <f t="shared" si="103"/>
        <v>103</v>
      </c>
      <c r="C73" s="818">
        <f t="shared" si="103"/>
        <v>104</v>
      </c>
      <c r="D73" s="818">
        <f t="shared" si="65"/>
        <v>104</v>
      </c>
      <c r="E73" s="818">
        <f t="shared" si="104"/>
        <v>103.5</v>
      </c>
      <c r="F73" s="818">
        <f t="shared" si="104"/>
        <v>100.5</v>
      </c>
      <c r="G73" s="3444">
        <v>2002</v>
      </c>
      <c r="H73" s="819">
        <v>1</v>
      </c>
      <c r="I73" s="829"/>
      <c r="J73" s="829"/>
      <c r="K73" s="829"/>
      <c r="L73" s="829"/>
      <c r="N73" s="830"/>
      <c r="S73" s="830"/>
      <c r="X73" s="834"/>
      <c r="Y73" s="834"/>
      <c r="Z73" s="834"/>
    </row>
    <row r="74" spans="1:26">
      <c r="B74" s="820">
        <v>102</v>
      </c>
      <c r="C74" s="821">
        <v>103</v>
      </c>
      <c r="D74" s="821">
        <f t="shared" si="65"/>
        <v>103</v>
      </c>
      <c r="E74" s="821">
        <v>103</v>
      </c>
      <c r="F74" s="822">
        <v>100</v>
      </c>
      <c r="I74" s="827"/>
      <c r="J74" s="827"/>
      <c r="K74" s="827"/>
      <c r="L74" s="827"/>
      <c r="N74" s="828"/>
      <c r="O74" s="827"/>
      <c r="P74" s="827"/>
      <c r="Q74" s="827"/>
      <c r="S74" s="828"/>
      <c r="T74" s="827"/>
      <c r="U74" s="827"/>
      <c r="V74" s="827"/>
      <c r="X74" s="796"/>
      <c r="Y74" s="796"/>
      <c r="Z74" s="796"/>
    </row>
    <row r="76" spans="1:26" s="708" customFormat="1">
      <c r="A76" s="823" t="s">
        <v>2265</v>
      </c>
      <c r="G76" s="824"/>
      <c r="N76" s="824"/>
      <c r="S76" s="824"/>
    </row>
    <row r="77" spans="1:26" s="708" customFormat="1">
      <c r="A77" s="708" t="s">
        <v>2266</v>
      </c>
      <c r="G77" s="824"/>
      <c r="N77" s="824"/>
      <c r="S77" s="824"/>
    </row>
    <row r="78" spans="1:26" s="708" customFormat="1">
      <c r="A78" s="708" t="s">
        <v>2267</v>
      </c>
      <c r="G78" s="824"/>
      <c r="I78" s="831"/>
      <c r="J78" s="831"/>
      <c r="K78" s="831"/>
      <c r="L78" s="831"/>
      <c r="N78" s="832"/>
      <c r="O78" s="831"/>
      <c r="P78" s="831"/>
      <c r="Q78" s="831"/>
      <c r="S78" s="832"/>
      <c r="T78" s="831"/>
      <c r="U78" s="831"/>
      <c r="V78" s="831"/>
    </row>
    <row r="79" spans="1:26" s="708" customFormat="1">
      <c r="A79" s="708" t="s">
        <v>2268</v>
      </c>
      <c r="G79" s="824"/>
      <c r="N79" s="824"/>
      <c r="S79" s="824"/>
    </row>
    <row r="87" spans="7:22">
      <c r="G87" s="709"/>
      <c r="S87" s="835" t="s">
        <v>2269</v>
      </c>
      <c r="T87" s="836" t="s">
        <v>2270</v>
      </c>
      <c r="U87" s="836" t="s">
        <v>2271</v>
      </c>
      <c r="V87" s="836" t="s">
        <v>2272</v>
      </c>
    </row>
    <row r="88" spans="7:22">
      <c r="G88" s="709"/>
      <c r="N88" s="795"/>
      <c r="O88" s="796"/>
      <c r="P88" s="796"/>
      <c r="Q88" s="796"/>
      <c r="S88" s="837">
        <v>2006</v>
      </c>
      <c r="T88" s="838">
        <v>15.1</v>
      </c>
      <c r="U88" s="838">
        <v>7.43</v>
      </c>
      <c r="V88" s="838">
        <v>26.26</v>
      </c>
    </row>
    <row r="89" spans="7:22">
      <c r="G89" s="709"/>
      <c r="N89" s="795"/>
      <c r="O89" s="796"/>
      <c r="P89" s="796"/>
      <c r="Q89" s="796"/>
      <c r="S89" s="839">
        <v>2005</v>
      </c>
      <c r="T89" s="840">
        <v>13.9</v>
      </c>
      <c r="U89" s="840">
        <v>7.49</v>
      </c>
      <c r="V89" s="840">
        <v>24.92</v>
      </c>
    </row>
    <row r="90" spans="7:22">
      <c r="G90" s="709"/>
      <c r="N90" s="795"/>
      <c r="O90" s="796"/>
      <c r="P90" s="796"/>
      <c r="Q90" s="796"/>
      <c r="S90" s="837">
        <v>2004</v>
      </c>
      <c r="T90" s="838">
        <v>9.48</v>
      </c>
      <c r="U90" s="838">
        <v>7.2</v>
      </c>
      <c r="V90" s="838">
        <v>14.68</v>
      </c>
    </row>
    <row r="91" spans="7:22">
      <c r="G91" s="709"/>
      <c r="N91" s="795"/>
      <c r="O91" s="796"/>
      <c r="P91" s="796"/>
      <c r="Q91" s="796"/>
      <c r="S91" s="839">
        <v>2003</v>
      </c>
      <c r="T91" s="840">
        <v>4.5</v>
      </c>
      <c r="U91" s="840">
        <v>6.12</v>
      </c>
      <c r="V91" s="840">
        <v>2.34</v>
      </c>
    </row>
    <row r="92" spans="7:22">
      <c r="G92" s="709"/>
      <c r="N92" s="795"/>
      <c r="O92" s="796"/>
      <c r="P92" s="796"/>
      <c r="Q92" s="796"/>
      <c r="S92" s="841">
        <v>2002</v>
      </c>
      <c r="T92" s="842">
        <v>3.59</v>
      </c>
      <c r="U92" s="842">
        <v>4.54</v>
      </c>
      <c r="V92" s="842">
        <v>2.5499999999999998</v>
      </c>
    </row>
    <row r="93" spans="7:22">
      <c r="G93" s="709"/>
      <c r="N93" s="795"/>
      <c r="O93" s="796"/>
      <c r="P93" s="796"/>
      <c r="Q93" s="796"/>
    </row>
    <row r="94" spans="7:22">
      <c r="G94" s="709"/>
      <c r="N94" s="795"/>
      <c r="O94" s="796"/>
      <c r="P94" s="796"/>
      <c r="Q94" s="796"/>
    </row>
    <row r="95" spans="7:22">
      <c r="G95" s="709"/>
      <c r="N95" s="795"/>
      <c r="O95" s="796"/>
      <c r="P95" s="796"/>
      <c r="Q95" s="796"/>
    </row>
    <row r="96" spans="7:22">
      <c r="G96" s="709"/>
      <c r="N96" s="795"/>
      <c r="O96" s="796"/>
      <c r="P96" s="796"/>
      <c r="Q96" s="796"/>
    </row>
    <row r="97" spans="7:19">
      <c r="G97" s="709"/>
      <c r="N97" s="795"/>
      <c r="O97" s="796"/>
      <c r="P97" s="796"/>
      <c r="Q97" s="796"/>
    </row>
    <row r="98" spans="7:19">
      <c r="G98" s="709"/>
      <c r="N98" s="795"/>
      <c r="O98" s="796"/>
      <c r="P98" s="796"/>
      <c r="Q98" s="796"/>
    </row>
    <row r="99" spans="7:19">
      <c r="G99" s="709"/>
      <c r="N99" s="795"/>
      <c r="O99" s="796"/>
      <c r="P99" s="796"/>
      <c r="Q99" s="796"/>
    </row>
    <row r="100" spans="7:19">
      <c r="G100" s="709"/>
      <c r="N100" s="795"/>
      <c r="O100" s="796"/>
      <c r="P100" s="796"/>
      <c r="Q100" s="796"/>
    </row>
    <row r="101" spans="7:19">
      <c r="G101" s="709"/>
      <c r="N101" s="795"/>
      <c r="O101" s="796"/>
      <c r="P101" s="796"/>
      <c r="Q101" s="796"/>
    </row>
    <row r="102" spans="7:19">
      <c r="G102" s="709"/>
      <c r="N102" s="795"/>
      <c r="O102" s="796"/>
      <c r="P102" s="796"/>
      <c r="Q102" s="796"/>
    </row>
    <row r="103" spans="7:19">
      <c r="G103" s="709"/>
      <c r="N103" s="795"/>
      <c r="O103" s="796"/>
      <c r="P103" s="796"/>
      <c r="Q103" s="796"/>
      <c r="S103" s="709"/>
    </row>
    <row r="104" spans="7:19">
      <c r="G104" s="709"/>
      <c r="N104" s="795"/>
      <c r="O104" s="796"/>
      <c r="P104" s="796"/>
      <c r="Q104" s="796"/>
      <c r="S104" s="709"/>
    </row>
    <row r="105" spans="7:19">
      <c r="G105" s="709"/>
      <c r="N105" s="795"/>
      <c r="O105" s="796"/>
      <c r="P105" s="796"/>
      <c r="Q105" s="796"/>
      <c r="S105" s="709"/>
    </row>
    <row r="106" spans="7:19">
      <c r="G106" s="709"/>
      <c r="N106" s="795"/>
      <c r="O106" s="796"/>
      <c r="P106" s="796"/>
      <c r="Q106" s="796"/>
      <c r="S106" s="709"/>
    </row>
    <row r="107" spans="7:19">
      <c r="G107" s="709"/>
      <c r="N107" s="795"/>
      <c r="O107" s="796"/>
      <c r="P107" s="796"/>
      <c r="Q107" s="796"/>
      <c r="S107" s="709"/>
    </row>
    <row r="108" spans="7:19">
      <c r="G108" s="709"/>
      <c r="N108" s="795"/>
      <c r="O108" s="796"/>
      <c r="P108" s="796"/>
      <c r="Q108" s="796"/>
      <c r="S108" s="709"/>
    </row>
  </sheetData>
  <sheetProtection sheet="1" objects="1" scenarios="1" formatCells="0" formatColumns="0" formatRow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31" type="noConversion"/>
  <pageMargins left="0.7" right="0.7" top="0.75" bottom="0.75" header="0.3" footer="0.3"/>
  <pageSetup paperSize="9" scale="75" orientation="landscape"/>
  <rowBreaks count="1" manualBreakCount="1">
    <brk id="49"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ColWidth="9" defaultRowHeight="14.4"/>
  <cols>
    <col min="1" max="1" width="10.44140625" customWidth="1"/>
    <col min="2" max="2" width="12.88671875" customWidth="1"/>
    <col min="3" max="3" width="8.77734375" customWidth="1"/>
  </cols>
  <sheetData>
    <row r="1" spans="1:9" ht="15.6">
      <c r="A1" s="3449" t="s">
        <v>2273</v>
      </c>
      <c r="B1" s="3450"/>
      <c r="C1" s="3451"/>
      <c r="D1" s="3452">
        <f>SUM(I10,I15,I20,I21,I23)</f>
        <v>0</v>
      </c>
      <c r="E1" s="3452"/>
      <c r="F1" s="3452"/>
      <c r="G1" s="3452"/>
      <c r="H1" s="3452"/>
      <c r="I1" s="3453"/>
    </row>
    <row r="2" spans="1:9">
      <c r="A2" s="3461" t="s">
        <v>2274</v>
      </c>
      <c r="B2" s="3454" t="s">
        <v>2275</v>
      </c>
      <c r="C2" s="3454"/>
      <c r="D2" s="670" t="s">
        <v>2276</v>
      </c>
      <c r="E2" s="670" t="s">
        <v>2277</v>
      </c>
      <c r="F2" s="670" t="s">
        <v>2278</v>
      </c>
      <c r="G2" s="670" t="s">
        <v>2279</v>
      </c>
      <c r="H2" s="670" t="s">
        <v>2280</v>
      </c>
      <c r="I2" s="694" t="s">
        <v>2281</v>
      </c>
    </row>
    <row r="3" spans="1:9">
      <c r="A3" s="3461"/>
      <c r="B3" s="3454" t="s">
        <v>2282</v>
      </c>
      <c r="C3" s="3454"/>
      <c r="D3" s="671"/>
      <c r="E3" s="670"/>
      <c r="F3" s="672"/>
      <c r="G3" s="672"/>
      <c r="H3" s="673"/>
      <c r="I3" s="695">
        <f>ROUND(D3*E3*F3*G3*H3/10000,0)</f>
        <v>0</v>
      </c>
    </row>
    <row r="4" spans="1:9">
      <c r="A4" s="3461"/>
      <c r="B4" s="3454" t="s">
        <v>2283</v>
      </c>
      <c r="C4" s="3454"/>
      <c r="D4" s="671"/>
      <c r="E4" s="670"/>
      <c r="F4" s="672"/>
      <c r="G4" s="672"/>
      <c r="H4" s="673"/>
      <c r="I4" s="695">
        <f t="shared" ref="I4:I9" si="0">ROUND(D4*E4*F4*G4*H4/10000,0)</f>
        <v>0</v>
      </c>
    </row>
    <row r="5" spans="1:9">
      <c r="A5" s="3461"/>
      <c r="B5" s="3454" t="s">
        <v>2284</v>
      </c>
      <c r="C5" s="3454"/>
      <c r="D5" s="671"/>
      <c r="E5" s="670"/>
      <c r="F5" s="672"/>
      <c r="G5" s="672"/>
      <c r="H5" s="673"/>
      <c r="I5" s="695">
        <f t="shared" si="0"/>
        <v>0</v>
      </c>
    </row>
    <row r="6" spans="1:9">
      <c r="A6" s="3461"/>
      <c r="B6" s="3454" t="s">
        <v>2285</v>
      </c>
      <c r="C6" s="3454"/>
      <c r="D6" s="671"/>
      <c r="E6" s="670"/>
      <c r="F6" s="672"/>
      <c r="G6" s="672"/>
      <c r="H6" s="673"/>
      <c r="I6" s="695">
        <f t="shared" si="0"/>
        <v>0</v>
      </c>
    </row>
    <row r="7" spans="1:9">
      <c r="A7" s="3461"/>
      <c r="B7" s="3454" t="s">
        <v>2286</v>
      </c>
      <c r="C7" s="3454"/>
      <c r="D7" s="671"/>
      <c r="E7" s="670"/>
      <c r="F7" s="672"/>
      <c r="G7" s="672"/>
      <c r="H7" s="673"/>
      <c r="I7" s="695">
        <f t="shared" si="0"/>
        <v>0</v>
      </c>
    </row>
    <row r="8" spans="1:9">
      <c r="A8" s="3461"/>
      <c r="B8" s="3454" t="s">
        <v>2287</v>
      </c>
      <c r="C8" s="3454"/>
      <c r="D8" s="671"/>
      <c r="E8" s="670"/>
      <c r="F8" s="672"/>
      <c r="G8" s="672"/>
      <c r="H8" s="673"/>
      <c r="I8" s="695">
        <f t="shared" si="0"/>
        <v>0</v>
      </c>
    </row>
    <row r="9" spans="1:9">
      <c r="A9" s="3461"/>
      <c r="B9" s="3454" t="s">
        <v>2288</v>
      </c>
      <c r="C9" s="3454"/>
      <c r="D9" s="671"/>
      <c r="E9" s="670"/>
      <c r="F9" s="672"/>
      <c r="G9" s="672"/>
      <c r="H9" s="673"/>
      <c r="I9" s="695">
        <f t="shared" si="0"/>
        <v>0</v>
      </c>
    </row>
    <row r="10" spans="1:9">
      <c r="A10" s="3461"/>
      <c r="B10" s="3455" t="s">
        <v>500</v>
      </c>
      <c r="C10" s="3455"/>
      <c r="D10" s="674">
        <v>527</v>
      </c>
      <c r="E10" s="674" t="e">
        <f>ROUND(D1*10000/D10/H9,0)</f>
        <v>#DIV/0!</v>
      </c>
      <c r="F10" s="675"/>
      <c r="G10" s="675"/>
      <c r="H10" s="676"/>
      <c r="I10" s="696">
        <f>SUM(I3:I9)</f>
        <v>0</v>
      </c>
    </row>
    <row r="11" spans="1:9" ht="15.6">
      <c r="A11" s="3461" t="s">
        <v>2289</v>
      </c>
      <c r="B11" s="3454" t="s">
        <v>2290</v>
      </c>
      <c r="C11" s="3454"/>
      <c r="D11" s="671" t="s">
        <v>2291</v>
      </c>
      <c r="E11" s="671" t="s">
        <v>2292</v>
      </c>
      <c r="F11" s="672" t="s">
        <v>2293</v>
      </c>
      <c r="G11" s="672" t="s">
        <v>2280</v>
      </c>
      <c r="H11" s="677" t="s">
        <v>138</v>
      </c>
      <c r="I11" s="694" t="s">
        <v>2281</v>
      </c>
    </row>
    <row r="12" spans="1:9">
      <c r="A12" s="3461"/>
      <c r="B12" s="3454" t="s">
        <v>2294</v>
      </c>
      <c r="C12" s="3454"/>
      <c r="D12" s="671"/>
      <c r="E12" s="671"/>
      <c r="F12" s="672"/>
      <c r="G12" s="673"/>
      <c r="H12" s="678"/>
      <c r="I12" s="694">
        <f>ROUND(D12*E12*F12*G12/10000,0)</f>
        <v>0</v>
      </c>
    </row>
    <row r="13" spans="1:9">
      <c r="A13" s="3461"/>
      <c r="B13" s="3454" t="s">
        <v>2295</v>
      </c>
      <c r="C13" s="3454"/>
      <c r="D13" s="671"/>
      <c r="E13" s="671"/>
      <c r="F13" s="672"/>
      <c r="G13" s="673"/>
      <c r="H13" s="678"/>
      <c r="I13" s="694">
        <f>ROUND(D13*E13*F13*G13/10000,0)</f>
        <v>0</v>
      </c>
    </row>
    <row r="14" spans="1:9">
      <c r="A14" s="3461"/>
      <c r="B14" s="3454" t="s">
        <v>2296</v>
      </c>
      <c r="C14" s="3454"/>
      <c r="D14" s="671"/>
      <c r="E14" s="671"/>
      <c r="F14" s="672"/>
      <c r="G14" s="673"/>
      <c r="H14" s="678"/>
      <c r="I14" s="694">
        <f>ROUND(D14*E14*F14*G14/10000,0)</f>
        <v>0</v>
      </c>
    </row>
    <row r="15" spans="1:9">
      <c r="A15" s="3461"/>
      <c r="B15" s="3455" t="s">
        <v>500</v>
      </c>
      <c r="C15" s="3455"/>
      <c r="D15" s="674"/>
      <c r="E15" s="674">
        <f>SUM(E12:E14)</f>
        <v>0</v>
      </c>
      <c r="F15" s="675"/>
      <c r="G15" s="673"/>
      <c r="H15" s="678"/>
      <c r="I15" s="697">
        <f>SUM(I12:I14)</f>
        <v>0</v>
      </c>
    </row>
    <row r="16" spans="1:9" ht="24">
      <c r="A16" s="3461" t="s">
        <v>2297</v>
      </c>
      <c r="B16" s="3454" t="s">
        <v>2298</v>
      </c>
      <c r="C16" s="3454"/>
      <c r="D16" s="671" t="s">
        <v>2276</v>
      </c>
      <c r="E16" s="679" t="s">
        <v>2299</v>
      </c>
      <c r="F16" s="672" t="s">
        <v>2300</v>
      </c>
      <c r="G16" s="673" t="s">
        <v>2280</v>
      </c>
      <c r="H16" s="677" t="s">
        <v>138</v>
      </c>
      <c r="I16" s="694" t="s">
        <v>2281</v>
      </c>
    </row>
    <row r="17" spans="1:9" ht="15.6">
      <c r="A17" s="3461"/>
      <c r="B17" s="3454" t="s">
        <v>2301</v>
      </c>
      <c r="C17" s="3454"/>
      <c r="D17" s="671"/>
      <c r="E17" s="671"/>
      <c r="F17" s="672"/>
      <c r="G17" s="673"/>
      <c r="H17" s="680"/>
      <c r="I17" s="698">
        <f>ROUND(D17*E17*F17*G17/10000,0)</f>
        <v>0</v>
      </c>
    </row>
    <row r="18" spans="1:9" ht="15.6">
      <c r="A18" s="3461"/>
      <c r="B18" s="3454" t="s">
        <v>2302</v>
      </c>
      <c r="C18" s="3454"/>
      <c r="D18" s="671"/>
      <c r="E18" s="671"/>
      <c r="F18" s="672"/>
      <c r="G18" s="673"/>
      <c r="H18" s="680"/>
      <c r="I18" s="698">
        <f>ROUND(D18*E18*F18*G18/10000,0)</f>
        <v>0</v>
      </c>
    </row>
    <row r="19" spans="1:9" ht="15.6">
      <c r="A19" s="3461"/>
      <c r="B19" s="3454" t="s">
        <v>2303</v>
      </c>
      <c r="C19" s="3454"/>
      <c r="D19" s="671"/>
      <c r="E19" s="671"/>
      <c r="F19" s="672"/>
      <c r="G19" s="673"/>
      <c r="H19" s="680"/>
      <c r="I19" s="698">
        <f>ROUND(D19*E19*F19*G19/10000,0)</f>
        <v>0</v>
      </c>
    </row>
    <row r="20" spans="1:9">
      <c r="A20" s="3461"/>
      <c r="B20" s="3455" t="s">
        <v>500</v>
      </c>
      <c r="C20" s="3455"/>
      <c r="D20" s="674">
        <f>SUM(D17:D19)</f>
        <v>0</v>
      </c>
      <c r="E20" s="674"/>
      <c r="F20" s="675"/>
      <c r="G20" s="673"/>
      <c r="H20" s="678"/>
      <c r="I20" s="697">
        <f>SUM(I17:I19)</f>
        <v>0</v>
      </c>
    </row>
    <row r="21" spans="1:9">
      <c r="A21" s="3461" t="s">
        <v>2304</v>
      </c>
      <c r="B21" s="3469"/>
      <c r="C21" s="3469"/>
      <c r="D21" s="3469"/>
      <c r="E21" s="3469"/>
      <c r="F21" s="3469"/>
      <c r="G21" s="3469"/>
      <c r="H21" s="681">
        <v>0.1</v>
      </c>
      <c r="I21" s="696">
        <f>ROUND(I10*H21,0)</f>
        <v>0</v>
      </c>
    </row>
    <row r="22" spans="1:9" ht="15.6">
      <c r="A22" s="3462" t="s">
        <v>2305</v>
      </c>
      <c r="B22" s="3463"/>
      <c r="C22" s="3464"/>
      <c r="D22" s="682" t="s">
        <v>391</v>
      </c>
      <c r="E22" s="682" t="s">
        <v>2306</v>
      </c>
      <c r="F22" s="683" t="s">
        <v>2280</v>
      </c>
      <c r="G22" s="683" t="s">
        <v>2307</v>
      </c>
      <c r="H22" s="677" t="s">
        <v>138</v>
      </c>
      <c r="I22" s="694" t="s">
        <v>2281</v>
      </c>
    </row>
    <row r="23" spans="1:9">
      <c r="A23" s="3465"/>
      <c r="B23" s="3466"/>
      <c r="C23" s="3467"/>
      <c r="D23" s="684"/>
      <c r="E23" s="684"/>
      <c r="F23" s="684"/>
      <c r="G23" s="685"/>
      <c r="H23" s="686"/>
      <c r="I23" s="699">
        <f>ROUND(E23*D23*F23*(1-G23)/10000,0)</f>
        <v>0</v>
      </c>
    </row>
    <row r="26" spans="1:9">
      <c r="A26" s="687" t="s">
        <v>2308</v>
      </c>
      <c r="B26" s="687"/>
      <c r="C26" s="687"/>
      <c r="D26" s="687"/>
      <c r="E26" s="3460">
        <f>C27-C30-C31-C32</f>
        <v>0</v>
      </c>
      <c r="F26" s="3460"/>
      <c r="G26" s="3460"/>
      <c r="H26" s="688" t="s">
        <v>2309</v>
      </c>
    </row>
    <row r="27" spans="1:9">
      <c r="A27" s="689">
        <v>1</v>
      </c>
      <c r="B27" s="690" t="s">
        <v>2310</v>
      </c>
      <c r="C27" s="690"/>
      <c r="D27" s="690"/>
      <c r="E27" s="3456"/>
      <c r="F27" s="3456"/>
      <c r="G27" s="3456"/>
    </row>
    <row r="28" spans="1:9">
      <c r="A28" s="691" t="s">
        <v>1128</v>
      </c>
      <c r="B28" s="690" t="s">
        <v>2311</v>
      </c>
      <c r="C28" s="690"/>
      <c r="D28" s="690"/>
      <c r="E28" s="3456"/>
      <c r="F28" s="3456"/>
      <c r="G28" s="3456"/>
    </row>
    <row r="29" spans="1:9">
      <c r="A29" s="691" t="s">
        <v>1168</v>
      </c>
      <c r="B29" s="690" t="s">
        <v>1348</v>
      </c>
      <c r="C29" s="690"/>
      <c r="D29" s="690"/>
      <c r="E29" s="690" t="s">
        <v>2312</v>
      </c>
      <c r="F29" s="690"/>
      <c r="G29" s="690"/>
    </row>
    <row r="30" spans="1:9">
      <c r="A30" s="689">
        <v>2</v>
      </c>
      <c r="B30" s="690" t="s">
        <v>2313</v>
      </c>
      <c r="C30" s="690">
        <f>C27*D30</f>
        <v>0</v>
      </c>
      <c r="D30" s="692">
        <v>0.2</v>
      </c>
      <c r="E30" s="690" t="s">
        <v>2314</v>
      </c>
      <c r="F30" s="690"/>
      <c r="G30" s="690"/>
    </row>
    <row r="31" spans="1:9">
      <c r="A31" s="689">
        <v>3</v>
      </c>
      <c r="B31" s="690" t="s">
        <v>2315</v>
      </c>
      <c r="C31" s="690">
        <f>C25*D31</f>
        <v>0</v>
      </c>
      <c r="D31" s="692">
        <v>0.15</v>
      </c>
      <c r="E31" s="690" t="s">
        <v>2316</v>
      </c>
      <c r="F31" s="690"/>
      <c r="G31" s="690"/>
    </row>
    <row r="32" spans="1:9">
      <c r="A32" s="689">
        <v>4</v>
      </c>
      <c r="B32" s="690" t="s">
        <v>2317</v>
      </c>
      <c r="C32" s="690">
        <f>C27*D32</f>
        <v>0</v>
      </c>
      <c r="D32" s="692">
        <v>0.05</v>
      </c>
      <c r="E32" s="3468"/>
      <c r="F32" s="3468"/>
      <c r="G32" s="3468"/>
    </row>
    <row r="33" spans="1:7" hidden="1">
      <c r="A33" s="3457" t="s">
        <v>2318</v>
      </c>
      <c r="B33" s="3458"/>
      <c r="C33" s="3458"/>
      <c r="D33" s="3459"/>
      <c r="E33" s="3460"/>
      <c r="F33" s="3460"/>
      <c r="G33" s="3460"/>
    </row>
    <row r="34" spans="1:7" hidden="1">
      <c r="A34" s="693">
        <v>1</v>
      </c>
      <c r="B34" s="690" t="s">
        <v>2319</v>
      </c>
      <c r="C34" s="690"/>
      <c r="D34" s="690"/>
      <c r="E34" s="3456"/>
      <c r="F34" s="3456"/>
      <c r="G34" s="3456"/>
    </row>
    <row r="35" spans="1:7" hidden="1">
      <c r="A35" s="693">
        <v>2</v>
      </c>
      <c r="B35" s="690" t="s">
        <v>2320</v>
      </c>
      <c r="C35" s="690"/>
      <c r="D35" s="690"/>
      <c r="E35" s="3456"/>
      <c r="F35" s="3456"/>
      <c r="G35" s="3456"/>
    </row>
    <row r="36" spans="1:7" hidden="1">
      <c r="A36" s="693">
        <v>3</v>
      </c>
      <c r="B36" s="690" t="s">
        <v>2321</v>
      </c>
      <c r="C36" s="690"/>
      <c r="D36" s="690"/>
      <c r="E36" s="3456"/>
      <c r="F36" s="3456"/>
      <c r="G36" s="3456"/>
    </row>
    <row r="37" spans="1:7" hidden="1">
      <c r="A37" s="693">
        <v>4</v>
      </c>
      <c r="B37" s="690" t="s">
        <v>2322</v>
      </c>
      <c r="C37" s="690"/>
      <c r="D37" s="690"/>
      <c r="E37" s="3456"/>
      <c r="F37" s="3456"/>
      <c r="G37" s="3456"/>
    </row>
    <row r="38" spans="1:7" hidden="1">
      <c r="A38" s="3457" t="s">
        <v>2323</v>
      </c>
      <c r="B38" s="3458"/>
      <c r="C38" s="3458"/>
      <c r="D38" s="3459"/>
      <c r="E38" s="3460"/>
      <c r="F38" s="3460"/>
      <c r="G38" s="346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J56" sqref="J56"/>
    </sheetView>
  </sheetViews>
  <sheetFormatPr defaultColWidth="8.33203125" defaultRowHeight="13.2"/>
  <cols>
    <col min="1" max="1" width="9.33203125" style="612" customWidth="1"/>
    <col min="2" max="2" width="26.6640625" style="613" customWidth="1"/>
    <col min="3" max="3" width="11.109375" style="613" customWidth="1"/>
    <col min="4" max="5" width="11.109375" style="614" customWidth="1"/>
    <col min="6" max="6" width="9.44140625" style="613" customWidth="1"/>
    <col min="7" max="7" width="31.88671875" style="613" customWidth="1"/>
    <col min="8" max="25" width="9" style="615" customWidth="1"/>
    <col min="26" max="254" width="9" style="613" customWidth="1"/>
    <col min="255" max="16384" width="8.33203125" style="613"/>
  </cols>
  <sheetData>
    <row r="1" spans="1:25" s="609" customFormat="1" ht="21">
      <c r="A1" s="616" t="s">
        <v>2324</v>
      </c>
      <c r="B1" s="617"/>
      <c r="C1" s="618"/>
      <c r="D1" s="618"/>
      <c r="E1" s="618"/>
      <c r="F1" s="618"/>
      <c r="G1" s="619"/>
    </row>
    <row r="2" spans="1:25" s="609" customFormat="1" ht="18" customHeight="1">
      <c r="A2" s="205" t="s">
        <v>915</v>
      </c>
      <c r="B2" s="620">
        <f ca="1">C23</f>
        <v>0</v>
      </c>
      <c r="C2" s="619"/>
      <c r="D2" s="619"/>
      <c r="E2" s="619"/>
      <c r="F2" s="619"/>
      <c r="G2" s="619"/>
    </row>
    <row r="3" spans="1:25" s="609" customFormat="1" ht="18" customHeight="1">
      <c r="A3" s="621" t="s">
        <v>916</v>
      </c>
      <c r="B3" s="620">
        <f ca="1">ROUND(B2*10000/'数据-汇总表'!E3,0)</f>
        <v>0</v>
      </c>
      <c r="C3" s="619"/>
      <c r="D3" s="619"/>
      <c r="E3" s="619"/>
      <c r="F3" s="619"/>
      <c r="G3" s="619"/>
    </row>
    <row r="4" spans="1:25" s="609" customFormat="1" ht="18" customHeight="1">
      <c r="A4" s="622" t="s">
        <v>1011</v>
      </c>
      <c r="B4" s="623">
        <f ca="1">ROUND(B2*10000/'数据-汇总表'!D3,0)</f>
        <v>0</v>
      </c>
      <c r="C4" s="565"/>
      <c r="D4" s="619"/>
      <c r="E4" s="619"/>
      <c r="F4" s="619"/>
      <c r="G4" s="619"/>
    </row>
    <row r="5" spans="1:25" s="609" customFormat="1" ht="18" customHeight="1">
      <c r="A5" s="624"/>
      <c r="B5" s="625">
        <f ca="1">ROUND(B2/('数据-汇总表'!D3/666.67),0)</f>
        <v>0</v>
      </c>
      <c r="C5" s="626" t="s">
        <v>918</v>
      </c>
      <c r="D5" s="619"/>
      <c r="E5" s="619"/>
      <c r="F5" s="619"/>
      <c r="G5" s="619"/>
    </row>
    <row r="6" spans="1:25" s="610" customFormat="1" ht="13.5" customHeight="1">
      <c r="A6" s="627"/>
      <c r="B6" s="628" t="s">
        <v>846</v>
      </c>
      <c r="C6" s="629" t="s">
        <v>2325</v>
      </c>
      <c r="D6" s="629" t="s">
        <v>2326</v>
      </c>
      <c r="E6" s="630" t="s">
        <v>2327</v>
      </c>
      <c r="F6" s="630" t="s">
        <v>847</v>
      </c>
      <c r="G6" s="631"/>
    </row>
    <row r="7" spans="1:25" s="610" customFormat="1" ht="13.5" customHeight="1">
      <c r="A7" s="632">
        <v>1</v>
      </c>
      <c r="B7" s="633" t="s">
        <v>2328</v>
      </c>
      <c r="C7" s="634">
        <f>C8+C9</f>
        <v>0</v>
      </c>
      <c r="D7" s="634"/>
      <c r="E7" s="635"/>
      <c r="F7" s="635"/>
      <c r="G7" s="636"/>
    </row>
    <row r="8" spans="1:25" s="610" customFormat="1" ht="13.5" customHeight="1">
      <c r="A8" s="632" t="s">
        <v>2329</v>
      </c>
      <c r="B8" s="637" t="s">
        <v>2330</v>
      </c>
      <c r="C8" s="638"/>
      <c r="D8" s="634"/>
      <c r="E8" s="635"/>
      <c r="F8" s="635"/>
      <c r="G8" s="639"/>
    </row>
    <row r="9" spans="1:25" s="610" customFormat="1" ht="13.5" customHeight="1">
      <c r="A9" s="632" t="s">
        <v>2331</v>
      </c>
      <c r="B9" s="637" t="s">
        <v>2332</v>
      </c>
      <c r="C9" s="638"/>
      <c r="D9" s="634"/>
      <c r="E9" s="635"/>
      <c r="F9" s="635"/>
      <c r="G9" s="639"/>
    </row>
    <row r="10" spans="1:25" s="610" customFormat="1" ht="36">
      <c r="A10" s="632">
        <v>2</v>
      </c>
      <c r="B10" s="633" t="s">
        <v>2333</v>
      </c>
      <c r="C10" s="634">
        <f>C11+C14+C15</f>
        <v>0</v>
      </c>
      <c r="D10" s="640">
        <f>'数据-汇总表'!E3</f>
        <v>124721</v>
      </c>
      <c r="E10" s="634">
        <f>'数据-取费表'!B31</f>
        <v>100</v>
      </c>
      <c r="F10" s="641"/>
      <c r="G10" s="642" t="s">
        <v>2334</v>
      </c>
    </row>
    <row r="11" spans="1:25" s="610" customFormat="1" ht="13.5" customHeight="1">
      <c r="A11" s="632" t="s">
        <v>2329</v>
      </c>
      <c r="B11" s="643" t="s">
        <v>2335</v>
      </c>
      <c r="C11" s="644">
        <f>'数据-取费表'!B29</f>
        <v>0</v>
      </c>
      <c r="D11" s="645"/>
      <c r="E11" s="644"/>
      <c r="F11" s="646"/>
      <c r="G11" s="647" t="s">
        <v>2336</v>
      </c>
    </row>
    <row r="12" spans="1:25" s="610" customFormat="1" ht="13.5" customHeight="1">
      <c r="A12" s="648" t="s">
        <v>2337</v>
      </c>
      <c r="B12" s="649" t="s">
        <v>2338</v>
      </c>
      <c r="C12" s="650">
        <f>ROUND(D12*E12/10000,0)</f>
        <v>762</v>
      </c>
      <c r="D12" s="651">
        <f>'数据-汇总表'!E5</f>
        <v>72612.570000000007</v>
      </c>
      <c r="E12" s="650">
        <f>'数据-取费表'!B27</f>
        <v>105</v>
      </c>
      <c r="F12" s="646"/>
      <c r="G12" s="642"/>
    </row>
    <row r="13" spans="1:25" s="610" customFormat="1" ht="13.5" customHeight="1">
      <c r="A13" s="648" t="s">
        <v>2339</v>
      </c>
      <c r="B13" s="649" t="s">
        <v>2340</v>
      </c>
      <c r="C13" s="650">
        <f>ROUND(D13*E13/10000,0)</f>
        <v>547</v>
      </c>
      <c r="D13" s="651">
        <f>'数据-汇总表'!E6</f>
        <v>52108.429999999993</v>
      </c>
      <c r="E13" s="650">
        <f>'数据-取费表'!B28</f>
        <v>105</v>
      </c>
      <c r="F13" s="646"/>
      <c r="G13" s="642"/>
    </row>
    <row r="14" spans="1:25" s="610" customFormat="1" ht="13.5" customHeight="1">
      <c r="A14" s="632" t="s">
        <v>2331</v>
      </c>
      <c r="B14" s="652" t="s">
        <v>2341</v>
      </c>
      <c r="C14" s="638"/>
      <c r="D14" s="651"/>
      <c r="E14" s="650"/>
      <c r="F14" s="653"/>
      <c r="G14" s="654" t="s">
        <v>2342</v>
      </c>
    </row>
    <row r="15" spans="1:25" s="610" customFormat="1" ht="13.5" customHeight="1">
      <c r="A15" s="632" t="s">
        <v>2343</v>
      </c>
      <c r="B15" s="652" t="s">
        <v>2344</v>
      </c>
      <c r="C15" s="638"/>
      <c r="D15" s="651"/>
      <c r="E15" s="650"/>
      <c r="F15" s="653"/>
      <c r="G15" s="654" t="s">
        <v>2345</v>
      </c>
    </row>
    <row r="16" spans="1:25" s="611" customFormat="1" ht="48">
      <c r="A16" s="632">
        <v>3</v>
      </c>
      <c r="B16" s="633" t="s">
        <v>2346</v>
      </c>
      <c r="C16" s="638"/>
      <c r="D16" s="640"/>
      <c r="E16" s="634"/>
      <c r="F16" s="641"/>
      <c r="G16" s="642" t="s">
        <v>2347</v>
      </c>
      <c r="H16" s="610"/>
      <c r="I16" s="610"/>
      <c r="J16" s="610"/>
      <c r="K16" s="610"/>
      <c r="L16" s="610"/>
      <c r="M16" s="610"/>
      <c r="N16" s="610"/>
      <c r="O16" s="610"/>
      <c r="P16" s="610"/>
      <c r="Q16" s="610"/>
      <c r="R16" s="610"/>
      <c r="S16" s="610"/>
      <c r="T16" s="610"/>
      <c r="U16" s="610"/>
      <c r="V16" s="610"/>
      <c r="W16" s="610"/>
      <c r="X16" s="610"/>
      <c r="Y16" s="610"/>
    </row>
    <row r="17" spans="1:25" s="611" customFormat="1" ht="26.4">
      <c r="A17" s="655">
        <v>4</v>
      </c>
      <c r="B17" s="633" t="s">
        <v>2348</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2349</v>
      </c>
      <c r="C18" s="634">
        <f>ROUND((C7+C10+C16)*F18,0)</f>
        <v>0</v>
      </c>
      <c r="D18" s="657"/>
      <c r="E18" s="658"/>
      <c r="F18" s="641">
        <f>'数据-取费表'!Q16</f>
        <v>0.11</v>
      </c>
      <c r="G18" s="660" t="s">
        <v>2350</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2351</v>
      </c>
      <c r="C19" s="634">
        <f ca="1">C7+C10+C16+C17+C18</f>
        <v>0</v>
      </c>
      <c r="D19" s="640"/>
      <c r="E19" s="634"/>
      <c r="F19" s="641"/>
      <c r="G19" s="660" t="s">
        <v>2352</v>
      </c>
      <c r="H19" s="610"/>
      <c r="I19" s="610"/>
      <c r="J19" s="610"/>
      <c r="K19" s="610"/>
      <c r="L19" s="610"/>
      <c r="M19" s="610"/>
      <c r="N19" s="610"/>
      <c r="O19" s="610"/>
      <c r="P19" s="610"/>
      <c r="Q19" s="610"/>
      <c r="R19" s="610"/>
      <c r="S19" s="610"/>
      <c r="T19" s="610"/>
      <c r="U19" s="610"/>
      <c r="V19" s="610"/>
      <c r="W19" s="610"/>
      <c r="X19" s="610"/>
      <c r="Y19" s="610"/>
    </row>
    <row r="20" spans="1:25" s="611" customFormat="1" ht="25.2">
      <c r="A20" s="632">
        <v>7</v>
      </c>
      <c r="B20" s="633" t="s">
        <v>2353</v>
      </c>
      <c r="C20" s="634">
        <f ca="1">ROUND(C19*F20,0)</f>
        <v>0</v>
      </c>
      <c r="D20" s="640"/>
      <c r="E20" s="634"/>
      <c r="F20" s="662"/>
      <c r="G20" s="660" t="s">
        <v>2354</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2355</v>
      </c>
      <c r="C21" s="634">
        <f ca="1">C19+C20</f>
        <v>0</v>
      </c>
      <c r="D21" s="640"/>
      <c r="E21" s="634"/>
      <c r="F21" s="641"/>
      <c r="G21" s="660" t="s">
        <v>2356</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2357</v>
      </c>
      <c r="C22" s="634">
        <f ca="1">ROUND(C21*F22,0)</f>
        <v>0</v>
      </c>
      <c r="D22" s="640"/>
      <c r="E22" s="634"/>
      <c r="F22" s="663">
        <f>'数据-取费表'!AP16</f>
        <v>0.88100000000000001</v>
      </c>
      <c r="G22" s="660" t="s">
        <v>2358</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2359</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3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J56" sqref="J56"/>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1267</v>
      </c>
      <c r="B1" s="529" t="s">
        <v>2360</v>
      </c>
      <c r="C1" s="200" t="s">
        <v>1269</v>
      </c>
      <c r="D1" s="597"/>
      <c r="E1" s="202"/>
      <c r="F1" s="203"/>
      <c r="G1" s="204" t="s">
        <v>1271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1272</v>
      </c>
      <c r="B3" s="211" t="e">
        <f>C49</f>
        <v>#DIV/0!</v>
      </c>
      <c r="C3" s="212" t="s">
        <v>1273</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4.4">
      <c r="A4" s="214" t="s">
        <v>919</v>
      </c>
      <c r="B4" s="215"/>
      <c r="C4" s="3342" t="s">
        <v>920</v>
      </c>
      <c r="D4" s="3343"/>
      <c r="E4" s="3383" t="s">
        <v>921</v>
      </c>
      <c r="F4" s="3384"/>
      <c r="G4" s="3342" t="s">
        <v>922</v>
      </c>
      <c r="H4" s="3343"/>
      <c r="I4" s="3342" t="s">
        <v>923</v>
      </c>
      <c r="J4" s="3343"/>
      <c r="K4" s="376" t="s">
        <v>924</v>
      </c>
      <c r="L4" s="377"/>
      <c r="M4" s="378"/>
      <c r="N4" s="378"/>
      <c r="O4" s="378"/>
      <c r="P4" s="3370" t="s">
        <v>925</v>
      </c>
      <c r="Q4" s="3371"/>
      <c r="R4" s="3376" t="s">
        <v>921</v>
      </c>
      <c r="S4" s="3377"/>
      <c r="T4" s="3376" t="s">
        <v>922</v>
      </c>
      <c r="U4" s="3377"/>
      <c r="V4" s="3362" t="s">
        <v>923</v>
      </c>
      <c r="W4" s="3362"/>
      <c r="X4" s="443"/>
      <c r="Y4" s="3376" t="s">
        <v>925</v>
      </c>
      <c r="Z4" s="3377"/>
      <c r="AA4" s="3363" t="s">
        <v>921</v>
      </c>
      <c r="AB4" s="3362" t="s">
        <v>922</v>
      </c>
      <c r="AC4" s="3363" t="s">
        <v>923</v>
      </c>
    </row>
    <row r="5" spans="1:29">
      <c r="A5" s="216"/>
      <c r="B5" s="217"/>
      <c r="C5" s="3344" t="s">
        <v>926</v>
      </c>
      <c r="D5" s="3345"/>
      <c r="E5" s="3385" t="s">
        <v>1102</v>
      </c>
      <c r="F5" s="3386"/>
      <c r="G5" s="3344" t="s">
        <v>1103</v>
      </c>
      <c r="H5" s="3345"/>
      <c r="I5" s="3344" t="s">
        <v>1104</v>
      </c>
      <c r="J5" s="3345"/>
      <c r="K5" s="376"/>
      <c r="L5" s="377"/>
      <c r="M5" s="378"/>
      <c r="N5" s="378"/>
      <c r="O5" s="378"/>
      <c r="P5" s="3372"/>
      <c r="Q5" s="3373"/>
      <c r="R5" s="3378"/>
      <c r="S5" s="3379"/>
      <c r="T5" s="3378"/>
      <c r="U5" s="3379"/>
      <c r="V5" s="3362"/>
      <c r="W5" s="3362"/>
      <c r="X5" s="443"/>
      <c r="Y5" s="3378"/>
      <c r="Z5" s="3379"/>
      <c r="AA5" s="3364"/>
      <c r="AB5" s="3362"/>
      <c r="AC5" s="3364"/>
    </row>
    <row r="6" spans="1:29" ht="14.4">
      <c r="A6" s="218"/>
      <c r="B6" s="219"/>
      <c r="C6" s="3348" t="s">
        <v>927</v>
      </c>
      <c r="D6" s="3349"/>
      <c r="E6" s="3387" t="s">
        <v>927</v>
      </c>
      <c r="F6" s="3388"/>
      <c r="G6" s="3348" t="s">
        <v>927</v>
      </c>
      <c r="H6" s="3349"/>
      <c r="I6" s="3348" t="s">
        <v>927</v>
      </c>
      <c r="J6" s="3349"/>
      <c r="K6" s="376" t="s">
        <v>928</v>
      </c>
      <c r="L6" s="377"/>
      <c r="M6" s="378"/>
      <c r="N6" s="378"/>
      <c r="O6" s="378"/>
      <c r="P6" s="3374"/>
      <c r="Q6" s="3375"/>
      <c r="R6" s="3378"/>
      <c r="S6" s="3379"/>
      <c r="T6" s="3380"/>
      <c r="U6" s="3381"/>
      <c r="V6" s="3362"/>
      <c r="W6" s="3362"/>
      <c r="X6" s="443"/>
      <c r="Y6" s="3380"/>
      <c r="Z6" s="3381"/>
      <c r="AA6" s="3365"/>
      <c r="AB6" s="3362"/>
      <c r="AC6" s="3365"/>
    </row>
    <row r="7" spans="1:29" s="190" customFormat="1" ht="14.4">
      <c r="A7" s="220"/>
      <c r="B7" s="221" t="s">
        <v>929</v>
      </c>
      <c r="C7" s="222">
        <f>'数据-取费表'!B2</f>
        <v>43654</v>
      </c>
      <c r="D7" s="223">
        <v>100</v>
      </c>
      <c r="E7" s="224"/>
      <c r="F7" s="225">
        <f>SUMIF(58:58,YEAR(E7)&amp;"-"&amp;MONTH(E7),59:59)</f>
        <v>0</v>
      </c>
      <c r="G7" s="224"/>
      <c r="H7" s="223">
        <f>SUMIF(58:58,YEAR(G7)&amp;"-"&amp;MONTH(G7),59:59)</f>
        <v>0</v>
      </c>
      <c r="I7" s="224"/>
      <c r="J7" s="223">
        <f>SUMIF(58:58,YEAR(I7)&amp;"-"&amp;MONTH(I7),59:59)</f>
        <v>0</v>
      </c>
      <c r="K7" s="379"/>
      <c r="L7" s="380"/>
      <c r="M7" s="381"/>
      <c r="N7" s="381"/>
      <c r="O7" s="381"/>
      <c r="P7" s="3350" t="s">
        <v>930</v>
      </c>
      <c r="Q7" s="3351"/>
      <c r="R7" s="444" t="s">
        <v>931</v>
      </c>
      <c r="S7" s="445">
        <f t="shared" ref="S7:S15" si="0">F7</f>
        <v>0</v>
      </c>
      <c r="T7" s="444" t="s">
        <v>931</v>
      </c>
      <c r="U7" s="445">
        <f t="shared" ref="U7:U15" si="1">H7</f>
        <v>0</v>
      </c>
      <c r="V7" s="444" t="s">
        <v>931</v>
      </c>
      <c r="W7" s="445">
        <f t="shared" ref="W7:W15" si="2">J7</f>
        <v>0</v>
      </c>
      <c r="X7" s="446"/>
      <c r="Y7" s="3350" t="s">
        <v>930</v>
      </c>
      <c r="Z7" s="3382"/>
      <c r="AA7" s="463" t="e">
        <f>D7/F7</f>
        <v>#DIV/0!</v>
      </c>
      <c r="AB7" s="463" t="e">
        <f>D7/H7</f>
        <v>#DIV/0!</v>
      </c>
      <c r="AC7" s="463" t="e">
        <f>D7/J7</f>
        <v>#DIV/0!</v>
      </c>
    </row>
    <row r="8" spans="1:29" s="190" customFormat="1" ht="14.4">
      <c r="A8" s="227"/>
      <c r="B8" s="228" t="s">
        <v>932</v>
      </c>
      <c r="C8" s="229" t="s">
        <v>933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50" t="s">
        <v>935</v>
      </c>
      <c r="Q8" s="3382"/>
      <c r="R8" s="444" t="s">
        <v>931</v>
      </c>
      <c r="S8" s="445">
        <f t="shared" si="0"/>
        <v>0</v>
      </c>
      <c r="T8" s="444" t="s">
        <v>931</v>
      </c>
      <c r="U8" s="445">
        <f t="shared" si="1"/>
        <v>0</v>
      </c>
      <c r="V8" s="444" t="s">
        <v>931</v>
      </c>
      <c r="W8" s="445">
        <f t="shared" si="2"/>
        <v>0</v>
      </c>
      <c r="X8" s="446"/>
      <c r="Y8" s="3350" t="s">
        <v>935</v>
      </c>
      <c r="Z8" s="3382"/>
      <c r="AA8" s="463" t="e">
        <f t="shared" ref="AA8:AA46" si="3">D8/F8</f>
        <v>#DIV/0!</v>
      </c>
      <c r="AB8" s="463" t="e">
        <f t="shared" ref="AB8:AB46" si="4">D8/H8</f>
        <v>#DIV/0!</v>
      </c>
      <c r="AC8" s="463" t="e">
        <f t="shared" ref="AC8:AC46" si="5">D8/J8</f>
        <v>#DIV/0!</v>
      </c>
    </row>
    <row r="9" spans="1:29" s="190" customFormat="1" ht="14.4">
      <c r="A9" s="230"/>
      <c r="B9" s="231" t="s">
        <v>936</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3" t="s">
        <v>938</v>
      </c>
      <c r="Q9" s="447" t="str">
        <f t="shared" ref="Q9:Q15" si="6">B9</f>
        <v>用途</v>
      </c>
      <c r="R9" s="444" t="s">
        <v>931</v>
      </c>
      <c r="S9" s="445">
        <f t="shared" si="0"/>
        <v>100</v>
      </c>
      <c r="T9" s="444" t="s">
        <v>931</v>
      </c>
      <c r="U9" s="445">
        <f t="shared" si="1"/>
        <v>100</v>
      </c>
      <c r="V9" s="444" t="s">
        <v>931</v>
      </c>
      <c r="W9" s="445">
        <f t="shared" si="2"/>
        <v>100</v>
      </c>
      <c r="X9" s="446"/>
      <c r="Y9" s="3341" t="s">
        <v>939</v>
      </c>
      <c r="Z9" s="464" t="str">
        <f t="shared" ref="Z9:Z15" si="7">Q9</f>
        <v>用途</v>
      </c>
      <c r="AA9" s="463">
        <f t="shared" si="3"/>
        <v>1</v>
      </c>
      <c r="AB9" s="463">
        <f t="shared" si="4"/>
        <v>1</v>
      </c>
      <c r="AC9" s="463">
        <f t="shared" si="5"/>
        <v>1</v>
      </c>
    </row>
    <row r="10" spans="1:29" s="191" customFormat="1" ht="28.8">
      <c r="A10" s="235"/>
      <c r="B10" s="228" t="s">
        <v>940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3"/>
      <c r="Q10" s="447" t="str">
        <f t="shared" si="6"/>
        <v>土地使用年限（年）</v>
      </c>
      <c r="R10" s="444" t="s">
        <v>931</v>
      </c>
      <c r="S10" s="445">
        <f t="shared" si="0"/>
        <v>100</v>
      </c>
      <c r="T10" s="444" t="s">
        <v>931</v>
      </c>
      <c r="U10" s="445">
        <f t="shared" si="1"/>
        <v>100</v>
      </c>
      <c r="V10" s="444" t="s">
        <v>931</v>
      </c>
      <c r="W10" s="445">
        <f t="shared" si="2"/>
        <v>100</v>
      </c>
      <c r="X10" s="446"/>
      <c r="Y10" s="3341"/>
      <c r="Z10" s="464" t="str">
        <f t="shared" si="7"/>
        <v>土地使用年限（年）</v>
      </c>
      <c r="AA10" s="463">
        <f t="shared" si="3"/>
        <v>1</v>
      </c>
      <c r="AB10" s="463">
        <f t="shared" si="4"/>
        <v>1</v>
      </c>
      <c r="AC10" s="463">
        <f t="shared" si="5"/>
        <v>1</v>
      </c>
    </row>
    <row r="11" spans="1:29" ht="15">
      <c r="A11" s="530"/>
      <c r="B11" s="228" t="s">
        <v>942</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3"/>
      <c r="Q11" s="447" t="str">
        <f t="shared" si="6"/>
        <v>容积率</v>
      </c>
      <c r="R11" s="444" t="s">
        <v>931</v>
      </c>
      <c r="S11" s="445" t="e">
        <f t="shared" si="0"/>
        <v>#N/A</v>
      </c>
      <c r="T11" s="444" t="s">
        <v>931</v>
      </c>
      <c r="U11" s="445" t="e">
        <f t="shared" si="1"/>
        <v>#N/A</v>
      </c>
      <c r="V11" s="444" t="s">
        <v>931</v>
      </c>
      <c r="W11" s="445" t="e">
        <f t="shared" si="2"/>
        <v>#N/A</v>
      </c>
      <c r="X11" s="446"/>
      <c r="Y11" s="334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3"/>
      <c r="Q12" s="447">
        <f t="shared" si="6"/>
        <v>111</v>
      </c>
      <c r="R12" s="444" t="s">
        <v>931</v>
      </c>
      <c r="S12" s="445">
        <f t="shared" si="0"/>
        <v>100</v>
      </c>
      <c r="T12" s="444" t="s">
        <v>931</v>
      </c>
      <c r="U12" s="445">
        <f t="shared" si="1"/>
        <v>100</v>
      </c>
      <c r="V12" s="444" t="s">
        <v>931</v>
      </c>
      <c r="W12" s="445">
        <f t="shared" si="2"/>
        <v>100</v>
      </c>
      <c r="X12" s="446"/>
      <c r="Y12" s="3341"/>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3"/>
      <c r="Q13" s="447">
        <f t="shared" si="6"/>
        <v>111</v>
      </c>
      <c r="R13" s="444" t="s">
        <v>931</v>
      </c>
      <c r="S13" s="445">
        <f t="shared" si="0"/>
        <v>100</v>
      </c>
      <c r="T13" s="444" t="s">
        <v>931</v>
      </c>
      <c r="U13" s="445">
        <f t="shared" si="1"/>
        <v>100</v>
      </c>
      <c r="V13" s="444" t="s">
        <v>931</v>
      </c>
      <c r="W13" s="445">
        <f t="shared" si="2"/>
        <v>100</v>
      </c>
      <c r="X13" s="446"/>
      <c r="Y13" s="3341"/>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3"/>
      <c r="Q14" s="447">
        <f t="shared" si="6"/>
        <v>111</v>
      </c>
      <c r="R14" s="444" t="s">
        <v>931</v>
      </c>
      <c r="S14" s="445">
        <f t="shared" si="0"/>
        <v>100</v>
      </c>
      <c r="T14" s="444" t="s">
        <v>931</v>
      </c>
      <c r="U14" s="445">
        <f t="shared" si="1"/>
        <v>100</v>
      </c>
      <c r="V14" s="444" t="s">
        <v>931</v>
      </c>
      <c r="W14" s="445">
        <f t="shared" si="2"/>
        <v>100</v>
      </c>
      <c r="X14" s="446"/>
      <c r="Y14" s="3341"/>
      <c r="Z14" s="464">
        <f t="shared" si="7"/>
        <v>111</v>
      </c>
      <c r="AA14" s="463">
        <f t="shared" si="3"/>
        <v>1</v>
      </c>
      <c r="AB14" s="463">
        <f t="shared" si="4"/>
        <v>1</v>
      </c>
      <c r="AC14" s="463">
        <f t="shared" si="5"/>
        <v>1</v>
      </c>
    </row>
    <row r="15" spans="1:29" ht="15">
      <c r="A15" s="248" t="s">
        <v>944</v>
      </c>
      <c r="B15" s="249" t="s">
        <v>228</v>
      </c>
      <c r="C15" s="598" t="str">
        <f>估价对象房地状况!C4</f>
        <v>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4" t="s">
        <v>945</v>
      </c>
      <c r="Q15" s="383" t="str">
        <f t="shared" si="6"/>
        <v>商业繁华度</v>
      </c>
      <c r="R15" s="448" t="s">
        <v>931</v>
      </c>
      <c r="S15" s="449">
        <f t="shared" si="0"/>
        <v>100</v>
      </c>
      <c r="T15" s="448" t="s">
        <v>931</v>
      </c>
      <c r="U15" s="449">
        <f t="shared" si="1"/>
        <v>100</v>
      </c>
      <c r="V15" s="448" t="s">
        <v>931</v>
      </c>
      <c r="W15" s="449">
        <f t="shared" si="2"/>
        <v>100</v>
      </c>
      <c r="X15" s="443"/>
      <c r="Y15" s="3354" t="s">
        <v>945</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5"/>
      <c r="Q16" s="383"/>
      <c r="R16" s="448"/>
      <c r="S16" s="449"/>
      <c r="T16" s="448"/>
      <c r="U16" s="449"/>
      <c r="V16" s="448"/>
      <c r="W16" s="449"/>
      <c r="X16" s="443"/>
      <c r="Y16" s="3355"/>
      <c r="Z16" s="442"/>
      <c r="AA16" s="454">
        <v>1</v>
      </c>
      <c r="AB16" s="454">
        <v>1</v>
      </c>
      <c r="AC16" s="454">
        <v>1</v>
      </c>
    </row>
    <row r="17" spans="1:29" ht="15">
      <c r="A17" s="255"/>
      <c r="B17" s="274" t="s">
        <v>231</v>
      </c>
      <c r="C17" s="262" t="str">
        <f>估价对象房地状况!C6</f>
        <v>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5"/>
      <c r="Q17" s="383" t="str">
        <f>B17</f>
        <v>交通便捷度</v>
      </c>
      <c r="R17" s="448" t="s">
        <v>931</v>
      </c>
      <c r="S17" s="449">
        <f>F17</f>
        <v>100</v>
      </c>
      <c r="T17" s="448" t="s">
        <v>931</v>
      </c>
      <c r="U17" s="449">
        <f>H17</f>
        <v>100</v>
      </c>
      <c r="V17" s="448" t="s">
        <v>931</v>
      </c>
      <c r="W17" s="449">
        <f>J17</f>
        <v>100</v>
      </c>
      <c r="X17" s="443"/>
      <c r="Y17" s="3355"/>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5"/>
      <c r="Q18" s="383"/>
      <c r="R18" s="448"/>
      <c r="S18" s="449"/>
      <c r="T18" s="448"/>
      <c r="U18" s="449"/>
      <c r="V18" s="448"/>
      <c r="W18" s="449"/>
      <c r="X18" s="443"/>
      <c r="Y18" s="3355"/>
      <c r="Z18" s="442"/>
      <c r="AA18" s="454">
        <v>1</v>
      </c>
      <c r="AB18" s="454">
        <v>1</v>
      </c>
      <c r="AC18" s="454">
        <v>1</v>
      </c>
    </row>
    <row r="19" spans="1:29" ht="15">
      <c r="A19" s="255"/>
      <c r="B19" s="599" t="s">
        <v>233</v>
      </c>
      <c r="C19" s="262" t="str">
        <f>估价对象房地状况!C7</f>
        <v>较好</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5"/>
      <c r="Q19" s="383" t="str">
        <f>B19</f>
        <v>公共配套设施</v>
      </c>
      <c r="R19" s="448" t="s">
        <v>931</v>
      </c>
      <c r="S19" s="449">
        <f>F19</f>
        <v>100</v>
      </c>
      <c r="T19" s="448" t="s">
        <v>931</v>
      </c>
      <c r="U19" s="449">
        <f>H19</f>
        <v>100</v>
      </c>
      <c r="V19" s="448" t="s">
        <v>931</v>
      </c>
      <c r="W19" s="449">
        <f>J19</f>
        <v>100</v>
      </c>
      <c r="X19" s="443"/>
      <c r="Y19" s="3355"/>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5"/>
      <c r="Q20" s="383"/>
      <c r="R20" s="448"/>
      <c r="S20" s="449"/>
      <c r="T20" s="448"/>
      <c r="U20" s="449"/>
      <c r="V20" s="448"/>
      <c r="W20" s="449"/>
      <c r="X20" s="443"/>
      <c r="Y20" s="3355"/>
      <c r="Z20" s="442"/>
      <c r="AA20" s="454">
        <v>1</v>
      </c>
      <c r="AB20" s="454">
        <v>1</v>
      </c>
      <c r="AC20" s="454">
        <v>1</v>
      </c>
    </row>
    <row r="21" spans="1:29" ht="15">
      <c r="A21" s="255"/>
      <c r="B21" s="600" t="s">
        <v>234</v>
      </c>
      <c r="C21" s="262" t="str">
        <f>估价对象房地状况!C8</f>
        <v>六通</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5"/>
      <c r="Q21" s="383" t="str">
        <f>B21</f>
        <v>基础设施水平</v>
      </c>
      <c r="R21" s="448" t="s">
        <v>931</v>
      </c>
      <c r="S21" s="449">
        <f>F21</f>
        <v>100</v>
      </c>
      <c r="T21" s="448" t="s">
        <v>931</v>
      </c>
      <c r="U21" s="449">
        <f>H21</f>
        <v>100</v>
      </c>
      <c r="V21" s="448" t="s">
        <v>931</v>
      </c>
      <c r="W21" s="449">
        <f>J21</f>
        <v>100</v>
      </c>
      <c r="X21" s="443"/>
      <c r="Y21" s="3355"/>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5"/>
      <c r="Q22" s="383"/>
      <c r="R22" s="448"/>
      <c r="S22" s="449"/>
      <c r="T22" s="448"/>
      <c r="U22" s="449"/>
      <c r="V22" s="448"/>
      <c r="W22" s="449"/>
      <c r="X22" s="443"/>
      <c r="Y22" s="3355"/>
      <c r="Z22" s="442"/>
      <c r="AA22" s="454">
        <v>1</v>
      </c>
      <c r="AB22" s="454">
        <v>1</v>
      </c>
      <c r="AC22" s="454">
        <v>1</v>
      </c>
    </row>
    <row r="23" spans="1:29" ht="15">
      <c r="A23" s="255"/>
      <c r="B23" s="274" t="s">
        <v>1278</v>
      </c>
      <c r="C23" s="601" t="str">
        <f>估价对象房地状况!C9</f>
        <v>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5"/>
      <c r="Q23" s="383" t="str">
        <f>B23</f>
        <v>自然及人文环境</v>
      </c>
      <c r="R23" s="448" t="s">
        <v>931</v>
      </c>
      <c r="S23" s="449">
        <f>F23</f>
        <v>100</v>
      </c>
      <c r="T23" s="448" t="s">
        <v>931</v>
      </c>
      <c r="U23" s="449">
        <f>H23</f>
        <v>100</v>
      </c>
      <c r="V23" s="448" t="s">
        <v>931</v>
      </c>
      <c r="W23" s="449">
        <f>J23</f>
        <v>100</v>
      </c>
      <c r="X23" s="443"/>
      <c r="Y23" s="3355"/>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5"/>
      <c r="Q24" s="383"/>
      <c r="R24" s="448"/>
      <c r="S24" s="449"/>
      <c r="T24" s="448"/>
      <c r="U24" s="449"/>
      <c r="V24" s="448"/>
      <c r="W24" s="449"/>
      <c r="X24" s="443"/>
      <c r="Y24" s="3355"/>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5"/>
      <c r="Q25" s="383" t="str">
        <f t="shared" ref="Q25:Q46" si="11">B25</f>
        <v>临街状况</v>
      </c>
      <c r="R25" s="448" t="s">
        <v>931</v>
      </c>
      <c r="S25" s="449">
        <f>F25</f>
        <v>100</v>
      </c>
      <c r="T25" s="448" t="s">
        <v>931</v>
      </c>
      <c r="U25" s="449">
        <f>H25</f>
        <v>100</v>
      </c>
      <c r="V25" s="448" t="s">
        <v>931</v>
      </c>
      <c r="W25" s="449">
        <f>J25</f>
        <v>100</v>
      </c>
      <c r="X25" s="443"/>
      <c r="Y25" s="3355"/>
      <c r="Z25" s="442" t="str">
        <f>Q25</f>
        <v>临街状况</v>
      </c>
      <c r="AA25" s="454">
        <f t="shared" si="3"/>
        <v>1</v>
      </c>
      <c r="AB25" s="454">
        <f t="shared" si="4"/>
        <v>1</v>
      </c>
      <c r="AC25" s="454">
        <f t="shared" si="5"/>
        <v>1</v>
      </c>
    </row>
    <row r="26" spans="1:29" ht="15">
      <c r="A26" s="255"/>
      <c r="B26" s="539" t="s">
        <v>2361</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5"/>
      <c r="Q26" s="383" t="str">
        <f t="shared" si="11"/>
        <v>平面位置/可视性</v>
      </c>
      <c r="R26" s="448" t="s">
        <v>931</v>
      </c>
      <c r="S26" s="449">
        <f>F26</f>
        <v>100</v>
      </c>
      <c r="T26" s="448" t="s">
        <v>931</v>
      </c>
      <c r="U26" s="449">
        <f>H26</f>
        <v>100</v>
      </c>
      <c r="V26" s="448" t="s">
        <v>931</v>
      </c>
      <c r="W26" s="449">
        <f>J26</f>
        <v>100</v>
      </c>
      <c r="X26" s="443"/>
      <c r="Y26" s="3355"/>
      <c r="Z26" s="442" t="str">
        <f>Q26</f>
        <v>平面位置/可视性</v>
      </c>
      <c r="AA26" s="454">
        <f t="shared" si="3"/>
        <v>1</v>
      </c>
      <c r="AB26" s="454">
        <f t="shared" si="4"/>
        <v>1</v>
      </c>
      <c r="AC26" s="454">
        <f t="shared" si="5"/>
        <v>1</v>
      </c>
    </row>
    <row r="27" spans="1:29" s="190" customFormat="1" ht="15">
      <c r="A27" s="279"/>
      <c r="B27" s="274" t="s">
        <v>2362</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5"/>
      <c r="Q27" s="447" t="str">
        <f t="shared" si="11"/>
        <v>人流量</v>
      </c>
      <c r="R27" s="444" t="s">
        <v>931</v>
      </c>
      <c r="S27" s="445">
        <f>F27</f>
        <v>100</v>
      </c>
      <c r="T27" s="444" t="s">
        <v>931</v>
      </c>
      <c r="U27" s="445">
        <f>H27</f>
        <v>100</v>
      </c>
      <c r="V27" s="444" t="s">
        <v>931</v>
      </c>
      <c r="W27" s="445">
        <f>J27</f>
        <v>100</v>
      </c>
      <c r="X27" s="446"/>
      <c r="Y27" s="3355"/>
      <c r="Z27" s="464" t="str">
        <f>Q27</f>
        <v>人流量</v>
      </c>
      <c r="AA27" s="454">
        <f t="shared" si="3"/>
        <v>1</v>
      </c>
      <c r="AB27" s="454">
        <f t="shared" si="4"/>
        <v>1</v>
      </c>
      <c r="AC27" s="454">
        <f t="shared" si="5"/>
        <v>1</v>
      </c>
    </row>
    <row r="28" spans="1:29" ht="15">
      <c r="A28" s="255"/>
      <c r="B28" s="289" t="s">
        <v>2363</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5"/>
      <c r="Q28" s="383" t="str">
        <f t="shared" si="11"/>
        <v>楼层</v>
      </c>
      <c r="R28" s="448" t="s">
        <v>931</v>
      </c>
      <c r="S28" s="449">
        <f t="shared" ref="S28:S46" si="12">F28</f>
        <v>100</v>
      </c>
      <c r="T28" s="448" t="s">
        <v>931</v>
      </c>
      <c r="U28" s="449">
        <f t="shared" ref="U28:U46" si="13">H28</f>
        <v>100</v>
      </c>
      <c r="V28" s="448" t="s">
        <v>931</v>
      </c>
      <c r="W28" s="449">
        <f t="shared" ref="W28:W46" si="14">J28</f>
        <v>100</v>
      </c>
      <c r="X28" s="443"/>
      <c r="Y28" s="3355"/>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5"/>
      <c r="Q29" s="383">
        <f t="shared" si="11"/>
        <v>111</v>
      </c>
      <c r="R29" s="448" t="s">
        <v>931</v>
      </c>
      <c r="S29" s="449">
        <f t="shared" si="12"/>
        <v>100</v>
      </c>
      <c r="T29" s="448" t="s">
        <v>931</v>
      </c>
      <c r="U29" s="449">
        <f t="shared" si="13"/>
        <v>100</v>
      </c>
      <c r="V29" s="448" t="s">
        <v>931</v>
      </c>
      <c r="W29" s="449">
        <f t="shared" si="14"/>
        <v>100</v>
      </c>
      <c r="X29" s="443"/>
      <c r="Y29" s="3355"/>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5"/>
      <c r="Q30" s="383">
        <f t="shared" si="11"/>
        <v>111</v>
      </c>
      <c r="R30" s="448" t="s">
        <v>931</v>
      </c>
      <c r="S30" s="449">
        <f t="shared" si="12"/>
        <v>100</v>
      </c>
      <c r="T30" s="448" t="s">
        <v>931</v>
      </c>
      <c r="U30" s="449">
        <f t="shared" si="13"/>
        <v>100</v>
      </c>
      <c r="V30" s="448" t="s">
        <v>931</v>
      </c>
      <c r="W30" s="449">
        <f t="shared" si="14"/>
        <v>100</v>
      </c>
      <c r="X30" s="443"/>
      <c r="Y30" s="3355"/>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5"/>
      <c r="Q31" s="383">
        <f t="shared" si="11"/>
        <v>111</v>
      </c>
      <c r="R31" s="448" t="s">
        <v>931</v>
      </c>
      <c r="S31" s="449">
        <f t="shared" si="12"/>
        <v>100</v>
      </c>
      <c r="T31" s="448" t="s">
        <v>931</v>
      </c>
      <c r="U31" s="449">
        <f t="shared" si="13"/>
        <v>100</v>
      </c>
      <c r="V31" s="448" t="s">
        <v>931</v>
      </c>
      <c r="W31" s="449">
        <f t="shared" si="14"/>
        <v>100</v>
      </c>
      <c r="X31" s="443"/>
      <c r="Y31" s="3355"/>
      <c r="Z31" s="442">
        <f t="shared" si="15"/>
        <v>111</v>
      </c>
      <c r="AA31" s="454">
        <f t="shared" si="3"/>
        <v>1</v>
      </c>
      <c r="AB31" s="454">
        <f t="shared" si="4"/>
        <v>1</v>
      </c>
      <c r="AC31" s="454">
        <f t="shared" si="5"/>
        <v>1</v>
      </c>
    </row>
    <row r="32" spans="1:29" ht="15">
      <c r="A32" s="283" t="s">
        <v>955</v>
      </c>
      <c r="B32" s="284" t="s">
        <v>2364</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56" t="s">
        <v>954</v>
      </c>
      <c r="Q32" s="383" t="str">
        <f t="shared" si="11"/>
        <v>商业类型</v>
      </c>
      <c r="R32" s="448" t="s">
        <v>931</v>
      </c>
      <c r="S32" s="449">
        <f t="shared" si="12"/>
        <v>100</v>
      </c>
      <c r="T32" s="448" t="s">
        <v>931</v>
      </c>
      <c r="U32" s="449">
        <f t="shared" si="13"/>
        <v>100</v>
      </c>
      <c r="V32" s="448" t="s">
        <v>931</v>
      </c>
      <c r="W32" s="449">
        <f t="shared" si="14"/>
        <v>100</v>
      </c>
      <c r="X32" s="443"/>
      <c r="Y32" s="3357" t="s">
        <v>954</v>
      </c>
      <c r="Z32" s="442" t="str">
        <f t="shared" si="15"/>
        <v>商业类型</v>
      </c>
      <c r="AA32" s="454">
        <f t="shared" si="3"/>
        <v>1</v>
      </c>
      <c r="AB32" s="454">
        <f t="shared" si="4"/>
        <v>1</v>
      </c>
      <c r="AC32" s="454">
        <f t="shared" si="5"/>
        <v>1</v>
      </c>
    </row>
    <row r="33" spans="1:29" s="192" customFormat="1" ht="15">
      <c r="A33" s="288"/>
      <c r="B33" s="289" t="s">
        <v>1286</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7"/>
      <c r="Q33" s="450" t="str">
        <f t="shared" si="11"/>
        <v>项目建筑规模</v>
      </c>
      <c r="R33" s="451" t="s">
        <v>931</v>
      </c>
      <c r="S33" s="452" t="e">
        <f t="shared" si="12"/>
        <v>#N/A</v>
      </c>
      <c r="T33" s="451" t="s">
        <v>931</v>
      </c>
      <c r="U33" s="452" t="e">
        <f t="shared" si="13"/>
        <v>#N/A</v>
      </c>
      <c r="V33" s="451" t="s">
        <v>931</v>
      </c>
      <c r="W33" s="452" t="e">
        <f t="shared" si="14"/>
        <v>#N/A</v>
      </c>
      <c r="X33" s="453"/>
      <c r="Y33" s="3357"/>
      <c r="Z33" s="465" t="str">
        <f t="shared" si="15"/>
        <v>项目建筑规模</v>
      </c>
      <c r="AA33" s="454" t="e">
        <f t="shared" si="3"/>
        <v>#N/A</v>
      </c>
      <c r="AB33" s="454" t="e">
        <f t="shared" si="4"/>
        <v>#N/A</v>
      </c>
      <c r="AC33" s="454" t="e">
        <f t="shared" si="5"/>
        <v>#N/A</v>
      </c>
    </row>
    <row r="34" spans="1:29" ht="15">
      <c r="A34" s="293"/>
      <c r="B34" s="289" t="s">
        <v>1287</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7"/>
      <c r="Q34" s="383" t="str">
        <f t="shared" si="11"/>
        <v>建筑结构</v>
      </c>
      <c r="R34" s="448" t="s">
        <v>931</v>
      </c>
      <c r="S34" s="449">
        <f t="shared" si="12"/>
        <v>100</v>
      </c>
      <c r="T34" s="448" t="s">
        <v>931</v>
      </c>
      <c r="U34" s="449">
        <f t="shared" si="13"/>
        <v>100</v>
      </c>
      <c r="V34" s="448" t="s">
        <v>931</v>
      </c>
      <c r="W34" s="449">
        <f t="shared" si="14"/>
        <v>100</v>
      </c>
      <c r="X34" s="443"/>
      <c r="Y34" s="3357"/>
      <c r="Z34" s="442" t="str">
        <f t="shared" si="15"/>
        <v>建筑结构</v>
      </c>
      <c r="AA34" s="454">
        <f t="shared" si="3"/>
        <v>1</v>
      </c>
      <c r="AB34" s="454">
        <f t="shared" si="4"/>
        <v>1</v>
      </c>
      <c r="AC34" s="454">
        <f t="shared" si="5"/>
        <v>1</v>
      </c>
    </row>
    <row r="35" spans="1:29" ht="15">
      <c r="A35" s="293"/>
      <c r="B35" s="289" t="s">
        <v>1289</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7"/>
      <c r="Q35" s="383" t="str">
        <f t="shared" si="11"/>
        <v>公共部分装修</v>
      </c>
      <c r="R35" s="448" t="s">
        <v>931</v>
      </c>
      <c r="S35" s="449">
        <f t="shared" si="12"/>
        <v>100</v>
      </c>
      <c r="T35" s="448" t="s">
        <v>931</v>
      </c>
      <c r="U35" s="449">
        <f t="shared" si="13"/>
        <v>100</v>
      </c>
      <c r="V35" s="448" t="s">
        <v>931</v>
      </c>
      <c r="W35" s="449">
        <f t="shared" si="14"/>
        <v>100</v>
      </c>
      <c r="X35" s="443"/>
      <c r="Y35" s="3357"/>
      <c r="Z35" s="442" t="str">
        <f t="shared" si="15"/>
        <v>公共部分装修</v>
      </c>
      <c r="AA35" s="454">
        <f t="shared" si="3"/>
        <v>1</v>
      </c>
      <c r="AB35" s="454">
        <f t="shared" si="4"/>
        <v>1</v>
      </c>
      <c r="AC35" s="454">
        <f t="shared" si="5"/>
        <v>1</v>
      </c>
    </row>
    <row r="36" spans="1:29" ht="15">
      <c r="A36" s="293"/>
      <c r="B36" s="289" t="s">
        <v>1290</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7"/>
      <c r="Q36" s="383" t="str">
        <f t="shared" si="11"/>
        <v>成新度</v>
      </c>
      <c r="R36" s="448" t="s">
        <v>931</v>
      </c>
      <c r="S36" s="449" t="e">
        <f t="shared" si="12"/>
        <v>#N/A</v>
      </c>
      <c r="T36" s="448" t="s">
        <v>931</v>
      </c>
      <c r="U36" s="449" t="e">
        <f t="shared" si="13"/>
        <v>#N/A</v>
      </c>
      <c r="V36" s="448" t="s">
        <v>931</v>
      </c>
      <c r="W36" s="449" t="e">
        <f t="shared" si="14"/>
        <v>#N/A</v>
      </c>
      <c r="X36" s="443"/>
      <c r="Y36" s="3357"/>
      <c r="Z36" s="442" t="str">
        <f t="shared" si="15"/>
        <v>成新度</v>
      </c>
      <c r="AA36" s="454" t="e">
        <f t="shared" si="3"/>
        <v>#N/A</v>
      </c>
      <c r="AB36" s="454" t="e">
        <f t="shared" si="4"/>
        <v>#N/A</v>
      </c>
      <c r="AC36" s="454" t="e">
        <f t="shared" si="5"/>
        <v>#N/A</v>
      </c>
    </row>
    <row r="37" spans="1:29" s="190" customFormat="1" ht="15">
      <c r="A37" s="296"/>
      <c r="B37" s="544" t="s">
        <v>1292</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7"/>
      <c r="Q37" s="447" t="str">
        <f t="shared" si="11"/>
        <v>市政基础设施</v>
      </c>
      <c r="R37" s="444" t="s">
        <v>931</v>
      </c>
      <c r="S37" s="445">
        <f t="shared" si="12"/>
        <v>100</v>
      </c>
      <c r="T37" s="444" t="s">
        <v>931</v>
      </c>
      <c r="U37" s="445">
        <f t="shared" si="13"/>
        <v>100</v>
      </c>
      <c r="V37" s="444" t="s">
        <v>931</v>
      </c>
      <c r="W37" s="445">
        <f t="shared" si="14"/>
        <v>100</v>
      </c>
      <c r="X37" s="446"/>
      <c r="Y37" s="3357"/>
      <c r="Z37" s="464" t="str">
        <f t="shared" si="15"/>
        <v>市政基础设施</v>
      </c>
      <c r="AA37" s="463">
        <f t="shared" si="3"/>
        <v>1</v>
      </c>
      <c r="AB37" s="463">
        <f t="shared" si="4"/>
        <v>1</v>
      </c>
      <c r="AC37" s="463">
        <f t="shared" si="5"/>
        <v>1</v>
      </c>
    </row>
    <row r="38" spans="1:29" ht="15">
      <c r="A38" s="293"/>
      <c r="B38" s="289" t="s">
        <v>2365</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7" t="s">
        <v>954</v>
      </c>
      <c r="Q38" s="383" t="str">
        <f t="shared" si="11"/>
        <v>业态</v>
      </c>
      <c r="R38" s="448" t="s">
        <v>931</v>
      </c>
      <c r="S38" s="449">
        <f t="shared" si="12"/>
        <v>100</v>
      </c>
      <c r="T38" s="448" t="s">
        <v>931</v>
      </c>
      <c r="U38" s="449">
        <f t="shared" si="13"/>
        <v>100</v>
      </c>
      <c r="V38" s="448" t="s">
        <v>931</v>
      </c>
      <c r="W38" s="449">
        <f t="shared" si="14"/>
        <v>100</v>
      </c>
      <c r="X38" s="443"/>
      <c r="Y38" s="3357" t="s">
        <v>954</v>
      </c>
      <c r="Z38" s="442" t="str">
        <f t="shared" si="15"/>
        <v>业态</v>
      </c>
      <c r="AA38" s="454">
        <f t="shared" si="3"/>
        <v>1</v>
      </c>
      <c r="AB38" s="454">
        <f t="shared" si="4"/>
        <v>1</v>
      </c>
      <c r="AC38" s="454">
        <f t="shared" si="5"/>
        <v>1</v>
      </c>
    </row>
    <row r="39" spans="1:29" ht="15">
      <c r="A39" s="293"/>
      <c r="B39" s="289" t="s">
        <v>2366</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7"/>
      <c r="Q39" s="383" t="str">
        <f t="shared" si="11"/>
        <v>层高</v>
      </c>
      <c r="R39" s="448" t="s">
        <v>931</v>
      </c>
      <c r="S39" s="449">
        <f t="shared" si="12"/>
        <v>100</v>
      </c>
      <c r="T39" s="448" t="s">
        <v>931</v>
      </c>
      <c r="U39" s="449">
        <f t="shared" si="13"/>
        <v>100</v>
      </c>
      <c r="V39" s="448" t="s">
        <v>931</v>
      </c>
      <c r="W39" s="449">
        <f t="shared" si="14"/>
        <v>100</v>
      </c>
      <c r="X39" s="443"/>
      <c r="Y39" s="3357"/>
      <c r="Z39" s="442" t="str">
        <f t="shared" si="15"/>
        <v>层高</v>
      </c>
      <c r="AA39" s="454">
        <f t="shared" si="3"/>
        <v>1</v>
      </c>
      <c r="AB39" s="454">
        <f t="shared" si="4"/>
        <v>1</v>
      </c>
      <c r="AC39" s="454">
        <f t="shared" si="5"/>
        <v>1</v>
      </c>
    </row>
    <row r="40" spans="1:29" ht="15">
      <c r="A40" s="293"/>
      <c r="B40" s="289" t="s">
        <v>2367</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7"/>
      <c r="Q40" s="383" t="str">
        <f t="shared" si="11"/>
        <v>单套建筑面积</v>
      </c>
      <c r="R40" s="448" t="s">
        <v>931</v>
      </c>
      <c r="S40" s="449">
        <f t="shared" si="12"/>
        <v>100</v>
      </c>
      <c r="T40" s="448" t="s">
        <v>931</v>
      </c>
      <c r="U40" s="449">
        <f t="shared" si="13"/>
        <v>100</v>
      </c>
      <c r="V40" s="448" t="s">
        <v>931</v>
      </c>
      <c r="W40" s="449">
        <f t="shared" si="14"/>
        <v>100</v>
      </c>
      <c r="X40" s="443"/>
      <c r="Y40" s="3357"/>
      <c r="Z40" s="442" t="str">
        <f t="shared" si="15"/>
        <v>单套建筑面积</v>
      </c>
      <c r="AA40" s="454">
        <f t="shared" si="3"/>
        <v>1</v>
      </c>
      <c r="AB40" s="454">
        <f t="shared" si="4"/>
        <v>1</v>
      </c>
      <c r="AC40" s="454">
        <f t="shared" si="5"/>
        <v>1</v>
      </c>
    </row>
    <row r="41" spans="1:29" s="192" customFormat="1" ht="15">
      <c r="A41" s="288"/>
      <c r="B41" s="401" t="s">
        <v>2368</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7"/>
      <c r="Q41" s="450" t="str">
        <f t="shared" si="11"/>
        <v>进深比</v>
      </c>
      <c r="R41" s="451" t="s">
        <v>931</v>
      </c>
      <c r="S41" s="452">
        <f t="shared" si="12"/>
        <v>100</v>
      </c>
      <c r="T41" s="451" t="s">
        <v>931</v>
      </c>
      <c r="U41" s="452">
        <f t="shared" si="13"/>
        <v>100</v>
      </c>
      <c r="V41" s="451" t="s">
        <v>931</v>
      </c>
      <c r="W41" s="452">
        <f t="shared" si="14"/>
        <v>100</v>
      </c>
      <c r="X41" s="453"/>
      <c r="Y41" s="3357"/>
      <c r="Z41" s="465" t="str">
        <f t="shared" si="15"/>
        <v>进深比</v>
      </c>
      <c r="AA41" s="454">
        <f t="shared" si="3"/>
        <v>1</v>
      </c>
      <c r="AB41" s="454">
        <f t="shared" si="4"/>
        <v>1</v>
      </c>
      <c r="AC41" s="454">
        <f t="shared" si="5"/>
        <v>1</v>
      </c>
    </row>
    <row r="42" spans="1:29" ht="15">
      <c r="A42" s="293"/>
      <c r="B42" s="289" t="s">
        <v>1295</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7"/>
      <c r="Q42" s="383" t="str">
        <f t="shared" si="11"/>
        <v>内部装修</v>
      </c>
      <c r="R42" s="448" t="s">
        <v>931</v>
      </c>
      <c r="S42" s="449">
        <f t="shared" si="12"/>
        <v>100</v>
      </c>
      <c r="T42" s="448" t="s">
        <v>931</v>
      </c>
      <c r="U42" s="449">
        <f t="shared" si="13"/>
        <v>100</v>
      </c>
      <c r="V42" s="448" t="s">
        <v>931</v>
      </c>
      <c r="W42" s="449">
        <f t="shared" si="14"/>
        <v>100</v>
      </c>
      <c r="X42" s="443"/>
      <c r="Y42" s="3357"/>
      <c r="Z42" s="442" t="str">
        <f t="shared" si="15"/>
        <v>内部装修</v>
      </c>
      <c r="AA42" s="454">
        <f t="shared" si="3"/>
        <v>1</v>
      </c>
      <c r="AB42" s="454">
        <f t="shared" si="4"/>
        <v>1</v>
      </c>
      <c r="AC42" s="454">
        <f t="shared" si="5"/>
        <v>1</v>
      </c>
    </row>
    <row r="43" spans="1:29" ht="28.8">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7"/>
      <c r="Q43" s="383" t="str">
        <f t="shared" si="11"/>
        <v>内部装修维护情况</v>
      </c>
      <c r="R43" s="448" t="s">
        <v>931</v>
      </c>
      <c r="S43" s="449">
        <f t="shared" si="12"/>
        <v>100</v>
      </c>
      <c r="T43" s="448" t="s">
        <v>931</v>
      </c>
      <c r="U43" s="449">
        <f t="shared" si="13"/>
        <v>100</v>
      </c>
      <c r="V43" s="448" t="s">
        <v>931</v>
      </c>
      <c r="W43" s="449">
        <f t="shared" si="14"/>
        <v>100</v>
      </c>
      <c r="X43" s="443"/>
      <c r="Y43" s="3357"/>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7"/>
      <c r="Q44" s="447">
        <f t="shared" si="11"/>
        <v>111</v>
      </c>
      <c r="R44" s="444" t="s">
        <v>931</v>
      </c>
      <c r="S44" s="445">
        <f t="shared" si="12"/>
        <v>100</v>
      </c>
      <c r="T44" s="444" t="s">
        <v>931</v>
      </c>
      <c r="U44" s="445">
        <f t="shared" si="13"/>
        <v>100</v>
      </c>
      <c r="V44" s="444" t="s">
        <v>931</v>
      </c>
      <c r="W44" s="445">
        <f t="shared" si="14"/>
        <v>100</v>
      </c>
      <c r="X44" s="446"/>
      <c r="Y44" s="3357"/>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7"/>
      <c r="Q45" s="383">
        <f t="shared" si="11"/>
        <v>111</v>
      </c>
      <c r="R45" s="448" t="s">
        <v>931</v>
      </c>
      <c r="S45" s="449">
        <f t="shared" si="12"/>
        <v>100</v>
      </c>
      <c r="T45" s="448" t="s">
        <v>931</v>
      </c>
      <c r="U45" s="449">
        <f t="shared" si="13"/>
        <v>100</v>
      </c>
      <c r="V45" s="448" t="s">
        <v>931</v>
      </c>
      <c r="W45" s="449">
        <f t="shared" si="14"/>
        <v>100</v>
      </c>
      <c r="X45" s="443"/>
      <c r="Y45" s="3357"/>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22"/>
      <c r="Q46" s="383">
        <f t="shared" si="11"/>
        <v>111</v>
      </c>
      <c r="R46" s="448" t="s">
        <v>931</v>
      </c>
      <c r="S46" s="449">
        <f t="shared" si="12"/>
        <v>100</v>
      </c>
      <c r="T46" s="448" t="s">
        <v>931</v>
      </c>
      <c r="U46" s="449">
        <f t="shared" si="13"/>
        <v>100</v>
      </c>
      <c r="V46" s="448" t="s">
        <v>931</v>
      </c>
      <c r="W46" s="449">
        <f t="shared" si="14"/>
        <v>100</v>
      </c>
      <c r="X46" s="443"/>
      <c r="Y46" s="3422"/>
      <c r="Z46" s="442">
        <f t="shared" si="15"/>
        <v>111</v>
      </c>
      <c r="AA46" s="454">
        <f t="shared" si="3"/>
        <v>1</v>
      </c>
      <c r="AB46" s="454">
        <f t="shared" si="4"/>
        <v>1</v>
      </c>
      <c r="AC46" s="454">
        <f t="shared" si="5"/>
        <v>1</v>
      </c>
    </row>
    <row r="47" spans="1:29" ht="14.4">
      <c r="A47" s="303" t="s">
        <v>1297</v>
      </c>
      <c r="B47" s="304"/>
      <c r="C47" s="305" t="s">
        <v>138</v>
      </c>
      <c r="D47" s="306"/>
      <c r="E47" s="307"/>
      <c r="F47" s="308"/>
      <c r="G47" s="309"/>
      <c r="H47" s="310"/>
      <c r="I47" s="307"/>
      <c r="J47" s="310"/>
      <c r="K47" s="397"/>
      <c r="L47" s="398"/>
      <c r="M47" s="319"/>
      <c r="N47" s="378"/>
      <c r="O47" s="319"/>
      <c r="P47" s="3353" t="str">
        <f>A47</f>
        <v>成交单价（元/平方米）</v>
      </c>
      <c r="Q47" s="3353"/>
      <c r="R47" s="3421">
        <f>E47</f>
        <v>0</v>
      </c>
      <c r="S47" s="3421"/>
      <c r="T47" s="3421">
        <f>G47</f>
        <v>0</v>
      </c>
      <c r="U47" s="3421"/>
      <c r="V47" s="3421">
        <f>I47</f>
        <v>0</v>
      </c>
      <c r="W47" s="3421"/>
      <c r="X47" s="330"/>
      <c r="Y47" s="466"/>
      <c r="Z47" s="330"/>
      <c r="AA47" s="330"/>
      <c r="AB47" s="330"/>
      <c r="AC47" s="330"/>
    </row>
    <row r="48" spans="1:29" ht="14.4">
      <c r="A48" s="311" t="s">
        <v>965</v>
      </c>
      <c r="B48" s="312"/>
      <c r="C48" s="313" t="e">
        <f>R49</f>
        <v>#DIV/0!</v>
      </c>
      <c r="D48" s="314"/>
      <c r="E48" s="315" t="e">
        <f>R48</f>
        <v>#DIV/0!</v>
      </c>
      <c r="F48" s="315"/>
      <c r="G48" s="313" t="e">
        <f>T48</f>
        <v>#DIV/0!</v>
      </c>
      <c r="H48" s="314"/>
      <c r="I48" s="315" t="e">
        <f>V48</f>
        <v>#DIV/0!</v>
      </c>
      <c r="J48" s="314"/>
      <c r="K48" s="399"/>
      <c r="L48" s="398"/>
      <c r="M48" s="319"/>
      <c r="N48" s="378"/>
      <c r="O48" s="319"/>
      <c r="P48" s="3353" t="str">
        <f>A48</f>
        <v>比较价格（元/平方米）</v>
      </c>
      <c r="Q48" s="3353"/>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30"/>
      <c r="Y48" s="330"/>
      <c r="Z48" s="330"/>
      <c r="AA48" s="330"/>
      <c r="AB48" s="330"/>
      <c r="AC48" s="330"/>
    </row>
    <row r="49" spans="1:29" ht="14.4">
      <c r="A49" s="316" t="s">
        <v>966</v>
      </c>
      <c r="B49" s="317"/>
      <c r="C49" s="318" t="e">
        <f>R49</f>
        <v>#DIV/0!</v>
      </c>
      <c r="D49" s="318"/>
      <c r="E49" s="318"/>
      <c r="F49" s="318"/>
      <c r="G49" s="318"/>
      <c r="H49" s="318"/>
      <c r="I49" s="318"/>
      <c r="J49" s="318"/>
      <c r="K49" s="400"/>
      <c r="L49" s="398"/>
      <c r="M49" s="319"/>
      <c r="N49" s="378"/>
      <c r="O49" s="319"/>
      <c r="P49" s="3359" t="str">
        <f>A49</f>
        <v>估价对象XX用房的比较价格（楼面单价，元/平方米）</v>
      </c>
      <c r="Q49" s="3360"/>
      <c r="R49" s="3423" t="e">
        <f>IF(F1="售价",ROUND(AVERAGE(R48:V48),0),ROUND(AVERAGE(R48:V48),1))</f>
        <v>#DIV/0!</v>
      </c>
      <c r="S49" s="3423"/>
      <c r="T49" s="3423"/>
      <c r="U49" s="3423"/>
      <c r="V49" s="3423"/>
      <c r="W49" s="342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967</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968</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969</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6">
      <c r="A57" s="329" t="s">
        <v>991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4.4">
      <c r="A58" s="333" t="s">
        <v>929</v>
      </c>
      <c r="B58" s="334"/>
      <c r="C58" s="335"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4.4">
      <c r="A60" s="341" t="s">
        <v>1108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4.4">
      <c r="A61" s="345" t="s">
        <v>932</v>
      </c>
      <c r="B61" s="338"/>
      <c r="C61" s="346" t="s">
        <v>933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ht="14.4">
      <c r="A63" s="348" t="s">
        <v>995</v>
      </c>
      <c r="B63" s="349" t="s">
        <v>996</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8.8">
      <c r="A65" s="352"/>
      <c r="B65" s="355" t="s">
        <v>997</v>
      </c>
      <c r="C65" s="356" t="s">
        <v>1298</v>
      </c>
      <c r="D65" s="356" t="s">
        <v>1299</v>
      </c>
      <c r="E65" s="356" t="s">
        <v>1300</v>
      </c>
      <c r="F65" s="356" t="s">
        <v>1301</v>
      </c>
      <c r="G65" s="356" t="s">
        <v>1302</v>
      </c>
      <c r="H65" s="356" t="s">
        <v>1303</v>
      </c>
      <c r="I65" s="356" t="s">
        <v>1304</v>
      </c>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t="s">
        <v>990</v>
      </c>
      <c r="D66" s="358" t="s">
        <v>990</v>
      </c>
      <c r="E66" s="358" t="s">
        <v>990</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9" t="s">
        <v>998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ht="14.4">
      <c r="A76" s="348" t="s">
        <v>999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4.4">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4.4">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4.4">
      <c r="A84" s="352"/>
      <c r="B84" s="355" t="s">
        <v>1278</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4.4">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ht="14.4">
      <c r="A100" s="348" t="s">
        <v>1008</v>
      </c>
      <c r="B100" s="349" t="s">
        <v>2364</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4.4">
      <c r="A102" s="352"/>
      <c r="B102" s="355" t="s">
        <v>1286</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ht="14.4">
      <c r="A105" s="474"/>
      <c r="B105" s="355" t="s">
        <v>1287</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ht="14.4">
      <c r="A107" s="474"/>
      <c r="B107" s="355" t="s">
        <v>1289</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ht="14.4">
      <c r="A109" s="474"/>
      <c r="B109" s="355" t="s">
        <v>1290</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ht="14.4">
      <c r="A112" s="476"/>
      <c r="B112" s="367" t="s">
        <v>1292</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ht="14.4">
      <c r="A114" s="474"/>
      <c r="B114" s="355" t="s">
        <v>2365</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ht="14.4">
      <c r="A116" s="474"/>
      <c r="B116" s="355" t="s">
        <v>2366</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t="14.4">
      <c r="A118" s="474"/>
      <c r="B118" s="355" t="s">
        <v>2367</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ht="14.4">
      <c r="A120" s="476"/>
      <c r="B120" s="355" t="s">
        <v>2369</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ht="14.4">
      <c r="A122" s="474"/>
      <c r="B122" s="355" t="s">
        <v>1295</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8.8">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56" sqref="J56"/>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564"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1267</v>
      </c>
      <c r="B1" s="529" t="s">
        <v>2370</v>
      </c>
      <c r="C1" s="200" t="s">
        <v>1269</v>
      </c>
      <c r="D1" s="201"/>
      <c r="E1" s="202"/>
      <c r="F1" s="203"/>
      <c r="G1" s="204" t="s">
        <v>1271</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1272</v>
      </c>
      <c r="B3" s="211" t="e">
        <f>C50</f>
        <v>#DIV/0!</v>
      </c>
      <c r="C3" s="212" t="s">
        <v>1273</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4.4">
      <c r="A4" s="214" t="s">
        <v>919</v>
      </c>
      <c r="B4" s="215"/>
      <c r="C4" s="3342" t="s">
        <v>920</v>
      </c>
      <c r="D4" s="3343"/>
      <c r="E4" s="3383" t="s">
        <v>921</v>
      </c>
      <c r="F4" s="3384"/>
      <c r="G4" s="3342" t="s">
        <v>922</v>
      </c>
      <c r="H4" s="3343"/>
      <c r="I4" s="3342" t="s">
        <v>923</v>
      </c>
      <c r="J4" s="3343"/>
      <c r="K4" s="376" t="s">
        <v>924</v>
      </c>
      <c r="L4" s="377"/>
      <c r="M4" s="378"/>
      <c r="N4" s="378"/>
      <c r="O4" s="378"/>
      <c r="P4" s="3471" t="s">
        <v>925</v>
      </c>
      <c r="Q4" s="3371"/>
      <c r="R4" s="3376" t="s">
        <v>921</v>
      </c>
      <c r="S4" s="3377"/>
      <c r="T4" s="3376" t="s">
        <v>922</v>
      </c>
      <c r="U4" s="3377"/>
      <c r="V4" s="3362" t="s">
        <v>923</v>
      </c>
      <c r="W4" s="3362"/>
      <c r="X4" s="443"/>
      <c r="Y4" s="3376" t="s">
        <v>925</v>
      </c>
      <c r="Z4" s="3377"/>
      <c r="AA4" s="3363" t="s">
        <v>921</v>
      </c>
      <c r="AB4" s="3363" t="s">
        <v>922</v>
      </c>
      <c r="AC4" s="3363" t="s">
        <v>923</v>
      </c>
    </row>
    <row r="5" spans="1:29">
      <c r="A5" s="216"/>
      <c r="B5" s="217"/>
      <c r="C5" s="3344" t="s">
        <v>926</v>
      </c>
      <c r="D5" s="3345"/>
      <c r="E5" s="3385" t="s">
        <v>1102</v>
      </c>
      <c r="F5" s="3386"/>
      <c r="G5" s="3344" t="s">
        <v>1103</v>
      </c>
      <c r="H5" s="3345"/>
      <c r="I5" s="3344" t="s">
        <v>1104</v>
      </c>
      <c r="J5" s="3345"/>
      <c r="K5" s="376"/>
      <c r="L5" s="377"/>
      <c r="M5" s="378"/>
      <c r="N5" s="378"/>
      <c r="O5" s="378"/>
      <c r="P5" s="3472"/>
      <c r="Q5" s="3373"/>
      <c r="R5" s="3378"/>
      <c r="S5" s="3379"/>
      <c r="T5" s="3378"/>
      <c r="U5" s="3379"/>
      <c r="V5" s="3362"/>
      <c r="W5" s="3362"/>
      <c r="X5" s="443"/>
      <c r="Y5" s="3378"/>
      <c r="Z5" s="3379"/>
      <c r="AA5" s="3364"/>
      <c r="AB5" s="3364"/>
      <c r="AC5" s="3364"/>
    </row>
    <row r="6" spans="1:29" ht="14.4">
      <c r="A6" s="218"/>
      <c r="B6" s="219"/>
      <c r="C6" s="3348" t="s">
        <v>927</v>
      </c>
      <c r="D6" s="3349"/>
      <c r="E6" s="3387" t="s">
        <v>927</v>
      </c>
      <c r="F6" s="3388"/>
      <c r="G6" s="3348" t="s">
        <v>927</v>
      </c>
      <c r="H6" s="3349"/>
      <c r="I6" s="3348" t="s">
        <v>927</v>
      </c>
      <c r="J6" s="3349"/>
      <c r="K6" s="376" t="s">
        <v>928</v>
      </c>
      <c r="L6" s="377"/>
      <c r="M6" s="378"/>
      <c r="N6" s="378"/>
      <c r="O6" s="378"/>
      <c r="P6" s="3473"/>
      <c r="Q6" s="3375"/>
      <c r="R6" s="3378"/>
      <c r="S6" s="3379"/>
      <c r="T6" s="3380"/>
      <c r="U6" s="3381"/>
      <c r="V6" s="3362"/>
      <c r="W6" s="3362"/>
      <c r="X6" s="443"/>
      <c r="Y6" s="3380"/>
      <c r="Z6" s="3381"/>
      <c r="AA6" s="3365"/>
      <c r="AB6" s="3365"/>
      <c r="AC6" s="3365"/>
    </row>
    <row r="7" spans="1:29" s="190" customFormat="1" ht="14.4">
      <c r="A7" s="220"/>
      <c r="B7" s="221" t="s">
        <v>929</v>
      </c>
      <c r="C7" s="222">
        <f>'数据-取费表'!B2</f>
        <v>43654</v>
      </c>
      <c r="D7" s="223">
        <v>100</v>
      </c>
      <c r="E7" s="224"/>
      <c r="F7" s="225">
        <f>SUMIF(59:59,YEAR(E7)&amp;"-"&amp;MONTH(E7),60:60)</f>
        <v>0</v>
      </c>
      <c r="G7" s="224"/>
      <c r="H7" s="223">
        <f>SUMIF(59:59,YEAR(G7)&amp;"-"&amp;MONTH(G7),60:60)</f>
        <v>0</v>
      </c>
      <c r="I7" s="224"/>
      <c r="J7" s="223">
        <f>SUMIF(59:59,YEAR(I7)&amp;"-"&amp;MONTH(I7),60:60)</f>
        <v>0</v>
      </c>
      <c r="K7" s="379"/>
      <c r="L7" s="380"/>
      <c r="M7" s="381"/>
      <c r="N7" s="381"/>
      <c r="O7" s="381"/>
      <c r="P7" s="3351" t="s">
        <v>930</v>
      </c>
      <c r="Q7" s="3351"/>
      <c r="R7" s="444" t="s">
        <v>931</v>
      </c>
      <c r="S7" s="445">
        <f t="shared" ref="S7:S15" si="0">F7</f>
        <v>0</v>
      </c>
      <c r="T7" s="444" t="s">
        <v>931</v>
      </c>
      <c r="U7" s="445">
        <f t="shared" ref="U7:U15" si="1">H7</f>
        <v>0</v>
      </c>
      <c r="V7" s="444" t="s">
        <v>931</v>
      </c>
      <c r="W7" s="445">
        <f t="shared" ref="W7:W15" si="2">J7</f>
        <v>0</v>
      </c>
      <c r="X7" s="446"/>
      <c r="Y7" s="3350" t="s">
        <v>930</v>
      </c>
      <c r="Z7" s="3382"/>
      <c r="AA7" s="463" t="e">
        <f>D7/F7</f>
        <v>#DIV/0!</v>
      </c>
      <c r="AB7" s="463" t="e">
        <f>D7/H7</f>
        <v>#DIV/0!</v>
      </c>
      <c r="AC7" s="463" t="e">
        <f>D7/J7</f>
        <v>#DIV/0!</v>
      </c>
    </row>
    <row r="8" spans="1:29" s="190" customFormat="1" ht="14.4">
      <c r="A8" s="227"/>
      <c r="B8" s="228" t="s">
        <v>932</v>
      </c>
      <c r="C8" s="229" t="s">
        <v>933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51" t="s">
        <v>935</v>
      </c>
      <c r="Q8" s="3382"/>
      <c r="R8" s="444" t="s">
        <v>931</v>
      </c>
      <c r="S8" s="445">
        <f t="shared" si="0"/>
        <v>0</v>
      </c>
      <c r="T8" s="444" t="s">
        <v>931</v>
      </c>
      <c r="U8" s="445">
        <f t="shared" si="1"/>
        <v>0</v>
      </c>
      <c r="V8" s="444" t="s">
        <v>931</v>
      </c>
      <c r="W8" s="445">
        <f t="shared" si="2"/>
        <v>0</v>
      </c>
      <c r="X8" s="446"/>
      <c r="Y8" s="3350" t="s">
        <v>935</v>
      </c>
      <c r="Z8" s="3382"/>
      <c r="AA8" s="463" t="e">
        <f t="shared" ref="AA8:AA47" si="3">D8/F8</f>
        <v>#DIV/0!</v>
      </c>
      <c r="AB8" s="463" t="e">
        <f t="shared" ref="AB8:AB47" si="4">D8/H8</f>
        <v>#DIV/0!</v>
      </c>
      <c r="AC8" s="463" t="e">
        <f t="shared" ref="AC8:AC47" si="5">D8/J8</f>
        <v>#DIV/0!</v>
      </c>
    </row>
    <row r="9" spans="1:29" s="190" customFormat="1" ht="14.4">
      <c r="A9" s="230"/>
      <c r="B9" s="231" t="s">
        <v>936</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3" t="s">
        <v>938</v>
      </c>
      <c r="Q9" s="447" t="str">
        <f t="shared" ref="Q9:Q15" si="6">B9</f>
        <v>用途</v>
      </c>
      <c r="R9" s="444" t="s">
        <v>931</v>
      </c>
      <c r="S9" s="445">
        <f t="shared" si="0"/>
        <v>100</v>
      </c>
      <c r="T9" s="444" t="s">
        <v>931</v>
      </c>
      <c r="U9" s="445">
        <f t="shared" si="1"/>
        <v>100</v>
      </c>
      <c r="V9" s="444" t="s">
        <v>931</v>
      </c>
      <c r="W9" s="445">
        <f t="shared" si="2"/>
        <v>100</v>
      </c>
      <c r="X9" s="446"/>
      <c r="Y9" s="3341" t="s">
        <v>939</v>
      </c>
      <c r="Z9" s="464" t="str">
        <f t="shared" ref="Z9:Z15" si="7">Q9</f>
        <v>用途</v>
      </c>
      <c r="AA9" s="463">
        <f t="shared" si="3"/>
        <v>1</v>
      </c>
      <c r="AB9" s="463">
        <f t="shared" si="4"/>
        <v>1</v>
      </c>
      <c r="AC9" s="463">
        <f t="shared" si="5"/>
        <v>1</v>
      </c>
    </row>
    <row r="10" spans="1:29" s="191" customFormat="1" ht="28.8">
      <c r="A10" s="235"/>
      <c r="B10" s="228" t="s">
        <v>940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3"/>
      <c r="Q10" s="447" t="str">
        <f t="shared" si="6"/>
        <v>土地使用年限（年）</v>
      </c>
      <c r="R10" s="444" t="s">
        <v>931</v>
      </c>
      <c r="S10" s="445">
        <f t="shared" si="0"/>
        <v>100</v>
      </c>
      <c r="T10" s="444" t="s">
        <v>931</v>
      </c>
      <c r="U10" s="445">
        <f t="shared" si="1"/>
        <v>100</v>
      </c>
      <c r="V10" s="444" t="s">
        <v>931</v>
      </c>
      <c r="W10" s="445">
        <f t="shared" si="2"/>
        <v>100</v>
      </c>
      <c r="X10" s="446"/>
      <c r="Y10" s="3341"/>
      <c r="Z10" s="464" t="str">
        <f t="shared" si="7"/>
        <v>土地使用年限（年）</v>
      </c>
      <c r="AA10" s="463">
        <f t="shared" si="3"/>
        <v>1</v>
      </c>
      <c r="AB10" s="463">
        <f t="shared" si="4"/>
        <v>1</v>
      </c>
      <c r="AC10" s="463">
        <f t="shared" si="5"/>
        <v>1</v>
      </c>
    </row>
    <row r="11" spans="1:29" ht="15">
      <c r="A11" s="530"/>
      <c r="B11" s="228" t="s">
        <v>942</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3"/>
      <c r="Q11" s="447" t="str">
        <f t="shared" si="6"/>
        <v>容积率</v>
      </c>
      <c r="R11" s="444" t="s">
        <v>931</v>
      </c>
      <c r="S11" s="445" t="e">
        <f t="shared" si="0"/>
        <v>#N/A</v>
      </c>
      <c r="T11" s="444" t="s">
        <v>931</v>
      </c>
      <c r="U11" s="445" t="e">
        <f t="shared" si="1"/>
        <v>#N/A</v>
      </c>
      <c r="V11" s="444" t="s">
        <v>931</v>
      </c>
      <c r="W11" s="445" t="e">
        <f t="shared" si="2"/>
        <v>#N/A</v>
      </c>
      <c r="X11" s="446"/>
      <c r="Y11" s="334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3"/>
      <c r="Q12" s="447">
        <f t="shared" si="6"/>
        <v>111</v>
      </c>
      <c r="R12" s="444" t="s">
        <v>931</v>
      </c>
      <c r="S12" s="445">
        <f t="shared" si="0"/>
        <v>100</v>
      </c>
      <c r="T12" s="444" t="s">
        <v>931</v>
      </c>
      <c r="U12" s="445">
        <f t="shared" si="1"/>
        <v>100</v>
      </c>
      <c r="V12" s="444" t="s">
        <v>931</v>
      </c>
      <c r="W12" s="445">
        <f t="shared" si="2"/>
        <v>100</v>
      </c>
      <c r="X12" s="446"/>
      <c r="Y12" s="3341"/>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3"/>
      <c r="Q13" s="447">
        <f t="shared" si="6"/>
        <v>111</v>
      </c>
      <c r="R13" s="444" t="s">
        <v>931</v>
      </c>
      <c r="S13" s="445">
        <f t="shared" si="0"/>
        <v>100</v>
      </c>
      <c r="T13" s="444" t="s">
        <v>931</v>
      </c>
      <c r="U13" s="445">
        <f t="shared" si="1"/>
        <v>100</v>
      </c>
      <c r="V13" s="444" t="s">
        <v>931</v>
      </c>
      <c r="W13" s="445">
        <f t="shared" si="2"/>
        <v>100</v>
      </c>
      <c r="X13" s="446"/>
      <c r="Y13" s="3341"/>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3"/>
      <c r="Q14" s="447">
        <f t="shared" si="6"/>
        <v>111</v>
      </c>
      <c r="R14" s="444" t="s">
        <v>931</v>
      </c>
      <c r="S14" s="445">
        <f t="shared" si="0"/>
        <v>100</v>
      </c>
      <c r="T14" s="444" t="s">
        <v>931</v>
      </c>
      <c r="U14" s="445">
        <f t="shared" si="1"/>
        <v>100</v>
      </c>
      <c r="V14" s="444" t="s">
        <v>931</v>
      </c>
      <c r="W14" s="445">
        <f t="shared" si="2"/>
        <v>100</v>
      </c>
      <c r="X14" s="446"/>
      <c r="Y14" s="3341"/>
      <c r="Z14" s="464">
        <f t="shared" si="7"/>
        <v>111</v>
      </c>
      <c r="AA14" s="463">
        <f t="shared" si="3"/>
        <v>1</v>
      </c>
      <c r="AB14" s="463">
        <f t="shared" si="4"/>
        <v>1</v>
      </c>
      <c r="AC14" s="463">
        <f t="shared" si="5"/>
        <v>1</v>
      </c>
    </row>
    <row r="15" spans="1:29" ht="15">
      <c r="A15" s="248" t="s">
        <v>944</v>
      </c>
      <c r="B15" s="498" t="s">
        <v>229</v>
      </c>
      <c r="C15" s="567" t="str">
        <f>估价对象房地状况!C5</f>
        <v>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4" t="s">
        <v>945</v>
      </c>
      <c r="Q15" s="383" t="str">
        <f t="shared" si="6"/>
        <v>办公集聚程度</v>
      </c>
      <c r="R15" s="448" t="s">
        <v>931</v>
      </c>
      <c r="S15" s="449">
        <f t="shared" si="0"/>
        <v>100</v>
      </c>
      <c r="T15" s="448" t="s">
        <v>931</v>
      </c>
      <c r="U15" s="449">
        <f t="shared" si="1"/>
        <v>100</v>
      </c>
      <c r="V15" s="448" t="s">
        <v>931</v>
      </c>
      <c r="W15" s="449">
        <f t="shared" si="2"/>
        <v>100</v>
      </c>
      <c r="X15" s="443"/>
      <c r="Y15" s="3354" t="s">
        <v>945</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5"/>
      <c r="Q16" s="383"/>
      <c r="R16" s="448"/>
      <c r="S16" s="449"/>
      <c r="T16" s="448"/>
      <c r="U16" s="449"/>
      <c r="V16" s="448"/>
      <c r="W16" s="449"/>
      <c r="X16" s="443"/>
      <c r="Y16" s="3355"/>
      <c r="Z16" s="442"/>
      <c r="AA16" s="454">
        <v>1</v>
      </c>
      <c r="AB16" s="454">
        <v>1</v>
      </c>
      <c r="AC16" s="454">
        <v>1</v>
      </c>
    </row>
    <row r="17" spans="1:29" ht="15">
      <c r="A17" s="255"/>
      <c r="B17" s="500" t="s">
        <v>231</v>
      </c>
      <c r="C17" s="570" t="str">
        <f>估价对象房地状况!C6</f>
        <v>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5"/>
      <c r="Q17" s="383" t="str">
        <f>B17</f>
        <v>交通便捷度</v>
      </c>
      <c r="R17" s="448" t="s">
        <v>931</v>
      </c>
      <c r="S17" s="449">
        <f>F17</f>
        <v>100</v>
      </c>
      <c r="T17" s="448" t="s">
        <v>931</v>
      </c>
      <c r="U17" s="449">
        <f>H17</f>
        <v>100</v>
      </c>
      <c r="V17" s="448" t="s">
        <v>931</v>
      </c>
      <c r="W17" s="449">
        <f>J17</f>
        <v>100</v>
      </c>
      <c r="X17" s="443"/>
      <c r="Y17" s="3355"/>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5"/>
      <c r="Q18" s="383"/>
      <c r="R18" s="448"/>
      <c r="S18" s="449"/>
      <c r="T18" s="448"/>
      <c r="U18" s="449"/>
      <c r="V18" s="448"/>
      <c r="W18" s="449"/>
      <c r="X18" s="443"/>
      <c r="Y18" s="3355"/>
      <c r="Z18" s="442"/>
      <c r="AA18" s="454">
        <v>1</v>
      </c>
      <c r="AB18" s="454">
        <v>1</v>
      </c>
      <c r="AC18" s="454">
        <v>1</v>
      </c>
    </row>
    <row r="19" spans="1:29" ht="15">
      <c r="A19" s="255"/>
      <c r="B19" s="261" t="s">
        <v>233</v>
      </c>
      <c r="C19" s="570" t="str">
        <f>估价对象房地状况!C7</f>
        <v>较好</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5"/>
      <c r="Q19" s="383" t="str">
        <f>B19</f>
        <v>公共配套设施</v>
      </c>
      <c r="R19" s="448" t="s">
        <v>931</v>
      </c>
      <c r="S19" s="449">
        <f>F19</f>
        <v>100</v>
      </c>
      <c r="T19" s="448" t="s">
        <v>931</v>
      </c>
      <c r="U19" s="449">
        <f>H19</f>
        <v>100</v>
      </c>
      <c r="V19" s="448" t="s">
        <v>931</v>
      </c>
      <c r="W19" s="449">
        <f>J19</f>
        <v>100</v>
      </c>
      <c r="X19" s="443"/>
      <c r="Y19" s="3355"/>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5"/>
      <c r="Q20" s="383"/>
      <c r="R20" s="448"/>
      <c r="S20" s="449"/>
      <c r="T20" s="448"/>
      <c r="U20" s="449"/>
      <c r="V20" s="448"/>
      <c r="W20" s="449"/>
      <c r="X20" s="443"/>
      <c r="Y20" s="3355"/>
      <c r="Z20" s="442"/>
      <c r="AA20" s="454">
        <v>1</v>
      </c>
      <c r="AB20" s="454">
        <v>1</v>
      </c>
      <c r="AC20" s="454">
        <v>1</v>
      </c>
    </row>
    <row r="21" spans="1:29" ht="15">
      <c r="A21" s="255"/>
      <c r="B21" s="269" t="s">
        <v>234</v>
      </c>
      <c r="C21" s="570" t="str">
        <f>估价对象房地状况!C8</f>
        <v>六通</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5"/>
      <c r="Q21" s="383" t="str">
        <f>B21</f>
        <v>基础设施水平</v>
      </c>
      <c r="R21" s="448" t="s">
        <v>931</v>
      </c>
      <c r="S21" s="449">
        <f>F21</f>
        <v>100</v>
      </c>
      <c r="T21" s="448" t="s">
        <v>931</v>
      </c>
      <c r="U21" s="449">
        <f>H21</f>
        <v>100</v>
      </c>
      <c r="V21" s="448" t="s">
        <v>931</v>
      </c>
      <c r="W21" s="449">
        <f>J21</f>
        <v>100</v>
      </c>
      <c r="X21" s="443"/>
      <c r="Y21" s="3355"/>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5"/>
      <c r="Q22" s="383"/>
      <c r="R22" s="448"/>
      <c r="S22" s="449"/>
      <c r="T22" s="448"/>
      <c r="U22" s="449"/>
      <c r="V22" s="448"/>
      <c r="W22" s="449"/>
      <c r="X22" s="443"/>
      <c r="Y22" s="3355"/>
      <c r="Z22" s="442"/>
      <c r="AA22" s="454">
        <v>1</v>
      </c>
      <c r="AB22" s="454">
        <v>1</v>
      </c>
      <c r="AC22" s="454">
        <v>1</v>
      </c>
    </row>
    <row r="23" spans="1:29" ht="15">
      <c r="A23" s="255"/>
      <c r="B23" s="500" t="s">
        <v>235</v>
      </c>
      <c r="C23" s="570" t="str">
        <f>估价对象房地状况!C9</f>
        <v>较好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5"/>
      <c r="Q23" s="383" t="str">
        <f>B23</f>
        <v>环境质量</v>
      </c>
      <c r="R23" s="448" t="s">
        <v>931</v>
      </c>
      <c r="S23" s="449">
        <f>F23</f>
        <v>100</v>
      </c>
      <c r="T23" s="448" t="s">
        <v>931</v>
      </c>
      <c r="U23" s="449">
        <f>H23</f>
        <v>100</v>
      </c>
      <c r="V23" s="448" t="s">
        <v>931</v>
      </c>
      <c r="W23" s="449">
        <f>J23</f>
        <v>100</v>
      </c>
      <c r="X23" s="443"/>
      <c r="Y23" s="3355"/>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5"/>
      <c r="Q24" s="383"/>
      <c r="R24" s="448"/>
      <c r="S24" s="449"/>
      <c r="T24" s="448"/>
      <c r="U24" s="449"/>
      <c r="V24" s="448"/>
      <c r="W24" s="449"/>
      <c r="X24" s="443"/>
      <c r="Y24" s="3355"/>
      <c r="Z24" s="442"/>
      <c r="AA24" s="454">
        <v>1</v>
      </c>
      <c r="AB24" s="454">
        <v>1</v>
      </c>
      <c r="AC24" s="454">
        <v>1</v>
      </c>
    </row>
    <row r="25" spans="1:29" ht="28.8">
      <c r="A25" s="216"/>
      <c r="B25" s="500" t="s">
        <v>951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5"/>
      <c r="Q25" s="383" t="str">
        <f>B25</f>
        <v>毗邻道路的类型与等级</v>
      </c>
      <c r="R25" s="448" t="s">
        <v>931</v>
      </c>
      <c r="S25" s="449">
        <f>F25</f>
        <v>100</v>
      </c>
      <c r="T25" s="448" t="s">
        <v>931</v>
      </c>
      <c r="U25" s="449">
        <f>H25</f>
        <v>100</v>
      </c>
      <c r="V25" s="448" t="s">
        <v>931</v>
      </c>
      <c r="W25" s="449">
        <f>J25</f>
        <v>100</v>
      </c>
      <c r="X25" s="443"/>
      <c r="Y25" s="3355"/>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5"/>
      <c r="Q26" s="383"/>
      <c r="R26" s="448"/>
      <c r="S26" s="449"/>
      <c r="T26" s="448"/>
      <c r="U26" s="449"/>
      <c r="V26" s="448"/>
      <c r="W26" s="449"/>
      <c r="X26" s="443"/>
      <c r="Y26" s="3355"/>
      <c r="Z26" s="442"/>
      <c r="AA26" s="454">
        <v>1</v>
      </c>
      <c r="AB26" s="454">
        <v>1</v>
      </c>
      <c r="AC26" s="454">
        <v>1</v>
      </c>
    </row>
    <row r="27" spans="1:29" ht="15">
      <c r="A27" s="255"/>
      <c r="B27" s="267" t="s">
        <v>2363</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5"/>
      <c r="Q27" s="383" t="str">
        <f t="shared" ref="Q27:Q47" si="11">B27</f>
        <v>楼层</v>
      </c>
      <c r="R27" s="448" t="s">
        <v>931</v>
      </c>
      <c r="S27" s="449">
        <f>F27</f>
        <v>100</v>
      </c>
      <c r="T27" s="448" t="s">
        <v>931</v>
      </c>
      <c r="U27" s="449">
        <f>H27</f>
        <v>100</v>
      </c>
      <c r="V27" s="448" t="s">
        <v>931</v>
      </c>
      <c r="W27" s="449">
        <f>J27</f>
        <v>100</v>
      </c>
      <c r="X27" s="443"/>
      <c r="Y27" s="3355"/>
      <c r="Z27" s="442" t="str">
        <f>Q27</f>
        <v>楼层</v>
      </c>
      <c r="AA27" s="454">
        <f t="shared" si="3"/>
        <v>1</v>
      </c>
      <c r="AB27" s="454">
        <f t="shared" si="4"/>
        <v>1</v>
      </c>
      <c r="AC27" s="454">
        <f t="shared" si="5"/>
        <v>1</v>
      </c>
    </row>
    <row r="28" spans="1:29" s="190" customFormat="1" ht="15">
      <c r="A28" s="279"/>
      <c r="B28" s="500" t="s">
        <v>1280</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5"/>
      <c r="Q28" s="447" t="str">
        <f t="shared" si="11"/>
        <v>朝向</v>
      </c>
      <c r="R28" s="444" t="s">
        <v>931</v>
      </c>
      <c r="S28" s="445">
        <f>F28</f>
        <v>100</v>
      </c>
      <c r="T28" s="444" t="s">
        <v>931</v>
      </c>
      <c r="U28" s="445">
        <f>H28</f>
        <v>100</v>
      </c>
      <c r="V28" s="444" t="s">
        <v>931</v>
      </c>
      <c r="W28" s="445">
        <f>J28</f>
        <v>100</v>
      </c>
      <c r="X28" s="446"/>
      <c r="Y28" s="3355"/>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5"/>
      <c r="Q29" s="383">
        <f t="shared" si="11"/>
        <v>111</v>
      </c>
      <c r="R29" s="448" t="s">
        <v>931</v>
      </c>
      <c r="S29" s="449">
        <f t="shared" ref="S29:S47" si="12">F29</f>
        <v>100</v>
      </c>
      <c r="T29" s="448" t="s">
        <v>931</v>
      </c>
      <c r="U29" s="449">
        <f t="shared" ref="U29:U47" si="13">H29</f>
        <v>100</v>
      </c>
      <c r="V29" s="448" t="s">
        <v>931</v>
      </c>
      <c r="W29" s="449">
        <f t="shared" ref="W29:W47" si="14">J29</f>
        <v>100</v>
      </c>
      <c r="X29" s="443"/>
      <c r="Y29" s="3355"/>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5"/>
      <c r="Q30" s="383">
        <f t="shared" si="11"/>
        <v>111</v>
      </c>
      <c r="R30" s="448" t="s">
        <v>931</v>
      </c>
      <c r="S30" s="449">
        <f t="shared" si="12"/>
        <v>100</v>
      </c>
      <c r="T30" s="448" t="s">
        <v>931</v>
      </c>
      <c r="U30" s="449">
        <f t="shared" si="13"/>
        <v>100</v>
      </c>
      <c r="V30" s="448" t="s">
        <v>931</v>
      </c>
      <c r="W30" s="449">
        <f t="shared" si="14"/>
        <v>100</v>
      </c>
      <c r="X30" s="443"/>
      <c r="Y30" s="3355"/>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5"/>
      <c r="Q31" s="383">
        <f t="shared" si="11"/>
        <v>111</v>
      </c>
      <c r="R31" s="448" t="s">
        <v>931</v>
      </c>
      <c r="S31" s="449">
        <f t="shared" si="12"/>
        <v>100</v>
      </c>
      <c r="T31" s="448" t="s">
        <v>931</v>
      </c>
      <c r="U31" s="449">
        <f t="shared" si="13"/>
        <v>100</v>
      </c>
      <c r="V31" s="448" t="s">
        <v>931</v>
      </c>
      <c r="W31" s="449">
        <f t="shared" si="14"/>
        <v>100</v>
      </c>
      <c r="X31" s="443"/>
      <c r="Y31" s="3355"/>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5"/>
      <c r="Q32" s="383">
        <f t="shared" si="11"/>
        <v>111</v>
      </c>
      <c r="R32" s="448" t="s">
        <v>931</v>
      </c>
      <c r="S32" s="449">
        <f t="shared" si="12"/>
        <v>100</v>
      </c>
      <c r="T32" s="448" t="s">
        <v>931</v>
      </c>
      <c r="U32" s="449">
        <f t="shared" si="13"/>
        <v>100</v>
      </c>
      <c r="V32" s="448" t="s">
        <v>931</v>
      </c>
      <c r="W32" s="449">
        <f t="shared" si="14"/>
        <v>100</v>
      </c>
      <c r="X32" s="443"/>
      <c r="Y32" s="3355"/>
      <c r="Z32" s="442">
        <f t="shared" si="15"/>
        <v>111</v>
      </c>
      <c r="AA32" s="454">
        <f t="shared" si="3"/>
        <v>1</v>
      </c>
      <c r="AB32" s="454">
        <f t="shared" si="4"/>
        <v>1</v>
      </c>
      <c r="AC32" s="454">
        <f t="shared" si="5"/>
        <v>1</v>
      </c>
    </row>
    <row r="33" spans="1:29" ht="15">
      <c r="A33" s="283" t="s">
        <v>955</v>
      </c>
      <c r="B33" s="284" t="s">
        <v>1282</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6" t="s">
        <v>954</v>
      </c>
      <c r="Q33" s="383" t="str">
        <f t="shared" si="11"/>
        <v>建筑类型</v>
      </c>
      <c r="R33" s="448" t="s">
        <v>931</v>
      </c>
      <c r="S33" s="449">
        <f t="shared" si="12"/>
        <v>100</v>
      </c>
      <c r="T33" s="448" t="s">
        <v>931</v>
      </c>
      <c r="U33" s="449">
        <f t="shared" si="13"/>
        <v>100</v>
      </c>
      <c r="V33" s="448" t="s">
        <v>931</v>
      </c>
      <c r="W33" s="449">
        <f t="shared" si="14"/>
        <v>100</v>
      </c>
      <c r="X33" s="443"/>
      <c r="Y33" s="3357" t="s">
        <v>954</v>
      </c>
      <c r="Z33" s="442" t="str">
        <f t="shared" si="15"/>
        <v>建筑类型</v>
      </c>
      <c r="AA33" s="454">
        <f t="shared" si="3"/>
        <v>1</v>
      </c>
      <c r="AB33" s="454">
        <f t="shared" si="4"/>
        <v>1</v>
      </c>
      <c r="AC33" s="454">
        <f t="shared" si="5"/>
        <v>1</v>
      </c>
    </row>
    <row r="34" spans="1:29" s="192" customFormat="1" ht="15">
      <c r="A34" s="288"/>
      <c r="B34" s="289" t="s">
        <v>1286</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7"/>
      <c r="Q34" s="450" t="str">
        <f t="shared" si="11"/>
        <v>项目建筑规模</v>
      </c>
      <c r="R34" s="451" t="s">
        <v>931</v>
      </c>
      <c r="S34" s="452" t="e">
        <f t="shared" si="12"/>
        <v>#N/A</v>
      </c>
      <c r="T34" s="451" t="s">
        <v>931</v>
      </c>
      <c r="U34" s="452" t="e">
        <f t="shared" si="13"/>
        <v>#N/A</v>
      </c>
      <c r="V34" s="451" t="s">
        <v>931</v>
      </c>
      <c r="W34" s="452" t="e">
        <f t="shared" si="14"/>
        <v>#N/A</v>
      </c>
      <c r="X34" s="453"/>
      <c r="Y34" s="3357"/>
      <c r="Z34" s="465" t="str">
        <f t="shared" si="15"/>
        <v>项目建筑规模</v>
      </c>
      <c r="AA34" s="454" t="e">
        <f t="shared" si="3"/>
        <v>#N/A</v>
      </c>
      <c r="AB34" s="454" t="e">
        <f t="shared" si="4"/>
        <v>#N/A</v>
      </c>
      <c r="AC34" s="454" t="e">
        <f t="shared" si="5"/>
        <v>#N/A</v>
      </c>
    </row>
    <row r="35" spans="1:29" ht="15">
      <c r="A35" s="293"/>
      <c r="B35" s="289" t="s">
        <v>1287</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7"/>
      <c r="Q35" s="383" t="str">
        <f t="shared" si="11"/>
        <v>建筑结构</v>
      </c>
      <c r="R35" s="448" t="s">
        <v>931</v>
      </c>
      <c r="S35" s="449">
        <f t="shared" si="12"/>
        <v>100</v>
      </c>
      <c r="T35" s="448" t="s">
        <v>931</v>
      </c>
      <c r="U35" s="449">
        <f t="shared" si="13"/>
        <v>100</v>
      </c>
      <c r="V35" s="448" t="s">
        <v>931</v>
      </c>
      <c r="W35" s="449">
        <f t="shared" si="14"/>
        <v>100</v>
      </c>
      <c r="X35" s="443"/>
      <c r="Y35" s="3357"/>
      <c r="Z35" s="442" t="str">
        <f t="shared" si="15"/>
        <v>建筑结构</v>
      </c>
      <c r="AA35" s="454">
        <f t="shared" si="3"/>
        <v>1</v>
      </c>
      <c r="AB35" s="454">
        <f t="shared" si="4"/>
        <v>1</v>
      </c>
      <c r="AC35" s="454">
        <f t="shared" si="5"/>
        <v>1</v>
      </c>
    </row>
    <row r="36" spans="1:29" ht="15">
      <c r="A36" s="293"/>
      <c r="B36" s="289" t="s">
        <v>1289</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7"/>
      <c r="Q36" s="383" t="str">
        <f t="shared" si="11"/>
        <v>公共部分装修</v>
      </c>
      <c r="R36" s="448" t="s">
        <v>931</v>
      </c>
      <c r="S36" s="449">
        <f t="shared" si="12"/>
        <v>100</v>
      </c>
      <c r="T36" s="448" t="s">
        <v>931</v>
      </c>
      <c r="U36" s="449">
        <f t="shared" si="13"/>
        <v>100</v>
      </c>
      <c r="V36" s="448" t="s">
        <v>931</v>
      </c>
      <c r="W36" s="449">
        <f t="shared" si="14"/>
        <v>100</v>
      </c>
      <c r="X36" s="443"/>
      <c r="Y36" s="3357"/>
      <c r="Z36" s="442" t="str">
        <f t="shared" si="15"/>
        <v>公共部分装修</v>
      </c>
      <c r="AA36" s="454">
        <f t="shared" si="3"/>
        <v>1</v>
      </c>
      <c r="AB36" s="454">
        <f t="shared" si="4"/>
        <v>1</v>
      </c>
      <c r="AC36" s="454">
        <f t="shared" si="5"/>
        <v>1</v>
      </c>
    </row>
    <row r="37" spans="1:29" ht="15">
      <c r="A37" s="293"/>
      <c r="B37" s="289" t="s">
        <v>1290</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7"/>
      <c r="Q37" s="383" t="str">
        <f t="shared" si="11"/>
        <v>成新度</v>
      </c>
      <c r="R37" s="448" t="s">
        <v>931</v>
      </c>
      <c r="S37" s="449" t="e">
        <f t="shared" si="12"/>
        <v>#N/A</v>
      </c>
      <c r="T37" s="448" t="s">
        <v>931</v>
      </c>
      <c r="U37" s="449" t="e">
        <f t="shared" si="13"/>
        <v>#N/A</v>
      </c>
      <c r="V37" s="448" t="s">
        <v>931</v>
      </c>
      <c r="W37" s="449" t="e">
        <f t="shared" si="14"/>
        <v>#N/A</v>
      </c>
      <c r="X37" s="443"/>
      <c r="Y37" s="3357"/>
      <c r="Z37" s="442" t="str">
        <f t="shared" si="15"/>
        <v>成新度</v>
      </c>
      <c r="AA37" s="454" t="e">
        <f t="shared" si="3"/>
        <v>#N/A</v>
      </c>
      <c r="AB37" s="454" t="e">
        <f t="shared" si="4"/>
        <v>#N/A</v>
      </c>
      <c r="AC37" s="454" t="e">
        <f t="shared" si="5"/>
        <v>#N/A</v>
      </c>
    </row>
    <row r="38" spans="1:29" s="190" customFormat="1" ht="15">
      <c r="A38" s="296"/>
      <c r="B38" s="289" t="s">
        <v>2371</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7"/>
      <c r="Q38" s="447" t="str">
        <f t="shared" si="11"/>
        <v>写字楼等级</v>
      </c>
      <c r="R38" s="444" t="s">
        <v>931</v>
      </c>
      <c r="S38" s="445">
        <f t="shared" si="12"/>
        <v>100</v>
      </c>
      <c r="T38" s="444" t="s">
        <v>931</v>
      </c>
      <c r="U38" s="445">
        <f t="shared" si="13"/>
        <v>100</v>
      </c>
      <c r="V38" s="444" t="s">
        <v>931</v>
      </c>
      <c r="W38" s="445">
        <f t="shared" si="14"/>
        <v>100</v>
      </c>
      <c r="X38" s="446"/>
      <c r="Y38" s="3357"/>
      <c r="Z38" s="464" t="str">
        <f t="shared" si="15"/>
        <v>写字楼等级</v>
      </c>
      <c r="AA38" s="463">
        <f t="shared" si="3"/>
        <v>1</v>
      </c>
      <c r="AB38" s="463">
        <f t="shared" si="4"/>
        <v>1</v>
      </c>
      <c r="AC38" s="463">
        <f t="shared" si="5"/>
        <v>1</v>
      </c>
    </row>
    <row r="39" spans="1:29" ht="15">
      <c r="A39" s="293"/>
      <c r="B39" s="289" t="s">
        <v>1291</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7" t="s">
        <v>954</v>
      </c>
      <c r="Q39" s="383" t="str">
        <f t="shared" si="11"/>
        <v>物业管理</v>
      </c>
      <c r="R39" s="448" t="s">
        <v>931</v>
      </c>
      <c r="S39" s="449">
        <f t="shared" si="12"/>
        <v>100</v>
      </c>
      <c r="T39" s="448" t="s">
        <v>931</v>
      </c>
      <c r="U39" s="449">
        <f t="shared" si="13"/>
        <v>100</v>
      </c>
      <c r="V39" s="448" t="s">
        <v>931</v>
      </c>
      <c r="W39" s="449">
        <f t="shared" si="14"/>
        <v>100</v>
      </c>
      <c r="X39" s="443"/>
      <c r="Y39" s="3357" t="s">
        <v>954</v>
      </c>
      <c r="Z39" s="442" t="str">
        <f t="shared" si="15"/>
        <v>物业管理</v>
      </c>
      <c r="AA39" s="454">
        <f t="shared" si="3"/>
        <v>1</v>
      </c>
      <c r="AB39" s="454">
        <f t="shared" si="4"/>
        <v>1</v>
      </c>
      <c r="AC39" s="454">
        <f t="shared" si="5"/>
        <v>1</v>
      </c>
    </row>
    <row r="40" spans="1:29" ht="15">
      <c r="A40" s="293"/>
      <c r="B40" s="544" t="s">
        <v>1292</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7"/>
      <c r="Q40" s="383" t="str">
        <f t="shared" si="11"/>
        <v>市政基础设施</v>
      </c>
      <c r="R40" s="448" t="s">
        <v>931</v>
      </c>
      <c r="S40" s="449">
        <f t="shared" si="12"/>
        <v>100</v>
      </c>
      <c r="T40" s="448" t="s">
        <v>931</v>
      </c>
      <c r="U40" s="449">
        <f t="shared" si="13"/>
        <v>100</v>
      </c>
      <c r="V40" s="448" t="s">
        <v>931</v>
      </c>
      <c r="W40" s="449">
        <f t="shared" si="14"/>
        <v>100</v>
      </c>
      <c r="X40" s="443"/>
      <c r="Y40" s="3357"/>
      <c r="Z40" s="442" t="str">
        <f t="shared" si="15"/>
        <v>市政基础设施</v>
      </c>
      <c r="AA40" s="454">
        <f t="shared" si="3"/>
        <v>1</v>
      </c>
      <c r="AB40" s="454">
        <f t="shared" si="4"/>
        <v>1</v>
      </c>
      <c r="AC40" s="454">
        <f t="shared" si="5"/>
        <v>1</v>
      </c>
    </row>
    <row r="41" spans="1:29" ht="15">
      <c r="A41" s="293"/>
      <c r="B41" s="289" t="s">
        <v>2366</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7"/>
      <c r="Q41" s="383" t="str">
        <f t="shared" si="11"/>
        <v>层高</v>
      </c>
      <c r="R41" s="448" t="s">
        <v>931</v>
      </c>
      <c r="S41" s="449">
        <f t="shared" si="12"/>
        <v>100</v>
      </c>
      <c r="T41" s="448" t="s">
        <v>931</v>
      </c>
      <c r="U41" s="449">
        <f t="shared" si="13"/>
        <v>100</v>
      </c>
      <c r="V41" s="448" t="s">
        <v>931</v>
      </c>
      <c r="W41" s="449">
        <f t="shared" si="14"/>
        <v>100</v>
      </c>
      <c r="X41" s="443"/>
      <c r="Y41" s="3357"/>
      <c r="Z41" s="442" t="str">
        <f t="shared" si="15"/>
        <v>层高</v>
      </c>
      <c r="AA41" s="454">
        <f t="shared" si="3"/>
        <v>1</v>
      </c>
      <c r="AB41" s="454">
        <f t="shared" si="4"/>
        <v>1</v>
      </c>
      <c r="AC41" s="454">
        <f t="shared" si="5"/>
        <v>1</v>
      </c>
    </row>
    <row r="42" spans="1:29" s="192" customFormat="1" ht="15">
      <c r="A42" s="288"/>
      <c r="B42" s="401" t="s">
        <v>2372</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7"/>
      <c r="Q42" s="450" t="str">
        <f t="shared" si="11"/>
        <v>单套建筑面积</v>
      </c>
      <c r="R42" s="451" t="s">
        <v>931</v>
      </c>
      <c r="S42" s="452">
        <f t="shared" si="12"/>
        <v>100</v>
      </c>
      <c r="T42" s="451" t="s">
        <v>931</v>
      </c>
      <c r="U42" s="452">
        <f t="shared" si="13"/>
        <v>100</v>
      </c>
      <c r="V42" s="451" t="s">
        <v>931</v>
      </c>
      <c r="W42" s="452">
        <f t="shared" si="14"/>
        <v>100</v>
      </c>
      <c r="X42" s="453"/>
      <c r="Y42" s="3357"/>
      <c r="Z42" s="465" t="str">
        <f t="shared" si="15"/>
        <v>单套建筑面积</v>
      </c>
      <c r="AA42" s="454">
        <f t="shared" si="3"/>
        <v>1</v>
      </c>
      <c r="AB42" s="454">
        <f t="shared" si="4"/>
        <v>1</v>
      </c>
      <c r="AC42" s="454">
        <f t="shared" si="5"/>
        <v>1</v>
      </c>
    </row>
    <row r="43" spans="1:29" ht="15">
      <c r="A43" s="293"/>
      <c r="B43" s="289" t="s">
        <v>1295</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7"/>
      <c r="Q43" s="383" t="str">
        <f t="shared" si="11"/>
        <v>内部装修</v>
      </c>
      <c r="R43" s="448" t="s">
        <v>931</v>
      </c>
      <c r="S43" s="449">
        <f t="shared" si="12"/>
        <v>100</v>
      </c>
      <c r="T43" s="448" t="s">
        <v>931</v>
      </c>
      <c r="U43" s="449">
        <f t="shared" si="13"/>
        <v>100</v>
      </c>
      <c r="V43" s="448" t="s">
        <v>931</v>
      </c>
      <c r="W43" s="449">
        <f t="shared" si="14"/>
        <v>100</v>
      </c>
      <c r="X43" s="443"/>
      <c r="Y43" s="3357"/>
      <c r="Z43" s="442" t="str">
        <f t="shared" si="15"/>
        <v>内部装修</v>
      </c>
      <c r="AA43" s="454">
        <f t="shared" si="3"/>
        <v>1</v>
      </c>
      <c r="AB43" s="454">
        <f t="shared" si="4"/>
        <v>1</v>
      </c>
      <c r="AC43" s="454">
        <f t="shared" si="5"/>
        <v>1</v>
      </c>
    </row>
    <row r="44" spans="1:29" ht="28.8">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7"/>
      <c r="Q44" s="383" t="str">
        <f t="shared" si="11"/>
        <v>内部装修维护情况</v>
      </c>
      <c r="R44" s="448" t="s">
        <v>931</v>
      </c>
      <c r="S44" s="449">
        <f t="shared" si="12"/>
        <v>100</v>
      </c>
      <c r="T44" s="448" t="s">
        <v>931</v>
      </c>
      <c r="U44" s="449">
        <f t="shared" si="13"/>
        <v>100</v>
      </c>
      <c r="V44" s="448" t="s">
        <v>931</v>
      </c>
      <c r="W44" s="449">
        <f t="shared" si="14"/>
        <v>100</v>
      </c>
      <c r="X44" s="443"/>
      <c r="Y44" s="3357"/>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7"/>
      <c r="Q45" s="447">
        <f t="shared" si="11"/>
        <v>111</v>
      </c>
      <c r="R45" s="444" t="s">
        <v>931</v>
      </c>
      <c r="S45" s="445">
        <f t="shared" si="12"/>
        <v>100</v>
      </c>
      <c r="T45" s="444" t="s">
        <v>931</v>
      </c>
      <c r="U45" s="445">
        <f t="shared" si="13"/>
        <v>100</v>
      </c>
      <c r="V45" s="444" t="s">
        <v>931</v>
      </c>
      <c r="W45" s="445">
        <f t="shared" si="14"/>
        <v>100</v>
      </c>
      <c r="X45" s="446"/>
      <c r="Y45" s="3357"/>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7"/>
      <c r="Q46" s="383">
        <f t="shared" si="11"/>
        <v>111</v>
      </c>
      <c r="R46" s="448" t="s">
        <v>931</v>
      </c>
      <c r="S46" s="449">
        <f t="shared" si="12"/>
        <v>100</v>
      </c>
      <c r="T46" s="448" t="s">
        <v>931</v>
      </c>
      <c r="U46" s="449">
        <f t="shared" si="13"/>
        <v>100</v>
      </c>
      <c r="V46" s="448" t="s">
        <v>931</v>
      </c>
      <c r="W46" s="449">
        <f t="shared" si="14"/>
        <v>100</v>
      </c>
      <c r="X46" s="443"/>
      <c r="Y46" s="3357"/>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22"/>
      <c r="Q47" s="383">
        <f t="shared" si="11"/>
        <v>111</v>
      </c>
      <c r="R47" s="448" t="s">
        <v>931</v>
      </c>
      <c r="S47" s="449">
        <f t="shared" si="12"/>
        <v>100</v>
      </c>
      <c r="T47" s="448" t="s">
        <v>931</v>
      </c>
      <c r="U47" s="449">
        <f t="shared" si="13"/>
        <v>100</v>
      </c>
      <c r="V47" s="448" t="s">
        <v>931</v>
      </c>
      <c r="W47" s="449">
        <f t="shared" si="14"/>
        <v>100</v>
      </c>
      <c r="X47" s="443"/>
      <c r="Y47" s="3422"/>
      <c r="Z47" s="442">
        <f t="shared" si="15"/>
        <v>111</v>
      </c>
      <c r="AA47" s="454">
        <f t="shared" si="3"/>
        <v>1</v>
      </c>
      <c r="AB47" s="454">
        <f t="shared" si="4"/>
        <v>1</v>
      </c>
      <c r="AC47" s="454">
        <f t="shared" si="5"/>
        <v>1</v>
      </c>
    </row>
    <row r="48" spans="1:29" ht="14.4">
      <c r="A48" s="303" t="s">
        <v>1297</v>
      </c>
      <c r="B48" s="304"/>
      <c r="C48" s="305" t="s">
        <v>138</v>
      </c>
      <c r="D48" s="306"/>
      <c r="E48" s="307"/>
      <c r="F48" s="308"/>
      <c r="G48" s="309"/>
      <c r="H48" s="310"/>
      <c r="I48" s="307"/>
      <c r="J48" s="310"/>
      <c r="K48" s="397"/>
      <c r="L48" s="398"/>
      <c r="M48" s="378"/>
      <c r="N48" s="378"/>
      <c r="O48" s="378"/>
      <c r="P48" s="3360" t="str">
        <f>A48</f>
        <v>成交单价（元/平方米）</v>
      </c>
      <c r="Q48" s="3353"/>
      <c r="R48" s="3421">
        <f>E48</f>
        <v>0</v>
      </c>
      <c r="S48" s="3421"/>
      <c r="T48" s="3421">
        <f>G48</f>
        <v>0</v>
      </c>
      <c r="U48" s="3421"/>
      <c r="V48" s="3421">
        <f>I48</f>
        <v>0</v>
      </c>
      <c r="W48" s="3421"/>
      <c r="X48" s="330"/>
      <c r="Y48" s="466"/>
      <c r="Z48" s="330"/>
      <c r="AA48" s="330"/>
      <c r="AB48" s="330"/>
      <c r="AC48" s="330"/>
    </row>
    <row r="49" spans="1:29" ht="14.4">
      <c r="A49" s="311" t="s">
        <v>965</v>
      </c>
      <c r="B49" s="312"/>
      <c r="C49" s="313" t="e">
        <f>R50</f>
        <v>#DIV/0!</v>
      </c>
      <c r="D49" s="314"/>
      <c r="E49" s="315" t="e">
        <f>R49</f>
        <v>#DIV/0!</v>
      </c>
      <c r="F49" s="315"/>
      <c r="G49" s="313" t="e">
        <f>T49</f>
        <v>#DIV/0!</v>
      </c>
      <c r="H49" s="314"/>
      <c r="I49" s="315" t="e">
        <f>V49</f>
        <v>#DIV/0!</v>
      </c>
      <c r="J49" s="314"/>
      <c r="K49" s="399"/>
      <c r="L49" s="398"/>
      <c r="M49" s="378"/>
      <c r="N49" s="378"/>
      <c r="O49" s="378"/>
      <c r="P49" s="3360" t="str">
        <f>A49</f>
        <v>比较价格（元/平方米）</v>
      </c>
      <c r="Q49" s="3353"/>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330"/>
      <c r="Y49" s="330"/>
      <c r="Z49" s="330"/>
      <c r="AA49" s="330"/>
      <c r="AB49" s="330"/>
      <c r="AC49" s="330"/>
    </row>
    <row r="50" spans="1:29" ht="14.4">
      <c r="A50" s="316" t="s">
        <v>966</v>
      </c>
      <c r="B50" s="317"/>
      <c r="C50" s="318" t="e">
        <f>R50</f>
        <v>#DIV/0!</v>
      </c>
      <c r="D50" s="318"/>
      <c r="E50" s="318"/>
      <c r="F50" s="318"/>
      <c r="G50" s="318"/>
      <c r="H50" s="318"/>
      <c r="I50" s="318"/>
      <c r="J50" s="318"/>
      <c r="K50" s="400"/>
      <c r="L50" s="398"/>
      <c r="M50" s="378"/>
      <c r="N50" s="378"/>
      <c r="O50" s="378"/>
      <c r="P50" s="3470" t="str">
        <f>A50</f>
        <v>估价对象XX用房的比较价格（楼面单价，元/平方米）</v>
      </c>
      <c r="Q50" s="3360"/>
      <c r="R50" s="3423" t="e">
        <f>IF(F1="售价",ROUND(AVERAGE(R49:V49),0),ROUND(AVERAGE(R49:V49),1))</f>
        <v>#DIV/0!</v>
      </c>
      <c r="S50" s="3423"/>
      <c r="T50" s="3423"/>
      <c r="U50" s="3423"/>
      <c r="V50" s="3423"/>
      <c r="W50" s="3423"/>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967</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968</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969</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6">
      <c r="A58" s="329" t="s">
        <v>991</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4.4">
      <c r="A59" s="333" t="s">
        <v>929</v>
      </c>
      <c r="B59" s="334"/>
      <c r="C59" s="335" t="str">
        <f>YEAR(C7)&amp;"-"&amp;MONTH(C7)</f>
        <v>2019-7</v>
      </c>
      <c r="D59" s="336">
        <f>EDATE(C59,-1)</f>
        <v>43617</v>
      </c>
      <c r="E59" s="336">
        <f t="shared" ref="E59:O59" si="16">EDATE(D59,-1)</f>
        <v>43586</v>
      </c>
      <c r="F59" s="336">
        <f t="shared" si="16"/>
        <v>43556</v>
      </c>
      <c r="G59" s="336">
        <f t="shared" si="16"/>
        <v>43525</v>
      </c>
      <c r="H59" s="336">
        <f t="shared" si="16"/>
        <v>43497</v>
      </c>
      <c r="I59" s="336">
        <f t="shared" si="16"/>
        <v>43466</v>
      </c>
      <c r="J59" s="336">
        <f t="shared" si="16"/>
        <v>43435</v>
      </c>
      <c r="K59" s="336">
        <f t="shared" si="16"/>
        <v>43405</v>
      </c>
      <c r="L59" s="336">
        <f t="shared" si="16"/>
        <v>43374</v>
      </c>
      <c r="M59" s="336">
        <f t="shared" si="16"/>
        <v>43344</v>
      </c>
      <c r="N59" s="336">
        <f t="shared" si="16"/>
        <v>43313</v>
      </c>
      <c r="O59" s="336">
        <f t="shared" si="16"/>
        <v>43282</v>
      </c>
      <c r="P59" s="584"/>
      <c r="Q59" s="455"/>
      <c r="R59" s="455"/>
      <c r="S59" s="455"/>
      <c r="T59" s="455"/>
      <c r="U59" s="455"/>
      <c r="V59" s="455"/>
      <c r="W59" s="455"/>
      <c r="X59" s="455"/>
      <c r="Y59" s="455"/>
      <c r="Z59" s="455"/>
      <c r="AA59" s="455"/>
      <c r="AB59" s="455"/>
      <c r="AC59" s="455"/>
    </row>
    <row r="60" spans="1:29" s="190" customFormat="1">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4.4">
      <c r="A61" s="341" t="s">
        <v>1108</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4.4">
      <c r="A62" s="345" t="s">
        <v>932</v>
      </c>
      <c r="B62" s="338"/>
      <c r="C62" s="346" t="s">
        <v>933</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ht="14.4">
      <c r="A64" s="348" t="s">
        <v>995</v>
      </c>
      <c r="B64" s="349" t="s">
        <v>996</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8.8">
      <c r="A66" s="352"/>
      <c r="B66" s="355" t="s">
        <v>997</v>
      </c>
      <c r="C66" s="356" t="s">
        <v>1298</v>
      </c>
      <c r="D66" s="356" t="s">
        <v>1299</v>
      </c>
      <c r="E66" s="356" t="s">
        <v>1300</v>
      </c>
      <c r="F66" s="356" t="s">
        <v>1301</v>
      </c>
      <c r="G66" s="356" t="s">
        <v>1302</v>
      </c>
      <c r="H66" s="356" t="s">
        <v>1303</v>
      </c>
      <c r="I66" s="356" t="s">
        <v>1304</v>
      </c>
      <c r="J66" s="356"/>
      <c r="K66" s="426"/>
      <c r="L66" s="427"/>
      <c r="M66" s="428"/>
      <c r="N66" s="422"/>
      <c r="O66" s="422"/>
      <c r="P66" s="587"/>
      <c r="Q66" s="412"/>
      <c r="R66" s="319"/>
      <c r="S66" s="319"/>
      <c r="T66" s="319"/>
      <c r="U66" s="319"/>
      <c r="V66" s="319"/>
      <c r="W66" s="319"/>
      <c r="X66" s="319"/>
      <c r="Y66" s="319"/>
      <c r="Z66" s="319"/>
      <c r="AA66" s="319"/>
      <c r="AB66" s="319"/>
      <c r="AC66" s="319"/>
    </row>
    <row r="67" spans="1:29">
      <c r="A67" s="352"/>
      <c r="B67" s="357"/>
      <c r="C67" s="358" t="s">
        <v>990</v>
      </c>
      <c r="D67" s="358" t="s">
        <v>990</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4.4">
      <c r="A68" s="352"/>
      <c r="B68" s="469" t="s">
        <v>998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ht="14.4">
      <c r="A77" s="348" t="s">
        <v>999</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4.4">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4.4">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4.4">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4.4">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8.8">
      <c r="A87" s="471"/>
      <c r="B87" s="355" t="s">
        <v>951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ht="14.4">
      <c r="A101" s="348" t="s">
        <v>1008</v>
      </c>
      <c r="B101" s="349" t="s">
        <v>1282</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4.4">
      <c r="A103" s="352"/>
      <c r="B103" s="355" t="s">
        <v>1286</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ht="14.4">
      <c r="A106" s="474"/>
      <c r="B106" s="355" t="s">
        <v>1287</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ht="14.4">
      <c r="A108" s="474"/>
      <c r="B108" s="355" t="s">
        <v>1289</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ht="14.4">
      <c r="A110" s="474"/>
      <c r="B110" s="355" t="s">
        <v>1290</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ht="14.4">
      <c r="A113" s="476"/>
      <c r="B113" s="355" t="s">
        <v>2371</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ht="14.4">
      <c r="A115" s="474"/>
      <c r="B115" s="355" t="s">
        <v>1291</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ht="14.4">
      <c r="A117" s="474"/>
      <c r="B117" s="367" t="s">
        <v>1292</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ht="14.4">
      <c r="A119" s="474"/>
      <c r="B119" s="477" t="s">
        <v>2373</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ht="14.4">
      <c r="A121" s="476"/>
      <c r="B121" s="355" t="s">
        <v>2367</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ht="14.4">
      <c r="A123" s="474"/>
      <c r="B123" s="355" t="s">
        <v>1295</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8.8">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18" customWidth="1"/>
    <col min="2" max="2" width="9" style="3118"/>
    <col min="3" max="4" width="9.6640625" style="3118" customWidth="1"/>
    <col min="5" max="16384" width="9" style="3118"/>
  </cols>
  <sheetData>
    <row r="1" spans="1:4" ht="22.2">
      <c r="A1" s="3119" t="s">
        <v>82</v>
      </c>
    </row>
    <row r="2" spans="1:4">
      <c r="A2" s="3120"/>
    </row>
    <row r="3" spans="1:4" ht="17.399999999999999">
      <c r="A3" s="3121" t="str">
        <f>项目基本情况!B5&amp;"："</f>
        <v>苏州国展商业广场开发有限公司：</v>
      </c>
    </row>
    <row r="4" spans="1:4" ht="34.799999999999997">
      <c r="A4" s="3122" t="str">
        <f>"受贵公司委托，我公司对"&amp;项目基本情况!K2&amp;项目基本情况!B9&amp;"进行了预评估。"</f>
        <v>受贵公司委托，我公司对江苏省苏州市姑苏区金门路100-1号（北）出让国有建设用地使用权抵押价格进行了预评估。</v>
      </c>
    </row>
    <row r="5" spans="1:4" ht="17.399999999999999">
      <c r="A5" s="3123" t="s">
        <v>83</v>
      </c>
    </row>
    <row r="6" spans="1:4" ht="87">
      <c r="A6" s="312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苏州国展商业广场开发有限公司使用的、位于江苏省苏州市姑苏区金门路100-1号（北）出让国有建设用地使用权。根据《国有土地使用证》[]，估价对象（分摊）出让国有建设用地使用权面积为10309.6平方米。根据《建设工程规划许可证》[]、《出让合同》[]，估价对象规划建筑面积为124721平方米。</v>
      </c>
    </row>
    <row r="7" spans="1:4" ht="87">
      <c r="A7" s="3124" t="s">
        <v>95</v>
      </c>
    </row>
    <row r="8" spans="1:4" ht="17.399999999999999">
      <c r="A8" s="3123" t="s">
        <v>85</v>
      </c>
    </row>
    <row r="9" spans="1:4" ht="69.599999999999994">
      <c r="A9" s="3125"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3121" t="s">
        <v>86</v>
      </c>
    </row>
    <row r="11" spans="1:4" ht="17.399999999999999">
      <c r="A11" s="3126" t="str">
        <f>TEXT(项目基本情况!D3,"yyyy年m月d日;;")&amp;IF(项目基本情况!B3=项目基本情况!D3,"（评估专业人员勘察现场之日）","")</f>
        <v>2019年7月8日（评估专业人员勘察现场之日）</v>
      </c>
    </row>
    <row r="12" spans="1:4" ht="17.399999999999999">
      <c r="A12" s="3121" t="s">
        <v>87</v>
      </c>
    </row>
    <row r="13" spans="1:4" ht="17.399999999999999">
      <c r="A13" s="3122" t="s">
        <v>96</v>
      </c>
    </row>
    <row r="14" spans="1:4" ht="34.799999999999997">
      <c r="A14" s="3122" t="str">
        <f>"根据"&amp;项目基本情况!F12&amp;"，本次评估估价对象证载（地类）用途为"&amp;项目基本情况!B12&amp;"。"</f>
        <v>根据《不动产权证书》[苏（2016）苏州市不动产权第8030236号]，本次评估估价对象证载（地类）用途为城镇住宅用地、其他商服用地。</v>
      </c>
      <c r="C14" s="3127"/>
      <c r="D14" s="3128"/>
    </row>
    <row r="15" spans="1:4" ht="17.399999999999999">
      <c r="A15" s="31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7"/>
      <c r="D15" s="3128"/>
    </row>
    <row r="16" spans="1:4" ht="17.399999999999999">
      <c r="A16" s="3122" t="s">
        <v>89</v>
      </c>
    </row>
    <row r="17" spans="1:1" ht="52.2">
      <c r="A17" s="31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2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22" t="s">
        <v>90</v>
      </c>
    </row>
    <row r="20" spans="1:1" ht="52.2">
      <c r="A20" s="31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根据《国有土地使用证》[]，估价对象（分摊）出让国有建设用地使用权面积为10309.6平方米。根据《建设工程规划许可证》[]、《出让合同》[]，估价对象规划建筑面积为124721平方米。</v>
      </c>
    </row>
    <row r="21" spans="1:1" ht="87">
      <c r="A21" s="31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22" t="s">
        <v>91</v>
      </c>
    </row>
    <row r="23" spans="1:1" ht="17.399999999999999">
      <c r="A23" s="3131" t="s">
        <v>97</v>
      </c>
    </row>
    <row r="24" spans="1:1" ht="17.399999999999999">
      <c r="A24" s="3122" t="s">
        <v>92</v>
      </c>
    </row>
    <row r="25" spans="1:1" ht="87">
      <c r="A25" s="3122"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52.2">
      <c r="A26" s="312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122" t="str">
        <f>IF(项目基本情况!E9="——","",定义!C57)</f>
        <v/>
      </c>
    </row>
    <row r="29" spans="1:1" ht="17.399999999999999">
      <c r="A29" s="3121" t="s">
        <v>93</v>
      </c>
    </row>
    <row r="30" spans="1:1" ht="69.599999999999994">
      <c r="A30" s="31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32"/>
    </row>
    <row r="32" spans="1:1" ht="17.399999999999999">
      <c r="A32" s="3133"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J56" sqref="J56"/>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1267</v>
      </c>
      <c r="B1" s="529" t="s">
        <v>1101</v>
      </c>
      <c r="C1" s="200" t="s">
        <v>1269</v>
      </c>
      <c r="D1" s="201"/>
      <c r="E1" s="202"/>
      <c r="F1" s="203"/>
      <c r="G1" s="204" t="s">
        <v>1271</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915</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1272</v>
      </c>
      <c r="B3" s="211" t="e">
        <f>C43</f>
        <v>#DIV/0!</v>
      </c>
      <c r="C3" s="212" t="s">
        <v>1273</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919</v>
      </c>
      <c r="B4" s="215"/>
      <c r="C4" s="3342" t="s">
        <v>920</v>
      </c>
      <c r="D4" s="3343"/>
      <c r="E4" s="3383" t="s">
        <v>921</v>
      </c>
      <c r="F4" s="3384"/>
      <c r="G4" s="3342" t="s">
        <v>922</v>
      </c>
      <c r="H4" s="3343"/>
      <c r="I4" s="3342" t="s">
        <v>923</v>
      </c>
      <c r="J4" s="3343"/>
      <c r="K4" s="376" t="s">
        <v>924</v>
      </c>
      <c r="L4" s="377"/>
      <c r="M4" s="378"/>
      <c r="N4" s="378"/>
      <c r="O4" s="378"/>
      <c r="P4" s="3370" t="s">
        <v>925</v>
      </c>
      <c r="Q4" s="3371"/>
      <c r="R4" s="3376" t="s">
        <v>921</v>
      </c>
      <c r="S4" s="3377"/>
      <c r="T4" s="3376" t="s">
        <v>922</v>
      </c>
      <c r="U4" s="3377"/>
      <c r="V4" s="3362" t="s">
        <v>923</v>
      </c>
      <c r="W4" s="3362"/>
      <c r="X4" s="443"/>
      <c r="Y4" s="3376" t="s">
        <v>925</v>
      </c>
      <c r="Z4" s="3377"/>
      <c r="AA4" s="3363" t="s">
        <v>921</v>
      </c>
      <c r="AB4" s="3364" t="s">
        <v>922</v>
      </c>
      <c r="AC4" s="3363" t="s">
        <v>923</v>
      </c>
    </row>
    <row r="5" spans="1:29">
      <c r="A5" s="216"/>
      <c r="B5" s="217"/>
      <c r="C5" s="3344" t="s">
        <v>926</v>
      </c>
      <c r="D5" s="3345"/>
      <c r="E5" s="3385" t="s">
        <v>1102</v>
      </c>
      <c r="F5" s="3386"/>
      <c r="G5" s="3344" t="s">
        <v>1103</v>
      </c>
      <c r="H5" s="3345"/>
      <c r="I5" s="3344" t="s">
        <v>1104</v>
      </c>
      <c r="J5" s="3345"/>
      <c r="K5" s="376"/>
      <c r="L5" s="377"/>
      <c r="M5" s="378"/>
      <c r="N5" s="378"/>
      <c r="O5" s="378"/>
      <c r="P5" s="3372"/>
      <c r="Q5" s="3373"/>
      <c r="R5" s="3378"/>
      <c r="S5" s="3379"/>
      <c r="T5" s="3378"/>
      <c r="U5" s="3379"/>
      <c r="V5" s="3362"/>
      <c r="W5" s="3362"/>
      <c r="X5" s="443"/>
      <c r="Y5" s="3378"/>
      <c r="Z5" s="3379"/>
      <c r="AA5" s="3364"/>
      <c r="AB5" s="3364"/>
      <c r="AC5" s="3364"/>
    </row>
    <row r="6" spans="1:29" ht="14.4">
      <c r="A6" s="218"/>
      <c r="B6" s="219"/>
      <c r="C6" s="3348" t="s">
        <v>927</v>
      </c>
      <c r="D6" s="3349"/>
      <c r="E6" s="3387" t="s">
        <v>927</v>
      </c>
      <c r="F6" s="3388"/>
      <c r="G6" s="3348" t="s">
        <v>927</v>
      </c>
      <c r="H6" s="3349"/>
      <c r="I6" s="3348" t="s">
        <v>927</v>
      </c>
      <c r="J6" s="3349"/>
      <c r="K6" s="376" t="s">
        <v>928</v>
      </c>
      <c r="L6" s="377"/>
      <c r="M6" s="378"/>
      <c r="N6" s="378"/>
      <c r="O6" s="378"/>
      <c r="P6" s="3374"/>
      <c r="Q6" s="3375"/>
      <c r="R6" s="3378"/>
      <c r="S6" s="3379"/>
      <c r="T6" s="3380"/>
      <c r="U6" s="3381"/>
      <c r="V6" s="3362"/>
      <c r="W6" s="3362"/>
      <c r="X6" s="443"/>
      <c r="Y6" s="3380"/>
      <c r="Z6" s="3381"/>
      <c r="AA6" s="3365"/>
      <c r="AB6" s="3365"/>
      <c r="AC6" s="3365"/>
    </row>
    <row r="7" spans="1:29" s="190" customFormat="1" ht="14.4">
      <c r="A7" s="220"/>
      <c r="B7" s="221" t="s">
        <v>929</v>
      </c>
      <c r="C7" s="222">
        <f>'数据-取费表'!B2</f>
        <v>43654</v>
      </c>
      <c r="D7" s="223">
        <v>100</v>
      </c>
      <c r="E7" s="224"/>
      <c r="F7" s="225">
        <f>SUMIF(52:52,YEAR(E7)&amp;"-"&amp;MONTH(E7),53:53)</f>
        <v>0</v>
      </c>
      <c r="G7" s="224"/>
      <c r="H7" s="223">
        <f>SUMIF(52:52,YEAR(G7)&amp;"-"&amp;MONTH(G7),53:53)</f>
        <v>0</v>
      </c>
      <c r="I7" s="224"/>
      <c r="J7" s="223">
        <f>SUMIF(52:52,YEAR(I7)&amp;"-"&amp;MONTH(I7),53:53)</f>
        <v>0</v>
      </c>
      <c r="K7" s="379"/>
      <c r="L7" s="380"/>
      <c r="M7" s="381"/>
      <c r="N7" s="381"/>
      <c r="O7" s="381"/>
      <c r="P7" s="3350" t="s">
        <v>930</v>
      </c>
      <c r="Q7" s="3351"/>
      <c r="R7" s="444" t="s">
        <v>931</v>
      </c>
      <c r="S7" s="445">
        <f t="shared" ref="S7:S15" si="0">F7</f>
        <v>0</v>
      </c>
      <c r="T7" s="444" t="s">
        <v>931</v>
      </c>
      <c r="U7" s="445">
        <f t="shared" ref="U7:U15" si="1">H7</f>
        <v>0</v>
      </c>
      <c r="V7" s="444" t="s">
        <v>931</v>
      </c>
      <c r="W7" s="445">
        <f t="shared" ref="W7:W15" si="2">J7</f>
        <v>0</v>
      </c>
      <c r="X7" s="446"/>
      <c r="Y7" s="3350" t="s">
        <v>930</v>
      </c>
      <c r="Z7" s="3382"/>
      <c r="AA7" s="463" t="e">
        <f>D7/F7</f>
        <v>#DIV/0!</v>
      </c>
      <c r="AB7" s="463" t="e">
        <f>D7/H7</f>
        <v>#DIV/0!</v>
      </c>
      <c r="AC7" s="463" t="e">
        <f>D7/J7</f>
        <v>#DIV/0!</v>
      </c>
    </row>
    <row r="8" spans="1:29" s="190" customFormat="1" ht="14.4">
      <c r="A8" s="227"/>
      <c r="B8" s="228" t="s">
        <v>932</v>
      </c>
      <c r="C8" s="229" t="s">
        <v>933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50" t="s">
        <v>935</v>
      </c>
      <c r="Q8" s="3382"/>
      <c r="R8" s="444" t="s">
        <v>931</v>
      </c>
      <c r="S8" s="445">
        <f t="shared" si="0"/>
        <v>0</v>
      </c>
      <c r="T8" s="444" t="s">
        <v>931</v>
      </c>
      <c r="U8" s="445">
        <f t="shared" si="1"/>
        <v>0</v>
      </c>
      <c r="V8" s="444" t="s">
        <v>931</v>
      </c>
      <c r="W8" s="445">
        <f t="shared" si="2"/>
        <v>0</v>
      </c>
      <c r="X8" s="446"/>
      <c r="Y8" s="3350" t="s">
        <v>935</v>
      </c>
      <c r="Z8" s="3382"/>
      <c r="AA8" s="463" t="e">
        <f t="shared" ref="AA8:AA40" si="3">D8/F8</f>
        <v>#DIV/0!</v>
      </c>
      <c r="AB8" s="463" t="e">
        <f t="shared" ref="AB8:AB40" si="4">D8/H8</f>
        <v>#DIV/0!</v>
      </c>
      <c r="AC8" s="463" t="e">
        <f t="shared" ref="AC8:AC40" si="5">D8/J8</f>
        <v>#DIV/0!</v>
      </c>
    </row>
    <row r="9" spans="1:29" s="190" customFormat="1" ht="14.4">
      <c r="A9" s="230"/>
      <c r="B9" s="231" t="s">
        <v>936</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3" t="s">
        <v>938</v>
      </c>
      <c r="Q9" s="447" t="str">
        <f t="shared" ref="Q9:Q15" si="6">B9</f>
        <v>用途</v>
      </c>
      <c r="R9" s="444" t="s">
        <v>931</v>
      </c>
      <c r="S9" s="445">
        <f t="shared" si="0"/>
        <v>100</v>
      </c>
      <c r="T9" s="444" t="s">
        <v>931</v>
      </c>
      <c r="U9" s="445">
        <f t="shared" si="1"/>
        <v>100</v>
      </c>
      <c r="V9" s="444" t="s">
        <v>931</v>
      </c>
      <c r="W9" s="445">
        <f t="shared" si="2"/>
        <v>100</v>
      </c>
      <c r="X9" s="446"/>
      <c r="Y9" s="3341" t="s">
        <v>939</v>
      </c>
      <c r="Z9" s="464" t="str">
        <f t="shared" ref="Z9:Z15" si="7">Q9</f>
        <v>用途</v>
      </c>
      <c r="AA9" s="463">
        <f t="shared" si="3"/>
        <v>1</v>
      </c>
      <c r="AB9" s="463">
        <f t="shared" si="4"/>
        <v>1</v>
      </c>
      <c r="AC9" s="463">
        <f t="shared" si="5"/>
        <v>1</v>
      </c>
    </row>
    <row r="10" spans="1:29" s="191" customFormat="1" ht="28.8">
      <c r="A10" s="235"/>
      <c r="B10" s="228" t="s">
        <v>940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3"/>
      <c r="Q10" s="447" t="str">
        <f t="shared" si="6"/>
        <v>土地使用年限（年）</v>
      </c>
      <c r="R10" s="444" t="s">
        <v>931</v>
      </c>
      <c r="S10" s="445">
        <f t="shared" si="0"/>
        <v>100</v>
      </c>
      <c r="T10" s="444" t="s">
        <v>931</v>
      </c>
      <c r="U10" s="445">
        <f t="shared" si="1"/>
        <v>100</v>
      </c>
      <c r="V10" s="444" t="s">
        <v>931</v>
      </c>
      <c r="W10" s="445">
        <f t="shared" si="2"/>
        <v>100</v>
      </c>
      <c r="X10" s="446"/>
      <c r="Y10" s="3341"/>
      <c r="Z10" s="464" t="str">
        <f t="shared" si="7"/>
        <v>土地使用年限（年）</v>
      </c>
      <c r="AA10" s="463">
        <f t="shared" si="3"/>
        <v>1</v>
      </c>
      <c r="AB10" s="463">
        <f t="shared" si="4"/>
        <v>1</v>
      </c>
      <c r="AC10" s="463">
        <f t="shared" si="5"/>
        <v>1</v>
      </c>
    </row>
    <row r="11" spans="1:29" ht="15">
      <c r="A11" s="530"/>
      <c r="B11" s="228" t="s">
        <v>942</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3"/>
      <c r="Q11" s="447" t="str">
        <f t="shared" si="6"/>
        <v>容积率</v>
      </c>
      <c r="R11" s="444" t="s">
        <v>931</v>
      </c>
      <c r="S11" s="445" t="e">
        <f t="shared" si="0"/>
        <v>#N/A</v>
      </c>
      <c r="T11" s="444" t="s">
        <v>931</v>
      </c>
      <c r="U11" s="445" t="e">
        <f t="shared" si="1"/>
        <v>#N/A</v>
      </c>
      <c r="V11" s="444" t="s">
        <v>931</v>
      </c>
      <c r="W11" s="445" t="e">
        <f t="shared" si="2"/>
        <v>#N/A</v>
      </c>
      <c r="X11" s="446"/>
      <c r="Y11" s="334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3"/>
      <c r="Q12" s="447">
        <f t="shared" si="6"/>
        <v>111</v>
      </c>
      <c r="R12" s="444" t="s">
        <v>931</v>
      </c>
      <c r="S12" s="445">
        <f t="shared" si="0"/>
        <v>100</v>
      </c>
      <c r="T12" s="444" t="s">
        <v>931</v>
      </c>
      <c r="U12" s="445">
        <f t="shared" si="1"/>
        <v>100</v>
      </c>
      <c r="V12" s="444" t="s">
        <v>931</v>
      </c>
      <c r="W12" s="445">
        <f t="shared" si="2"/>
        <v>100</v>
      </c>
      <c r="X12" s="446"/>
      <c r="Y12" s="3341"/>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3"/>
      <c r="Q13" s="447">
        <f t="shared" si="6"/>
        <v>111</v>
      </c>
      <c r="R13" s="444" t="s">
        <v>931</v>
      </c>
      <c r="S13" s="445">
        <f t="shared" si="0"/>
        <v>100</v>
      </c>
      <c r="T13" s="444" t="s">
        <v>931</v>
      </c>
      <c r="U13" s="445">
        <f t="shared" si="1"/>
        <v>100</v>
      </c>
      <c r="V13" s="444" t="s">
        <v>931</v>
      </c>
      <c r="W13" s="445">
        <f t="shared" si="2"/>
        <v>100</v>
      </c>
      <c r="X13" s="446"/>
      <c r="Y13" s="3341"/>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3"/>
      <c r="Q14" s="447">
        <f t="shared" si="6"/>
        <v>111</v>
      </c>
      <c r="R14" s="444" t="s">
        <v>931</v>
      </c>
      <c r="S14" s="445">
        <f t="shared" si="0"/>
        <v>100</v>
      </c>
      <c r="T14" s="444" t="s">
        <v>931</v>
      </c>
      <c r="U14" s="445">
        <f t="shared" si="1"/>
        <v>100</v>
      </c>
      <c r="V14" s="444" t="s">
        <v>931</v>
      </c>
      <c r="W14" s="445">
        <f t="shared" si="2"/>
        <v>100</v>
      </c>
      <c r="X14" s="446"/>
      <c r="Y14" s="3341"/>
      <c r="Z14" s="464">
        <f t="shared" si="7"/>
        <v>111</v>
      </c>
      <c r="AA14" s="463">
        <f t="shared" si="3"/>
        <v>1</v>
      </c>
      <c r="AB14" s="463">
        <f t="shared" si="4"/>
        <v>1</v>
      </c>
      <c r="AC14" s="463">
        <f t="shared" si="5"/>
        <v>1</v>
      </c>
    </row>
    <row r="15" spans="1:29" ht="69">
      <c r="A15" s="248" t="s">
        <v>944</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4" t="s">
        <v>945</v>
      </c>
      <c r="Q15" s="383" t="str">
        <f t="shared" si="6"/>
        <v>产业集聚程度</v>
      </c>
      <c r="R15" s="448" t="s">
        <v>931</v>
      </c>
      <c r="S15" s="449">
        <f t="shared" si="0"/>
        <v>100</v>
      </c>
      <c r="T15" s="448" t="s">
        <v>931</v>
      </c>
      <c r="U15" s="449">
        <f t="shared" si="1"/>
        <v>100</v>
      </c>
      <c r="V15" s="448" t="s">
        <v>931</v>
      </c>
      <c r="W15" s="449">
        <f t="shared" si="2"/>
        <v>100</v>
      </c>
      <c r="X15" s="443"/>
      <c r="Y15" s="3354" t="s">
        <v>945</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5"/>
      <c r="Q16" s="383"/>
      <c r="R16" s="448"/>
      <c r="S16" s="449"/>
      <c r="T16" s="448"/>
      <c r="U16" s="449"/>
      <c r="V16" s="448"/>
      <c r="W16" s="449"/>
      <c r="X16" s="443"/>
      <c r="Y16" s="3355"/>
      <c r="Z16" s="442"/>
      <c r="AA16" s="454">
        <v>1</v>
      </c>
      <c r="AB16" s="454">
        <v>1</v>
      </c>
      <c r="AC16" s="454">
        <v>1</v>
      </c>
    </row>
    <row r="17" spans="1:29" ht="96.6">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5"/>
      <c r="Q17" s="383" t="str">
        <f>B17</f>
        <v>交通便捷度</v>
      </c>
      <c r="R17" s="448" t="s">
        <v>931</v>
      </c>
      <c r="S17" s="449">
        <f>F17</f>
        <v>100</v>
      </c>
      <c r="T17" s="448" t="s">
        <v>931</v>
      </c>
      <c r="U17" s="449">
        <f>H17</f>
        <v>100</v>
      </c>
      <c r="V17" s="448" t="s">
        <v>931</v>
      </c>
      <c r="W17" s="449">
        <f>J17</f>
        <v>100</v>
      </c>
      <c r="X17" s="443"/>
      <c r="Y17" s="3355"/>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5"/>
      <c r="Q18" s="383"/>
      <c r="R18" s="448"/>
      <c r="S18" s="449"/>
      <c r="T18" s="448"/>
      <c r="U18" s="449"/>
      <c r="V18" s="448"/>
      <c r="W18" s="449"/>
      <c r="X18" s="443"/>
      <c r="Y18" s="3355"/>
      <c r="Z18" s="442"/>
      <c r="AA18" s="454">
        <v>1</v>
      </c>
      <c r="AB18" s="454">
        <v>1</v>
      </c>
      <c r="AC18" s="454">
        <v>1</v>
      </c>
    </row>
    <row r="19" spans="1:29" ht="41.4">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5"/>
      <c r="Q19" s="383" t="str">
        <f>B19</f>
        <v>公共配套设施</v>
      </c>
      <c r="R19" s="448" t="s">
        <v>931</v>
      </c>
      <c r="S19" s="449">
        <f>F19</f>
        <v>100</v>
      </c>
      <c r="T19" s="448" t="s">
        <v>931</v>
      </c>
      <c r="U19" s="449">
        <f>H19</f>
        <v>100</v>
      </c>
      <c r="V19" s="448" t="s">
        <v>931</v>
      </c>
      <c r="W19" s="449">
        <f>J19</f>
        <v>100</v>
      </c>
      <c r="X19" s="443"/>
      <c r="Y19" s="3355"/>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5"/>
      <c r="Q20" s="383"/>
      <c r="R20" s="448"/>
      <c r="S20" s="449"/>
      <c r="T20" s="448"/>
      <c r="U20" s="449"/>
      <c r="V20" s="448"/>
      <c r="W20" s="449"/>
      <c r="X20" s="443"/>
      <c r="Y20" s="3355"/>
      <c r="Z20" s="442"/>
      <c r="AA20" s="454">
        <v>1</v>
      </c>
      <c r="AB20" s="454">
        <v>1</v>
      </c>
      <c r="AC20" s="454">
        <v>1</v>
      </c>
    </row>
    <row r="21" spans="1:29" ht="41.4">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5"/>
      <c r="Q21" s="383" t="str">
        <f>B21</f>
        <v>基础设施水平</v>
      </c>
      <c r="R21" s="448" t="s">
        <v>931</v>
      </c>
      <c r="S21" s="449">
        <f>F21</f>
        <v>100</v>
      </c>
      <c r="T21" s="448" t="s">
        <v>931</v>
      </c>
      <c r="U21" s="449">
        <f>H21</f>
        <v>100</v>
      </c>
      <c r="V21" s="448" t="s">
        <v>931</v>
      </c>
      <c r="W21" s="449">
        <f>J21</f>
        <v>100</v>
      </c>
      <c r="X21" s="443"/>
      <c r="Y21" s="3355"/>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5"/>
      <c r="Q22" s="383"/>
      <c r="R22" s="448"/>
      <c r="S22" s="449"/>
      <c r="T22" s="448"/>
      <c r="U22" s="449"/>
      <c r="V22" s="448"/>
      <c r="W22" s="449"/>
      <c r="X22" s="443"/>
      <c r="Y22" s="3355"/>
      <c r="Z22" s="442"/>
      <c r="AA22" s="454">
        <v>1</v>
      </c>
      <c r="AB22" s="454">
        <v>1</v>
      </c>
      <c r="AC22" s="454">
        <v>1</v>
      </c>
    </row>
    <row r="23" spans="1:29" ht="82.8">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5"/>
      <c r="Q23" s="383" t="str">
        <f>B23</f>
        <v>环境质量</v>
      </c>
      <c r="R23" s="448" t="s">
        <v>931</v>
      </c>
      <c r="S23" s="449">
        <f>F23</f>
        <v>100</v>
      </c>
      <c r="T23" s="448" t="s">
        <v>931</v>
      </c>
      <c r="U23" s="449">
        <f>H23</f>
        <v>100</v>
      </c>
      <c r="V23" s="448" t="s">
        <v>931</v>
      </c>
      <c r="W23" s="449">
        <f>J23</f>
        <v>100</v>
      </c>
      <c r="X23" s="443"/>
      <c r="Y23" s="3355"/>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5"/>
      <c r="Q24" s="383"/>
      <c r="R24" s="448"/>
      <c r="S24" s="449"/>
      <c r="T24" s="448"/>
      <c r="U24" s="449"/>
      <c r="V24" s="448"/>
      <c r="W24" s="449"/>
      <c r="X24" s="443"/>
      <c r="Y24" s="3355"/>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5"/>
      <c r="Q25" s="383">
        <f>B25</f>
        <v>111</v>
      </c>
      <c r="R25" s="448" t="s">
        <v>931</v>
      </c>
      <c r="S25" s="449">
        <f>F25</f>
        <v>100</v>
      </c>
      <c r="T25" s="448" t="s">
        <v>931</v>
      </c>
      <c r="U25" s="449">
        <f>H25</f>
        <v>100</v>
      </c>
      <c r="V25" s="448" t="s">
        <v>931</v>
      </c>
      <c r="W25" s="449">
        <f>J25</f>
        <v>100</v>
      </c>
      <c r="X25" s="443"/>
      <c r="Y25" s="3355"/>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5"/>
      <c r="Q26" s="383">
        <f t="shared" ref="Q26:Q40" si="11">B26</f>
        <v>111</v>
      </c>
      <c r="R26" s="448" t="s">
        <v>931</v>
      </c>
      <c r="S26" s="449">
        <f>F26</f>
        <v>100</v>
      </c>
      <c r="T26" s="448" t="s">
        <v>931</v>
      </c>
      <c r="U26" s="449">
        <f>H26</f>
        <v>100</v>
      </c>
      <c r="V26" s="448" t="s">
        <v>931</v>
      </c>
      <c r="W26" s="449">
        <f>J26</f>
        <v>100</v>
      </c>
      <c r="X26" s="443"/>
      <c r="Y26" s="3355"/>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5"/>
      <c r="Q27" s="447">
        <f t="shared" si="11"/>
        <v>111</v>
      </c>
      <c r="R27" s="444" t="s">
        <v>931</v>
      </c>
      <c r="S27" s="445">
        <f>F27</f>
        <v>100</v>
      </c>
      <c r="T27" s="444" t="s">
        <v>931</v>
      </c>
      <c r="U27" s="445">
        <f>H27</f>
        <v>100</v>
      </c>
      <c r="V27" s="444" t="s">
        <v>931</v>
      </c>
      <c r="W27" s="445">
        <f>J27</f>
        <v>100</v>
      </c>
      <c r="X27" s="446"/>
      <c r="Y27" s="3355"/>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5"/>
      <c r="Q28" s="383">
        <f t="shared" si="11"/>
        <v>111</v>
      </c>
      <c r="R28" s="448" t="s">
        <v>931</v>
      </c>
      <c r="S28" s="449">
        <f t="shared" ref="S28:S40" si="12">F28</f>
        <v>100</v>
      </c>
      <c r="T28" s="448" t="s">
        <v>931</v>
      </c>
      <c r="U28" s="449">
        <f t="shared" ref="U28:U40" si="13">H28</f>
        <v>100</v>
      </c>
      <c r="V28" s="448" t="s">
        <v>931</v>
      </c>
      <c r="W28" s="449">
        <f t="shared" ref="W28:W40" si="14">J28</f>
        <v>100</v>
      </c>
      <c r="X28" s="443"/>
      <c r="Y28" s="3355"/>
      <c r="Z28" s="442">
        <f t="shared" ref="Z28:Z40" si="15">Q28</f>
        <v>111</v>
      </c>
      <c r="AA28" s="454">
        <f t="shared" si="3"/>
        <v>1</v>
      </c>
      <c r="AB28" s="454">
        <f t="shared" si="4"/>
        <v>1</v>
      </c>
      <c r="AC28" s="454">
        <f t="shared" si="5"/>
        <v>1</v>
      </c>
    </row>
    <row r="29" spans="1:29" ht="15">
      <c r="A29" s="283" t="s">
        <v>955</v>
      </c>
      <c r="B29" s="284" t="s">
        <v>1282</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6" t="s">
        <v>954</v>
      </c>
      <c r="Q29" s="383" t="str">
        <f t="shared" si="11"/>
        <v>建筑类型</v>
      </c>
      <c r="R29" s="448" t="s">
        <v>931</v>
      </c>
      <c r="S29" s="449">
        <f t="shared" si="12"/>
        <v>100</v>
      </c>
      <c r="T29" s="448" t="s">
        <v>931</v>
      </c>
      <c r="U29" s="449">
        <f t="shared" si="13"/>
        <v>100</v>
      </c>
      <c r="V29" s="448" t="s">
        <v>931</v>
      </c>
      <c r="W29" s="449">
        <f t="shared" si="14"/>
        <v>100</v>
      </c>
      <c r="X29" s="443"/>
      <c r="Y29" s="3357" t="s">
        <v>954</v>
      </c>
      <c r="Z29" s="442" t="str">
        <f t="shared" si="15"/>
        <v>建筑类型</v>
      </c>
      <c r="AA29" s="454">
        <f t="shared" si="3"/>
        <v>1</v>
      </c>
      <c r="AB29" s="454">
        <f t="shared" si="4"/>
        <v>1</v>
      </c>
      <c r="AC29" s="454">
        <f t="shared" si="5"/>
        <v>1</v>
      </c>
    </row>
    <row r="30" spans="1:29" s="192" customFormat="1" ht="15">
      <c r="A30" s="288"/>
      <c r="B30" s="289" t="s">
        <v>1286</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7"/>
      <c r="Q30" s="450" t="str">
        <f t="shared" si="11"/>
        <v>项目建筑规模</v>
      </c>
      <c r="R30" s="451" t="s">
        <v>931</v>
      </c>
      <c r="S30" s="452" t="e">
        <f t="shared" si="12"/>
        <v>#N/A</v>
      </c>
      <c r="T30" s="451" t="s">
        <v>931</v>
      </c>
      <c r="U30" s="452" t="e">
        <f t="shared" si="13"/>
        <v>#N/A</v>
      </c>
      <c r="V30" s="451" t="s">
        <v>931</v>
      </c>
      <c r="W30" s="452" t="e">
        <f t="shared" si="14"/>
        <v>#N/A</v>
      </c>
      <c r="X30" s="453"/>
      <c r="Y30" s="3357"/>
      <c r="Z30" s="465" t="str">
        <f t="shared" si="15"/>
        <v>项目建筑规模</v>
      </c>
      <c r="AA30" s="454" t="e">
        <f t="shared" si="3"/>
        <v>#N/A</v>
      </c>
      <c r="AB30" s="454" t="e">
        <f t="shared" si="4"/>
        <v>#N/A</v>
      </c>
      <c r="AC30" s="454" t="e">
        <f t="shared" si="5"/>
        <v>#N/A</v>
      </c>
    </row>
    <row r="31" spans="1:29" ht="15">
      <c r="A31" s="293"/>
      <c r="B31" s="289" t="s">
        <v>1287</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7"/>
      <c r="Q31" s="383" t="str">
        <f t="shared" si="11"/>
        <v>建筑结构</v>
      </c>
      <c r="R31" s="448" t="s">
        <v>931</v>
      </c>
      <c r="S31" s="449">
        <f t="shared" si="12"/>
        <v>100</v>
      </c>
      <c r="T31" s="448" t="s">
        <v>931</v>
      </c>
      <c r="U31" s="449">
        <f t="shared" si="13"/>
        <v>100</v>
      </c>
      <c r="V31" s="448" t="s">
        <v>931</v>
      </c>
      <c r="W31" s="449">
        <f t="shared" si="14"/>
        <v>100</v>
      </c>
      <c r="X31" s="443"/>
      <c r="Y31" s="3357"/>
      <c r="Z31" s="442" t="str">
        <f t="shared" si="15"/>
        <v>建筑结构</v>
      </c>
      <c r="AA31" s="454">
        <f t="shared" si="3"/>
        <v>1</v>
      </c>
      <c r="AB31" s="454">
        <f t="shared" si="4"/>
        <v>1</v>
      </c>
      <c r="AC31" s="454">
        <f t="shared" si="5"/>
        <v>1</v>
      </c>
    </row>
    <row r="32" spans="1:29" ht="15">
      <c r="A32" s="293"/>
      <c r="B32" s="289" t="s">
        <v>1289</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7"/>
      <c r="Q32" s="383" t="str">
        <f t="shared" si="11"/>
        <v>公共部分装修</v>
      </c>
      <c r="R32" s="448" t="s">
        <v>931</v>
      </c>
      <c r="S32" s="449">
        <f t="shared" si="12"/>
        <v>100</v>
      </c>
      <c r="T32" s="448" t="s">
        <v>931</v>
      </c>
      <c r="U32" s="449">
        <f t="shared" si="13"/>
        <v>100</v>
      </c>
      <c r="V32" s="448" t="s">
        <v>931</v>
      </c>
      <c r="W32" s="449">
        <f t="shared" si="14"/>
        <v>100</v>
      </c>
      <c r="X32" s="443"/>
      <c r="Y32" s="3357"/>
      <c r="Z32" s="442" t="str">
        <f t="shared" si="15"/>
        <v>公共部分装修</v>
      </c>
      <c r="AA32" s="454">
        <f t="shared" si="3"/>
        <v>1</v>
      </c>
      <c r="AB32" s="454">
        <f t="shared" si="4"/>
        <v>1</v>
      </c>
      <c r="AC32" s="454">
        <f t="shared" si="5"/>
        <v>1</v>
      </c>
    </row>
    <row r="33" spans="1:29" ht="15">
      <c r="A33" s="293"/>
      <c r="B33" s="289" t="s">
        <v>1290</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7"/>
      <c r="Q33" s="383" t="str">
        <f t="shared" si="11"/>
        <v>成新度</v>
      </c>
      <c r="R33" s="448" t="s">
        <v>931</v>
      </c>
      <c r="S33" s="449" t="e">
        <f t="shared" si="12"/>
        <v>#N/A</v>
      </c>
      <c r="T33" s="448" t="s">
        <v>931</v>
      </c>
      <c r="U33" s="449" t="e">
        <f t="shared" si="13"/>
        <v>#N/A</v>
      </c>
      <c r="V33" s="448" t="s">
        <v>931</v>
      </c>
      <c r="W33" s="449" t="e">
        <f t="shared" si="14"/>
        <v>#N/A</v>
      </c>
      <c r="X33" s="443"/>
      <c r="Y33" s="3357"/>
      <c r="Z33" s="442" t="str">
        <f t="shared" si="15"/>
        <v>成新度</v>
      </c>
      <c r="AA33" s="454" t="e">
        <f t="shared" si="3"/>
        <v>#N/A</v>
      </c>
      <c r="AB33" s="454" t="e">
        <f t="shared" si="4"/>
        <v>#N/A</v>
      </c>
      <c r="AC33" s="454" t="e">
        <f t="shared" si="5"/>
        <v>#N/A</v>
      </c>
    </row>
    <row r="34" spans="1:29" s="190" customFormat="1" ht="15">
      <c r="A34" s="296"/>
      <c r="B34" s="289" t="s">
        <v>1291</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7"/>
      <c r="Q34" s="447" t="str">
        <f t="shared" si="11"/>
        <v>物业管理</v>
      </c>
      <c r="R34" s="444" t="s">
        <v>931</v>
      </c>
      <c r="S34" s="445">
        <f t="shared" si="12"/>
        <v>100</v>
      </c>
      <c r="T34" s="444" t="s">
        <v>931</v>
      </c>
      <c r="U34" s="445">
        <f t="shared" si="13"/>
        <v>100</v>
      </c>
      <c r="V34" s="444" t="s">
        <v>931</v>
      </c>
      <c r="W34" s="445">
        <f t="shared" si="14"/>
        <v>100</v>
      </c>
      <c r="X34" s="446"/>
      <c r="Y34" s="3357"/>
      <c r="Z34" s="464" t="str">
        <f t="shared" si="15"/>
        <v>物业管理</v>
      </c>
      <c r="AA34" s="463">
        <f t="shared" si="3"/>
        <v>1</v>
      </c>
      <c r="AB34" s="463">
        <f t="shared" si="4"/>
        <v>1</v>
      </c>
      <c r="AC34" s="463">
        <f t="shared" si="5"/>
        <v>1</v>
      </c>
    </row>
    <row r="35" spans="1:29" ht="15">
      <c r="A35" s="293"/>
      <c r="B35" s="544" t="s">
        <v>1292</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7" t="s">
        <v>954</v>
      </c>
      <c r="Q35" s="383" t="str">
        <f t="shared" si="11"/>
        <v>市政基础设施</v>
      </c>
      <c r="R35" s="448" t="s">
        <v>931</v>
      </c>
      <c r="S35" s="449">
        <f t="shared" si="12"/>
        <v>100</v>
      </c>
      <c r="T35" s="448" t="s">
        <v>931</v>
      </c>
      <c r="U35" s="449">
        <f t="shared" si="13"/>
        <v>100</v>
      </c>
      <c r="V35" s="448" t="s">
        <v>931</v>
      </c>
      <c r="W35" s="449">
        <f t="shared" si="14"/>
        <v>100</v>
      </c>
      <c r="X35" s="443"/>
      <c r="Y35" s="3357" t="s">
        <v>954</v>
      </c>
      <c r="Z35" s="442" t="str">
        <f t="shared" si="15"/>
        <v>市政基础设施</v>
      </c>
      <c r="AA35" s="454">
        <f t="shared" si="3"/>
        <v>1</v>
      </c>
      <c r="AB35" s="454">
        <f t="shared" si="4"/>
        <v>1</v>
      </c>
      <c r="AC35" s="454">
        <f t="shared" si="5"/>
        <v>1</v>
      </c>
    </row>
    <row r="36" spans="1:29" ht="15">
      <c r="A36" s="293"/>
      <c r="B36" s="289" t="s">
        <v>1295</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7"/>
      <c r="Q36" s="383" t="str">
        <f t="shared" si="11"/>
        <v>内部装修</v>
      </c>
      <c r="R36" s="448" t="s">
        <v>931</v>
      </c>
      <c r="S36" s="449">
        <f t="shared" si="12"/>
        <v>100</v>
      </c>
      <c r="T36" s="448" t="s">
        <v>931</v>
      </c>
      <c r="U36" s="449">
        <f t="shared" si="13"/>
        <v>100</v>
      </c>
      <c r="V36" s="448" t="s">
        <v>931</v>
      </c>
      <c r="W36" s="449">
        <f t="shared" si="14"/>
        <v>100</v>
      </c>
      <c r="X36" s="443"/>
      <c r="Y36" s="3357"/>
      <c r="Z36" s="442" t="str">
        <f t="shared" si="15"/>
        <v>内部装修</v>
      </c>
      <c r="AA36" s="454">
        <f t="shared" si="3"/>
        <v>1</v>
      </c>
      <c r="AB36" s="454">
        <f t="shared" si="4"/>
        <v>1</v>
      </c>
      <c r="AC36" s="454">
        <f t="shared" si="5"/>
        <v>1</v>
      </c>
    </row>
    <row r="37" spans="1:29" ht="15">
      <c r="A37" s="293"/>
      <c r="B37" s="289" t="s">
        <v>2374</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7"/>
      <c r="Q37" s="383" t="str">
        <f t="shared" si="11"/>
        <v>内部装修状况</v>
      </c>
      <c r="R37" s="448" t="s">
        <v>931</v>
      </c>
      <c r="S37" s="449">
        <f t="shared" si="12"/>
        <v>100</v>
      </c>
      <c r="T37" s="448" t="s">
        <v>931</v>
      </c>
      <c r="U37" s="449">
        <f t="shared" si="13"/>
        <v>100</v>
      </c>
      <c r="V37" s="448" t="s">
        <v>931</v>
      </c>
      <c r="W37" s="449">
        <f t="shared" si="14"/>
        <v>100</v>
      </c>
      <c r="X37" s="443"/>
      <c r="Y37" s="3357"/>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7"/>
      <c r="Q38" s="450">
        <f t="shared" si="11"/>
        <v>111</v>
      </c>
      <c r="R38" s="451" t="s">
        <v>931</v>
      </c>
      <c r="S38" s="452">
        <f t="shared" si="12"/>
        <v>100</v>
      </c>
      <c r="T38" s="451" t="s">
        <v>931</v>
      </c>
      <c r="U38" s="452">
        <f t="shared" si="13"/>
        <v>100</v>
      </c>
      <c r="V38" s="451" t="s">
        <v>931</v>
      </c>
      <c r="W38" s="452">
        <f t="shared" si="14"/>
        <v>100</v>
      </c>
      <c r="X38" s="453"/>
      <c r="Y38" s="3357"/>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7"/>
      <c r="Q39" s="383">
        <f t="shared" si="11"/>
        <v>111</v>
      </c>
      <c r="R39" s="448" t="s">
        <v>931</v>
      </c>
      <c r="S39" s="449">
        <f t="shared" si="12"/>
        <v>100</v>
      </c>
      <c r="T39" s="448" t="s">
        <v>931</v>
      </c>
      <c r="U39" s="449">
        <f t="shared" si="13"/>
        <v>100</v>
      </c>
      <c r="V39" s="448" t="s">
        <v>931</v>
      </c>
      <c r="W39" s="449">
        <f t="shared" si="14"/>
        <v>100</v>
      </c>
      <c r="X39" s="443"/>
      <c r="Y39" s="3357"/>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22"/>
      <c r="Q40" s="383">
        <f t="shared" si="11"/>
        <v>111</v>
      </c>
      <c r="R40" s="448" t="s">
        <v>931</v>
      </c>
      <c r="S40" s="449">
        <f t="shared" si="12"/>
        <v>100</v>
      </c>
      <c r="T40" s="448" t="s">
        <v>931</v>
      </c>
      <c r="U40" s="449">
        <f t="shared" si="13"/>
        <v>100</v>
      </c>
      <c r="V40" s="448" t="s">
        <v>931</v>
      </c>
      <c r="W40" s="449">
        <f t="shared" si="14"/>
        <v>100</v>
      </c>
      <c r="X40" s="443"/>
      <c r="Y40" s="3422"/>
      <c r="Z40" s="442">
        <f t="shared" si="15"/>
        <v>111</v>
      </c>
      <c r="AA40" s="454">
        <f t="shared" si="3"/>
        <v>1</v>
      </c>
      <c r="AB40" s="454">
        <f t="shared" si="4"/>
        <v>1</v>
      </c>
      <c r="AC40" s="454">
        <f t="shared" si="5"/>
        <v>1</v>
      </c>
    </row>
    <row r="41" spans="1:29" ht="14.4">
      <c r="A41" s="303" t="s">
        <v>1297</v>
      </c>
      <c r="B41" s="304"/>
      <c r="C41" s="305" t="s">
        <v>138</v>
      </c>
      <c r="D41" s="306"/>
      <c r="E41" s="307"/>
      <c r="F41" s="308"/>
      <c r="G41" s="309"/>
      <c r="H41" s="310"/>
      <c r="I41" s="307"/>
      <c r="J41" s="310"/>
      <c r="K41" s="397"/>
      <c r="L41" s="398"/>
      <c r="M41" s="319"/>
      <c r="N41" s="378"/>
      <c r="O41" s="319"/>
      <c r="P41" s="3353" t="str">
        <f>A41</f>
        <v>成交单价（元/平方米）</v>
      </c>
      <c r="Q41" s="3353"/>
      <c r="R41" s="3421">
        <f>E41</f>
        <v>0</v>
      </c>
      <c r="S41" s="3421"/>
      <c r="T41" s="3421">
        <f>G41</f>
        <v>0</v>
      </c>
      <c r="U41" s="3421"/>
      <c r="V41" s="3421">
        <f>I41</f>
        <v>0</v>
      </c>
      <c r="W41" s="3421"/>
      <c r="X41" s="330"/>
      <c r="Y41" s="466"/>
      <c r="Z41" s="330"/>
      <c r="AA41" s="330"/>
      <c r="AB41" s="330"/>
      <c r="AC41" s="330"/>
    </row>
    <row r="42" spans="1:29" ht="14.4">
      <c r="A42" s="311" t="s">
        <v>965</v>
      </c>
      <c r="B42" s="312"/>
      <c r="C42" s="313" t="e">
        <f>R43</f>
        <v>#DIV/0!</v>
      </c>
      <c r="D42" s="314"/>
      <c r="E42" s="315" t="e">
        <f>R42</f>
        <v>#DIV/0!</v>
      </c>
      <c r="F42" s="315"/>
      <c r="G42" s="313" t="e">
        <f>T42</f>
        <v>#DIV/0!</v>
      </c>
      <c r="H42" s="314"/>
      <c r="I42" s="315" t="e">
        <f>V42</f>
        <v>#DIV/0!</v>
      </c>
      <c r="J42" s="314"/>
      <c r="K42" s="399"/>
      <c r="L42" s="398"/>
      <c r="M42" s="319"/>
      <c r="N42" s="378"/>
      <c r="O42" s="319"/>
      <c r="P42" s="3353" t="str">
        <f>A42</f>
        <v>比较价格（元/平方米）</v>
      </c>
      <c r="Q42" s="3353"/>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30"/>
      <c r="Y42" s="330"/>
      <c r="Z42" s="330"/>
      <c r="AA42" s="330"/>
      <c r="AB42" s="330"/>
      <c r="AC42" s="330"/>
    </row>
    <row r="43" spans="1:29" ht="14.4">
      <c r="A43" s="316" t="s">
        <v>966</v>
      </c>
      <c r="B43" s="317"/>
      <c r="C43" s="318" t="e">
        <f>R43</f>
        <v>#DIV/0!</v>
      </c>
      <c r="D43" s="318"/>
      <c r="E43" s="318"/>
      <c r="F43" s="318"/>
      <c r="G43" s="318"/>
      <c r="H43" s="318"/>
      <c r="I43" s="318"/>
      <c r="J43" s="318"/>
      <c r="K43" s="400"/>
      <c r="L43" s="398"/>
      <c r="M43" s="319"/>
      <c r="N43" s="319"/>
      <c r="O43" s="319"/>
      <c r="P43" s="3359" t="str">
        <f>A43</f>
        <v>估价对象XX用房的比较价格（楼面单价，元/平方米）</v>
      </c>
      <c r="Q43" s="3360"/>
      <c r="R43" s="3423" t="e">
        <f>IF(F1="售价",ROUND(AVERAGE(R42:V42),0),ROUND(AVERAGE(R42:V42),1))</f>
        <v>#DIV/0!</v>
      </c>
      <c r="S43" s="3423"/>
      <c r="T43" s="3423"/>
      <c r="U43" s="3423"/>
      <c r="V43" s="3423"/>
      <c r="W43" s="3423"/>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967</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968</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969</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6">
      <c r="A51" s="329" t="s">
        <v>991</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4.4">
      <c r="A52" s="333" t="s">
        <v>929</v>
      </c>
      <c r="B52" s="334"/>
      <c r="C52" s="335" t="str">
        <f>YEAR(C7)&amp;"-"&amp;MONTH(C7)</f>
        <v>2019-7</v>
      </c>
      <c r="D52" s="336">
        <f>EDATE(C52,-1)</f>
        <v>43617</v>
      </c>
      <c r="E52" s="336">
        <f t="shared" ref="E52:O52" si="16">EDATE(D52,-1)</f>
        <v>43586</v>
      </c>
      <c r="F52" s="336">
        <f t="shared" si="16"/>
        <v>43556</v>
      </c>
      <c r="G52" s="336">
        <f t="shared" si="16"/>
        <v>43525</v>
      </c>
      <c r="H52" s="336">
        <f t="shared" si="16"/>
        <v>43497</v>
      </c>
      <c r="I52" s="336">
        <f t="shared" si="16"/>
        <v>43466</v>
      </c>
      <c r="J52" s="336">
        <f t="shared" si="16"/>
        <v>43435</v>
      </c>
      <c r="K52" s="336">
        <f t="shared" si="16"/>
        <v>43405</v>
      </c>
      <c r="L52" s="336">
        <f t="shared" si="16"/>
        <v>43374</v>
      </c>
      <c r="M52" s="336">
        <f t="shared" si="16"/>
        <v>43344</v>
      </c>
      <c r="N52" s="336">
        <f t="shared" si="16"/>
        <v>43313</v>
      </c>
      <c r="O52" s="336">
        <f t="shared" si="16"/>
        <v>43282</v>
      </c>
      <c r="P52" s="409"/>
      <c r="Q52" s="455"/>
      <c r="R52" s="455"/>
      <c r="S52" s="455"/>
      <c r="T52" s="455"/>
      <c r="U52" s="455"/>
      <c r="V52" s="455"/>
      <c r="W52" s="455"/>
      <c r="X52" s="455"/>
      <c r="Y52" s="455"/>
      <c r="Z52" s="455"/>
      <c r="AA52" s="455"/>
      <c r="AB52" s="455"/>
      <c r="AC52" s="455"/>
    </row>
    <row r="53" spans="1:29" s="190" customFormat="1">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4.4">
      <c r="A54" s="341" t="s">
        <v>1108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4.4">
      <c r="A55" s="345" t="s">
        <v>932</v>
      </c>
      <c r="B55" s="338"/>
      <c r="C55" s="346" t="s">
        <v>933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ht="14.4">
      <c r="A57" s="348" t="s">
        <v>995</v>
      </c>
      <c r="B57" s="349" t="s">
        <v>996</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8.8">
      <c r="A59" s="352"/>
      <c r="B59" s="355" t="s">
        <v>997</v>
      </c>
      <c r="C59" s="356" t="s">
        <v>1298</v>
      </c>
      <c r="D59" s="356" t="s">
        <v>1299</v>
      </c>
      <c r="E59" s="356" t="s">
        <v>1300</v>
      </c>
      <c r="F59" s="356" t="s">
        <v>1301</v>
      </c>
      <c r="G59" s="356" t="s">
        <v>1302</v>
      </c>
      <c r="H59" s="356" t="s">
        <v>1303</v>
      </c>
      <c r="I59" s="356" t="s">
        <v>1304</v>
      </c>
      <c r="J59" s="356"/>
      <c r="K59" s="426"/>
      <c r="L59" s="427"/>
      <c r="M59" s="428"/>
      <c r="N59" s="422"/>
      <c r="O59" s="422"/>
      <c r="P59" s="423"/>
      <c r="Q59" s="412"/>
      <c r="R59" s="319"/>
      <c r="S59" s="319"/>
      <c r="T59" s="319"/>
      <c r="U59" s="319"/>
      <c r="V59" s="319"/>
      <c r="W59" s="319"/>
      <c r="X59" s="319"/>
      <c r="Y59" s="319"/>
      <c r="Z59" s="319"/>
      <c r="AA59" s="319"/>
      <c r="AB59" s="319"/>
      <c r="AC59" s="319"/>
    </row>
    <row r="60" spans="1:29">
      <c r="A60" s="352"/>
      <c r="B60" s="357"/>
      <c r="C60" s="358" t="s">
        <v>990</v>
      </c>
      <c r="D60" s="358" t="s">
        <v>990</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4.4">
      <c r="A61" s="352"/>
      <c r="B61" s="469" t="s">
        <v>998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ht="14.4">
      <c r="A70" s="348" t="s">
        <v>999</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4.4">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4.4">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4.4">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ht="14.4">
      <c r="A88" s="348" t="s">
        <v>1008</v>
      </c>
      <c r="B88" s="349" t="s">
        <v>1282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4.4">
      <c r="A90" s="352"/>
      <c r="B90" s="355" t="s">
        <v>1286</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ht="14.4">
      <c r="A93" s="474"/>
      <c r="B93" s="355" t="s">
        <v>1287</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ht="14.4">
      <c r="A95" s="474"/>
      <c r="B95" s="355" t="s">
        <v>1289</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ht="14.4">
      <c r="A97" s="474"/>
      <c r="B97" s="355" t="s">
        <v>1290</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ht="14.4">
      <c r="A100" s="476"/>
      <c r="B100" s="355" t="s">
        <v>1291</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ht="14.4">
      <c r="A102" s="474"/>
      <c r="B102" s="367" t="s">
        <v>1292</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ht="14.4">
      <c r="A104" s="474"/>
      <c r="B104" s="355" t="s">
        <v>1295</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8.8">
      <c r="A106" s="474"/>
      <c r="B106" s="477" t="s">
        <v>2375</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J56" sqref="J56"/>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1267</v>
      </c>
      <c r="B1" s="199"/>
      <c r="C1" s="200" t="s">
        <v>1269</v>
      </c>
      <c r="D1" s="201"/>
      <c r="E1" s="202"/>
      <c r="F1" s="203"/>
      <c r="G1" s="204" t="s">
        <v>1271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1272</v>
      </c>
      <c r="B3" s="211" t="e">
        <f>IF(B37="元/平方米",C39,ROUND(B2*10000/D3,0))</f>
        <v>#DIV/0!</v>
      </c>
      <c r="C3" s="212" t="s">
        <v>1273</v>
      </c>
      <c r="D3" s="213">
        <f>SUMIF('数据-汇总表'!$C19:$C33,D1,'数据-汇总表'!$E19:$E33)</f>
        <v>0</v>
      </c>
      <c r="E3" s="496" t="s">
        <v>2376</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919</v>
      </c>
      <c r="B4" s="215"/>
      <c r="C4" s="3342" t="s">
        <v>920</v>
      </c>
      <c r="D4" s="3343"/>
      <c r="E4" s="3342" t="s">
        <v>921</v>
      </c>
      <c r="F4" s="3343"/>
      <c r="G4" s="3342" t="s">
        <v>922</v>
      </c>
      <c r="H4" s="3343"/>
      <c r="I4" s="3342" t="s">
        <v>923</v>
      </c>
      <c r="J4" s="3343"/>
      <c r="K4" s="376" t="s">
        <v>924</v>
      </c>
      <c r="L4" s="377"/>
      <c r="M4" s="378"/>
      <c r="N4" s="378"/>
      <c r="O4" s="378"/>
      <c r="P4" s="3370" t="s">
        <v>925</v>
      </c>
      <c r="Q4" s="3371"/>
      <c r="R4" s="3376" t="s">
        <v>921</v>
      </c>
      <c r="S4" s="3377"/>
      <c r="T4" s="3376" t="s">
        <v>922</v>
      </c>
      <c r="U4" s="3377"/>
      <c r="V4" s="3362" t="s">
        <v>923</v>
      </c>
      <c r="W4" s="3362"/>
      <c r="X4" s="443"/>
      <c r="Y4" s="3376" t="s">
        <v>925</v>
      </c>
      <c r="Z4" s="3377"/>
      <c r="AA4" s="3363" t="s">
        <v>921</v>
      </c>
      <c r="AB4" s="3364" t="s">
        <v>922</v>
      </c>
      <c r="AC4" s="3363" t="s">
        <v>923</v>
      </c>
    </row>
    <row r="5" spans="1:29">
      <c r="A5" s="216"/>
      <c r="B5" s="217"/>
      <c r="C5" s="3344" t="s">
        <v>926</v>
      </c>
      <c r="D5" s="3345"/>
      <c r="E5" s="3344" t="s">
        <v>1102</v>
      </c>
      <c r="F5" s="3345"/>
      <c r="G5" s="3344" t="s">
        <v>1103</v>
      </c>
      <c r="H5" s="3345"/>
      <c r="I5" s="3344" t="s">
        <v>1104</v>
      </c>
      <c r="J5" s="3345"/>
      <c r="K5" s="376"/>
      <c r="L5" s="377"/>
      <c r="M5" s="378"/>
      <c r="N5" s="378"/>
      <c r="O5" s="378"/>
      <c r="P5" s="3372"/>
      <c r="Q5" s="3373"/>
      <c r="R5" s="3378"/>
      <c r="S5" s="3379"/>
      <c r="T5" s="3378"/>
      <c r="U5" s="3379"/>
      <c r="V5" s="3362"/>
      <c r="W5" s="3362"/>
      <c r="X5" s="443"/>
      <c r="Y5" s="3378"/>
      <c r="Z5" s="3379"/>
      <c r="AA5" s="3364"/>
      <c r="AB5" s="3364"/>
      <c r="AC5" s="3364"/>
    </row>
    <row r="6" spans="1:29" ht="14.4">
      <c r="A6" s="218"/>
      <c r="B6" s="219"/>
      <c r="C6" s="3348" t="s">
        <v>927</v>
      </c>
      <c r="D6" s="3349"/>
      <c r="E6" s="3346" t="s">
        <v>927</v>
      </c>
      <c r="F6" s="3347"/>
      <c r="G6" s="3348" t="s">
        <v>927</v>
      </c>
      <c r="H6" s="3349"/>
      <c r="I6" s="3348" t="s">
        <v>927</v>
      </c>
      <c r="J6" s="3349"/>
      <c r="K6" s="376" t="s">
        <v>928</v>
      </c>
      <c r="L6" s="377"/>
      <c r="M6" s="378"/>
      <c r="N6" s="378"/>
      <c r="O6" s="378"/>
      <c r="P6" s="3374"/>
      <c r="Q6" s="3375"/>
      <c r="R6" s="3378"/>
      <c r="S6" s="3379"/>
      <c r="T6" s="3380"/>
      <c r="U6" s="3381"/>
      <c r="V6" s="3362"/>
      <c r="W6" s="3362"/>
      <c r="X6" s="443"/>
      <c r="Y6" s="3380"/>
      <c r="Z6" s="3381"/>
      <c r="AA6" s="3365"/>
      <c r="AB6" s="3365"/>
      <c r="AC6" s="3365"/>
    </row>
    <row r="7" spans="1:29" s="190" customFormat="1" ht="14.4">
      <c r="A7" s="220"/>
      <c r="B7" s="221" t="s">
        <v>929</v>
      </c>
      <c r="C7" s="222">
        <f>'数据-取费表'!B2</f>
        <v>43654</v>
      </c>
      <c r="D7" s="223">
        <v>100</v>
      </c>
      <c r="E7" s="224"/>
      <c r="F7" s="225">
        <f>SUMIF(48:48,YEAR(E7)&amp;"-"&amp;MONTH(E7),49:49)</f>
        <v>0</v>
      </c>
      <c r="G7" s="226"/>
      <c r="H7" s="223">
        <f>SUMIF(48:48,YEAR(G7)&amp;"-"&amp;MONTH(G7),49:49)</f>
        <v>0</v>
      </c>
      <c r="I7" s="226"/>
      <c r="J7" s="223">
        <f>SUMIF(48:48,YEAR(I7)&amp;"-"&amp;MONTH(I7),49:49)</f>
        <v>0</v>
      </c>
      <c r="K7" s="379"/>
      <c r="L7" s="380"/>
      <c r="M7" s="381"/>
      <c r="N7" s="381"/>
      <c r="O7" s="381"/>
      <c r="P7" s="3350" t="s">
        <v>930</v>
      </c>
      <c r="Q7" s="3351"/>
      <c r="R7" s="444" t="s">
        <v>931</v>
      </c>
      <c r="S7" s="445">
        <f t="shared" ref="S7:S14" si="0">F7</f>
        <v>0</v>
      </c>
      <c r="T7" s="444" t="s">
        <v>931</v>
      </c>
      <c r="U7" s="445">
        <f t="shared" ref="U7:U14" si="1">H7</f>
        <v>0</v>
      </c>
      <c r="V7" s="444" t="s">
        <v>931</v>
      </c>
      <c r="W7" s="445">
        <f t="shared" ref="W7:W14" si="2">J7</f>
        <v>0</v>
      </c>
      <c r="X7" s="446"/>
      <c r="Y7" s="3350" t="s">
        <v>930</v>
      </c>
      <c r="Z7" s="3382"/>
      <c r="AA7" s="463" t="e">
        <f>D7/F7</f>
        <v>#DIV/0!</v>
      </c>
      <c r="AB7" s="463" t="e">
        <f>D7/H7</f>
        <v>#DIV/0!</v>
      </c>
      <c r="AC7" s="463" t="e">
        <f>D7/J7</f>
        <v>#DIV/0!</v>
      </c>
    </row>
    <row r="8" spans="1:29" s="190" customFormat="1" ht="14.4">
      <c r="A8" s="227"/>
      <c r="B8" s="228" t="s">
        <v>932</v>
      </c>
      <c r="C8" s="229" t="s">
        <v>933</v>
      </c>
      <c r="D8" s="223">
        <v>100</v>
      </c>
      <c r="E8" s="229"/>
      <c r="F8" s="225">
        <f>SUMIF(51:51,E8,52:52)-SUMIF(51:51,C8,52:52)+100</f>
        <v>0</v>
      </c>
      <c r="G8" s="229"/>
      <c r="H8" s="223">
        <f>SUMIF(51:51,G8,52:52)-SUMIF(51:51,C8,52:52)+100</f>
        <v>0</v>
      </c>
      <c r="I8" s="229"/>
      <c r="J8" s="223">
        <f>SUMIF(51:51,I8,52:52)-SUMIF(51:51,C8,52:52)+100</f>
        <v>0</v>
      </c>
      <c r="K8" s="379"/>
      <c r="L8" s="380"/>
      <c r="M8" s="381"/>
      <c r="N8" s="381"/>
      <c r="O8" s="381"/>
      <c r="P8" s="3350" t="s">
        <v>935</v>
      </c>
      <c r="Q8" s="3382"/>
      <c r="R8" s="444" t="s">
        <v>931</v>
      </c>
      <c r="S8" s="445">
        <f t="shared" si="0"/>
        <v>0</v>
      </c>
      <c r="T8" s="444" t="s">
        <v>931</v>
      </c>
      <c r="U8" s="445">
        <f t="shared" si="1"/>
        <v>0</v>
      </c>
      <c r="V8" s="444" t="s">
        <v>931</v>
      </c>
      <c r="W8" s="445">
        <f t="shared" si="2"/>
        <v>0</v>
      </c>
      <c r="X8" s="446"/>
      <c r="Y8" s="3350" t="s">
        <v>935</v>
      </c>
      <c r="Z8" s="3382"/>
      <c r="AA8" s="463" t="e">
        <f t="shared" ref="AA8:AA36" si="3">D8/F8</f>
        <v>#DIV/0!</v>
      </c>
      <c r="AB8" s="463" t="e">
        <f t="shared" ref="AB8:AB36" si="4">D8/H8</f>
        <v>#DIV/0!</v>
      </c>
      <c r="AC8" s="463" t="e">
        <f t="shared" ref="AC8:AC36" si="5">D8/J8</f>
        <v>#DIV/0!</v>
      </c>
    </row>
    <row r="9" spans="1:29" s="190" customFormat="1" ht="14.4">
      <c r="A9" s="230"/>
      <c r="B9" s="231" t="s">
        <v>936</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3" t="s">
        <v>938</v>
      </c>
      <c r="Q9" s="447" t="str">
        <f t="shared" ref="Q9:Q14" si="6">B9</f>
        <v>用途</v>
      </c>
      <c r="R9" s="444" t="s">
        <v>931</v>
      </c>
      <c r="S9" s="445">
        <f t="shared" si="0"/>
        <v>100</v>
      </c>
      <c r="T9" s="444" t="s">
        <v>931</v>
      </c>
      <c r="U9" s="445">
        <f t="shared" si="1"/>
        <v>100</v>
      </c>
      <c r="V9" s="444" t="s">
        <v>931</v>
      </c>
      <c r="W9" s="445">
        <f t="shared" si="2"/>
        <v>100</v>
      </c>
      <c r="X9" s="446"/>
      <c r="Y9" s="3341" t="s">
        <v>939</v>
      </c>
      <c r="Z9" s="464" t="str">
        <f t="shared" ref="Z9:Z14" si="7">Q9</f>
        <v>用途</v>
      </c>
      <c r="AA9" s="463">
        <f t="shared" si="3"/>
        <v>1</v>
      </c>
      <c r="AB9" s="463">
        <f t="shared" si="4"/>
        <v>1</v>
      </c>
      <c r="AC9" s="463">
        <f t="shared" si="5"/>
        <v>1</v>
      </c>
    </row>
    <row r="10" spans="1:29" s="191" customFormat="1" ht="28.8">
      <c r="A10" s="235"/>
      <c r="B10" s="228" t="s">
        <v>940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3"/>
      <c r="Q10" s="447" t="str">
        <f t="shared" si="6"/>
        <v>土地使用年限（年）</v>
      </c>
      <c r="R10" s="444" t="s">
        <v>931</v>
      </c>
      <c r="S10" s="445">
        <f t="shared" si="0"/>
        <v>100</v>
      </c>
      <c r="T10" s="444" t="s">
        <v>931</v>
      </c>
      <c r="U10" s="445">
        <f t="shared" si="1"/>
        <v>100</v>
      </c>
      <c r="V10" s="444" t="s">
        <v>931</v>
      </c>
      <c r="W10" s="445">
        <f t="shared" si="2"/>
        <v>100</v>
      </c>
      <c r="X10" s="446"/>
      <c r="Y10" s="3341"/>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3"/>
      <c r="Q11" s="447">
        <f t="shared" si="6"/>
        <v>111</v>
      </c>
      <c r="R11" s="444" t="s">
        <v>931</v>
      </c>
      <c r="S11" s="445">
        <f t="shared" si="0"/>
        <v>100</v>
      </c>
      <c r="T11" s="444" t="s">
        <v>931</v>
      </c>
      <c r="U11" s="445">
        <f t="shared" si="1"/>
        <v>100</v>
      </c>
      <c r="V11" s="444" t="s">
        <v>931</v>
      </c>
      <c r="W11" s="445">
        <f t="shared" si="2"/>
        <v>100</v>
      </c>
      <c r="X11" s="446"/>
      <c r="Y11" s="3341"/>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3"/>
      <c r="Q12" s="447">
        <f t="shared" si="6"/>
        <v>111</v>
      </c>
      <c r="R12" s="444" t="s">
        <v>931</v>
      </c>
      <c r="S12" s="445">
        <f t="shared" si="0"/>
        <v>100</v>
      </c>
      <c r="T12" s="444" t="s">
        <v>931</v>
      </c>
      <c r="U12" s="445">
        <f t="shared" si="1"/>
        <v>100</v>
      </c>
      <c r="V12" s="444" t="s">
        <v>931</v>
      </c>
      <c r="W12" s="445">
        <f t="shared" si="2"/>
        <v>100</v>
      </c>
      <c r="X12" s="446"/>
      <c r="Y12" s="3341"/>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3"/>
      <c r="Q13" s="447">
        <f t="shared" si="6"/>
        <v>111</v>
      </c>
      <c r="R13" s="444" t="s">
        <v>931</v>
      </c>
      <c r="S13" s="445">
        <f t="shared" si="0"/>
        <v>100</v>
      </c>
      <c r="T13" s="444" t="s">
        <v>931</v>
      </c>
      <c r="U13" s="445">
        <f t="shared" si="1"/>
        <v>100</v>
      </c>
      <c r="V13" s="444" t="s">
        <v>931</v>
      </c>
      <c r="W13" s="445">
        <f t="shared" si="2"/>
        <v>100</v>
      </c>
      <c r="X13" s="446"/>
      <c r="Y13" s="3341"/>
      <c r="Z13" s="464">
        <f t="shared" si="7"/>
        <v>111</v>
      </c>
      <c r="AA13" s="463">
        <f t="shared" si="3"/>
        <v>1</v>
      </c>
      <c r="AB13" s="463">
        <f t="shared" si="4"/>
        <v>1</v>
      </c>
      <c r="AC13" s="463">
        <f t="shared" si="5"/>
        <v>1</v>
      </c>
    </row>
    <row r="14" spans="1:29" ht="15">
      <c r="A14" s="248" t="s">
        <v>944</v>
      </c>
      <c r="B14" s="498" t="s">
        <v>231</v>
      </c>
      <c r="C14" s="250" t="str">
        <f>IF(B1="工业",估价对象房地状况!G4,估价对象房地状况!C6)</f>
        <v>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4" t="s">
        <v>945</v>
      </c>
      <c r="Q14" s="383" t="str">
        <f t="shared" si="6"/>
        <v>交通便捷度</v>
      </c>
      <c r="R14" s="448" t="s">
        <v>931</v>
      </c>
      <c r="S14" s="449">
        <f t="shared" si="0"/>
        <v>100</v>
      </c>
      <c r="T14" s="448" t="s">
        <v>931</v>
      </c>
      <c r="U14" s="449">
        <f t="shared" si="1"/>
        <v>100</v>
      </c>
      <c r="V14" s="448" t="s">
        <v>931</v>
      </c>
      <c r="W14" s="449">
        <f t="shared" si="2"/>
        <v>100</v>
      </c>
      <c r="X14" s="443"/>
      <c r="Y14" s="3354" t="s">
        <v>945</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5"/>
      <c r="Q15" s="383"/>
      <c r="R15" s="448"/>
      <c r="S15" s="449"/>
      <c r="T15" s="448"/>
      <c r="U15" s="449"/>
      <c r="V15" s="448"/>
      <c r="W15" s="449"/>
      <c r="X15" s="443"/>
      <c r="Y15" s="3355"/>
      <c r="Z15" s="442"/>
      <c r="AA15" s="454">
        <v>1</v>
      </c>
      <c r="AB15" s="454">
        <v>1</v>
      </c>
      <c r="AC15" s="454">
        <v>1</v>
      </c>
    </row>
    <row r="16" spans="1:29" ht="15">
      <c r="A16" s="216"/>
      <c r="B16" s="261" t="s">
        <v>233</v>
      </c>
      <c r="C16" s="262" t="str">
        <f>IF(B1="工业",估价对象房地状况!G5,估价对象房地状况!C7)</f>
        <v>较好</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5"/>
      <c r="Q16" s="383" t="str">
        <f>B16</f>
        <v>公共配套设施</v>
      </c>
      <c r="R16" s="448" t="s">
        <v>931</v>
      </c>
      <c r="S16" s="449">
        <f>F16</f>
        <v>100</v>
      </c>
      <c r="T16" s="448" t="s">
        <v>931</v>
      </c>
      <c r="U16" s="449">
        <f>H16</f>
        <v>100</v>
      </c>
      <c r="V16" s="448" t="s">
        <v>931</v>
      </c>
      <c r="W16" s="449">
        <f>J16</f>
        <v>100</v>
      </c>
      <c r="X16" s="443"/>
      <c r="Y16" s="3355"/>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5"/>
      <c r="Q17" s="383"/>
      <c r="R17" s="448"/>
      <c r="S17" s="449"/>
      <c r="T17" s="448"/>
      <c r="U17" s="449"/>
      <c r="V17" s="448"/>
      <c r="W17" s="449"/>
      <c r="X17" s="443"/>
      <c r="Y17" s="3355"/>
      <c r="Z17" s="442"/>
      <c r="AA17" s="454">
        <v>1</v>
      </c>
      <c r="AB17" s="454">
        <v>1</v>
      </c>
      <c r="AC17" s="454">
        <v>1</v>
      </c>
    </row>
    <row r="18" spans="1:29" ht="15">
      <c r="A18" s="216"/>
      <c r="B18" s="269" t="s">
        <v>234</v>
      </c>
      <c r="C18" s="262" t="str">
        <f>IF(B1="工业",估价对象房地状况!G6,估价对象房地状况!C8)</f>
        <v>六通</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5"/>
      <c r="Q18" s="383" t="str">
        <f>B18</f>
        <v>基础设施水平</v>
      </c>
      <c r="R18" s="448" t="s">
        <v>931</v>
      </c>
      <c r="S18" s="449">
        <f>F18</f>
        <v>100</v>
      </c>
      <c r="T18" s="448" t="s">
        <v>931</v>
      </c>
      <c r="U18" s="449">
        <f>H18</f>
        <v>100</v>
      </c>
      <c r="V18" s="448" t="s">
        <v>931</v>
      </c>
      <c r="W18" s="449">
        <f>J18</f>
        <v>100</v>
      </c>
      <c r="X18" s="443"/>
      <c r="Y18" s="3355"/>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5"/>
      <c r="Q19" s="383"/>
      <c r="R19" s="448"/>
      <c r="S19" s="449"/>
      <c r="T19" s="448"/>
      <c r="U19" s="449"/>
      <c r="V19" s="448"/>
      <c r="W19" s="449"/>
      <c r="X19" s="443"/>
      <c r="Y19" s="3355"/>
      <c r="Z19" s="442"/>
      <c r="AA19" s="454">
        <v>1</v>
      </c>
      <c r="AB19" s="454">
        <v>1</v>
      </c>
      <c r="AC19" s="454">
        <v>1</v>
      </c>
    </row>
    <row r="20" spans="1:29" ht="15">
      <c r="A20" s="216"/>
      <c r="B20" s="500" t="s">
        <v>1278</v>
      </c>
      <c r="C20" s="262" t="str">
        <f>IF(B1="工业",估价对象房地状况!G7,估价对象房地状况!C9)</f>
        <v>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5"/>
      <c r="Q20" s="383" t="str">
        <f>B20</f>
        <v>自然及人文环境</v>
      </c>
      <c r="R20" s="448" t="s">
        <v>931</v>
      </c>
      <c r="S20" s="449">
        <f>F20</f>
        <v>100</v>
      </c>
      <c r="T20" s="448" t="s">
        <v>931</v>
      </c>
      <c r="U20" s="449">
        <f>H20</f>
        <v>100</v>
      </c>
      <c r="V20" s="448" t="s">
        <v>931</v>
      </c>
      <c r="W20" s="449">
        <f>J20</f>
        <v>100</v>
      </c>
      <c r="X20" s="443"/>
      <c r="Y20" s="3355"/>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5"/>
      <c r="Q21" s="383"/>
      <c r="R21" s="448"/>
      <c r="S21" s="449"/>
      <c r="T21" s="448"/>
      <c r="U21" s="449"/>
      <c r="V21" s="448"/>
      <c r="W21" s="449"/>
      <c r="X21" s="443"/>
      <c r="Y21" s="3355"/>
      <c r="Z21" s="442"/>
      <c r="AA21" s="454">
        <v>1</v>
      </c>
      <c r="AB21" s="454">
        <v>1</v>
      </c>
      <c r="AC21" s="454">
        <v>1</v>
      </c>
    </row>
    <row r="22" spans="1:29" ht="15">
      <c r="A22" s="216"/>
      <c r="B22" s="500" t="s">
        <v>2363</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5"/>
      <c r="Q22" s="383" t="str">
        <f>B22</f>
        <v>楼层</v>
      </c>
      <c r="R22" s="448" t="s">
        <v>931</v>
      </c>
      <c r="S22" s="449">
        <f>F22</f>
        <v>100</v>
      </c>
      <c r="T22" s="448" t="s">
        <v>931</v>
      </c>
      <c r="U22" s="449">
        <f>H22</f>
        <v>100</v>
      </c>
      <c r="V22" s="448" t="s">
        <v>931</v>
      </c>
      <c r="W22" s="449">
        <f>J22</f>
        <v>100</v>
      </c>
      <c r="X22" s="443"/>
      <c r="Y22" s="3355"/>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5"/>
      <c r="Q23" s="383">
        <f>B23</f>
        <v>111</v>
      </c>
      <c r="R23" s="448" t="s">
        <v>931</v>
      </c>
      <c r="S23" s="449">
        <f>F23</f>
        <v>100</v>
      </c>
      <c r="T23" s="448" t="s">
        <v>931</v>
      </c>
      <c r="U23" s="449">
        <f>H23</f>
        <v>100</v>
      </c>
      <c r="V23" s="448" t="s">
        <v>931</v>
      </c>
      <c r="W23" s="449">
        <f>J23</f>
        <v>100</v>
      </c>
      <c r="X23" s="443"/>
      <c r="Y23" s="3355"/>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5"/>
      <c r="Q24" s="383">
        <f t="shared" ref="Q24:Q36" si="11">B24</f>
        <v>111</v>
      </c>
      <c r="R24" s="448" t="s">
        <v>931</v>
      </c>
      <c r="S24" s="449">
        <f>F24</f>
        <v>100</v>
      </c>
      <c r="T24" s="448" t="s">
        <v>931</v>
      </c>
      <c r="U24" s="449">
        <f>H24</f>
        <v>100</v>
      </c>
      <c r="V24" s="448" t="s">
        <v>931</v>
      </c>
      <c r="W24" s="449">
        <f>J24</f>
        <v>100</v>
      </c>
      <c r="X24" s="443"/>
      <c r="Y24" s="3355"/>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5"/>
      <c r="Q25" s="447">
        <f t="shared" si="11"/>
        <v>111</v>
      </c>
      <c r="R25" s="444" t="s">
        <v>931</v>
      </c>
      <c r="S25" s="445">
        <f>F25</f>
        <v>100</v>
      </c>
      <c r="T25" s="444" t="s">
        <v>931</v>
      </c>
      <c r="U25" s="445">
        <f>H25</f>
        <v>100</v>
      </c>
      <c r="V25" s="444" t="s">
        <v>931</v>
      </c>
      <c r="W25" s="445">
        <f>J25</f>
        <v>100</v>
      </c>
      <c r="X25" s="446"/>
      <c r="Y25" s="3355"/>
      <c r="Z25" s="464">
        <f>Q25</f>
        <v>111</v>
      </c>
      <c r="AA25" s="454">
        <f t="shared" si="3"/>
        <v>1</v>
      </c>
      <c r="AB25" s="454">
        <f t="shared" si="4"/>
        <v>1</v>
      </c>
      <c r="AC25" s="454">
        <f t="shared" si="5"/>
        <v>1</v>
      </c>
    </row>
    <row r="26" spans="1:29" ht="15">
      <c r="A26" s="283" t="s">
        <v>955</v>
      </c>
      <c r="B26" s="507" t="s">
        <v>2377</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6" t="s">
        <v>954</v>
      </c>
      <c r="Q26" s="383" t="str">
        <f t="shared" si="11"/>
        <v>配套类型</v>
      </c>
      <c r="R26" s="448" t="s">
        <v>931</v>
      </c>
      <c r="S26" s="449">
        <f t="shared" ref="S26:S36" si="12">F26</f>
        <v>100</v>
      </c>
      <c r="T26" s="448" t="s">
        <v>931</v>
      </c>
      <c r="U26" s="449">
        <f t="shared" ref="U26:U36" si="13">H26</f>
        <v>100</v>
      </c>
      <c r="V26" s="448" t="s">
        <v>931</v>
      </c>
      <c r="W26" s="449">
        <f t="shared" ref="W26:W36" si="14">J26</f>
        <v>100</v>
      </c>
      <c r="X26" s="443"/>
      <c r="Y26" s="3357" t="s">
        <v>954</v>
      </c>
      <c r="Z26" s="442" t="str">
        <f t="shared" ref="Z26:Z36" si="15">Q26</f>
        <v>配套类型</v>
      </c>
      <c r="AA26" s="454">
        <f t="shared" si="3"/>
        <v>1</v>
      </c>
      <c r="AB26" s="454">
        <f t="shared" si="4"/>
        <v>1</v>
      </c>
      <c r="AC26" s="454">
        <f t="shared" si="5"/>
        <v>1</v>
      </c>
    </row>
    <row r="27" spans="1:29" s="192" customFormat="1" ht="15">
      <c r="A27" s="509"/>
      <c r="B27" s="510" t="s">
        <v>2378</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7"/>
      <c r="Q27" s="450" t="str">
        <f t="shared" si="11"/>
        <v>项目停车位配比</v>
      </c>
      <c r="R27" s="451" t="s">
        <v>931</v>
      </c>
      <c r="S27" s="452">
        <f t="shared" si="12"/>
        <v>100</v>
      </c>
      <c r="T27" s="451" t="s">
        <v>931</v>
      </c>
      <c r="U27" s="452">
        <f t="shared" si="13"/>
        <v>100</v>
      </c>
      <c r="V27" s="451" t="s">
        <v>931</v>
      </c>
      <c r="W27" s="452">
        <f t="shared" si="14"/>
        <v>100</v>
      </c>
      <c r="X27" s="453"/>
      <c r="Y27" s="3357"/>
      <c r="Z27" s="465" t="str">
        <f t="shared" si="15"/>
        <v>项目停车位配比</v>
      </c>
      <c r="AA27" s="454">
        <f t="shared" si="3"/>
        <v>1</v>
      </c>
      <c r="AB27" s="454">
        <f t="shared" si="4"/>
        <v>1</v>
      </c>
      <c r="AC27" s="454">
        <f t="shared" si="5"/>
        <v>1</v>
      </c>
    </row>
    <row r="28" spans="1:29" ht="15">
      <c r="A28" s="512"/>
      <c r="B28" s="510" t="s">
        <v>1289</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7"/>
      <c r="Q28" s="383" t="str">
        <f t="shared" si="11"/>
        <v>公共部分装修</v>
      </c>
      <c r="R28" s="448" t="s">
        <v>931</v>
      </c>
      <c r="S28" s="449">
        <f t="shared" si="12"/>
        <v>100</v>
      </c>
      <c r="T28" s="448" t="s">
        <v>931</v>
      </c>
      <c r="U28" s="449">
        <f t="shared" si="13"/>
        <v>100</v>
      </c>
      <c r="V28" s="448" t="s">
        <v>931</v>
      </c>
      <c r="W28" s="449">
        <f t="shared" si="14"/>
        <v>100</v>
      </c>
      <c r="X28" s="443"/>
      <c r="Y28" s="3357"/>
      <c r="Z28" s="442" t="str">
        <f t="shared" si="15"/>
        <v>公共部分装修</v>
      </c>
      <c r="AA28" s="454">
        <f t="shared" si="3"/>
        <v>1</v>
      </c>
      <c r="AB28" s="454">
        <f t="shared" si="4"/>
        <v>1</v>
      </c>
      <c r="AC28" s="454">
        <f t="shared" si="5"/>
        <v>1</v>
      </c>
    </row>
    <row r="29" spans="1:29" ht="15">
      <c r="A29" s="512"/>
      <c r="B29" s="510" t="s">
        <v>2379</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7"/>
      <c r="Q29" s="383" t="str">
        <f t="shared" si="11"/>
        <v>成新率</v>
      </c>
      <c r="R29" s="448" t="s">
        <v>931</v>
      </c>
      <c r="S29" s="449" t="e">
        <f t="shared" si="12"/>
        <v>#N/A</v>
      </c>
      <c r="T29" s="448" t="s">
        <v>931</v>
      </c>
      <c r="U29" s="449" t="e">
        <f t="shared" si="13"/>
        <v>#N/A</v>
      </c>
      <c r="V29" s="448" t="s">
        <v>931</v>
      </c>
      <c r="W29" s="449" t="e">
        <f t="shared" si="14"/>
        <v>#N/A</v>
      </c>
      <c r="X29" s="443"/>
      <c r="Y29" s="3357"/>
      <c r="Z29" s="442" t="str">
        <f t="shared" si="15"/>
        <v>成新率</v>
      </c>
      <c r="AA29" s="454" t="e">
        <f t="shared" si="3"/>
        <v>#N/A</v>
      </c>
      <c r="AB29" s="454" t="e">
        <f t="shared" si="4"/>
        <v>#N/A</v>
      </c>
      <c r="AC29" s="454" t="e">
        <f t="shared" si="5"/>
        <v>#N/A</v>
      </c>
    </row>
    <row r="30" spans="1:29" ht="15">
      <c r="A30" s="512"/>
      <c r="B30" s="510" t="s">
        <v>2380</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7"/>
      <c r="Q30" s="383" t="str">
        <f t="shared" si="11"/>
        <v>物业等级</v>
      </c>
      <c r="R30" s="448" t="s">
        <v>931</v>
      </c>
      <c r="S30" s="449">
        <f t="shared" si="12"/>
        <v>100</v>
      </c>
      <c r="T30" s="448" t="s">
        <v>931</v>
      </c>
      <c r="U30" s="449">
        <f t="shared" si="13"/>
        <v>100</v>
      </c>
      <c r="V30" s="448" t="s">
        <v>931</v>
      </c>
      <c r="W30" s="449">
        <f t="shared" si="14"/>
        <v>100</v>
      </c>
      <c r="X30" s="443"/>
      <c r="Y30" s="3357"/>
      <c r="Z30" s="442" t="str">
        <f t="shared" si="15"/>
        <v>物业等级</v>
      </c>
      <c r="AA30" s="454">
        <f t="shared" si="3"/>
        <v>1</v>
      </c>
      <c r="AB30" s="454">
        <f t="shared" si="4"/>
        <v>1</v>
      </c>
      <c r="AC30" s="454">
        <f t="shared" si="5"/>
        <v>1</v>
      </c>
    </row>
    <row r="31" spans="1:29" s="190" customFormat="1" ht="15">
      <c r="A31" s="513"/>
      <c r="B31" s="510" t="s">
        <v>2381</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7"/>
      <c r="Q31" s="447" t="str">
        <f t="shared" si="11"/>
        <v>停车位面积</v>
      </c>
      <c r="R31" s="444" t="s">
        <v>931</v>
      </c>
      <c r="S31" s="445" t="e">
        <f t="shared" si="12"/>
        <v>#N/A</v>
      </c>
      <c r="T31" s="444" t="s">
        <v>931</v>
      </c>
      <c r="U31" s="445" t="e">
        <f t="shared" si="13"/>
        <v>#N/A</v>
      </c>
      <c r="V31" s="444" t="s">
        <v>931</v>
      </c>
      <c r="W31" s="445" t="e">
        <f t="shared" si="14"/>
        <v>#N/A</v>
      </c>
      <c r="X31" s="446"/>
      <c r="Y31" s="3357"/>
      <c r="Z31" s="464" t="str">
        <f t="shared" si="15"/>
        <v>停车位面积</v>
      </c>
      <c r="AA31" s="463" t="e">
        <f t="shared" si="3"/>
        <v>#N/A</v>
      </c>
      <c r="AB31" s="463" t="e">
        <f t="shared" si="4"/>
        <v>#N/A</v>
      </c>
      <c r="AC31" s="463" t="e">
        <f t="shared" si="5"/>
        <v>#N/A</v>
      </c>
    </row>
    <row r="32" spans="1:29" ht="15">
      <c r="A32" s="512"/>
      <c r="B32" s="510" t="s">
        <v>2382</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7" t="s">
        <v>954</v>
      </c>
      <c r="Q32" s="383" t="str">
        <f t="shared" si="11"/>
        <v>车位类型</v>
      </c>
      <c r="R32" s="448" t="s">
        <v>931</v>
      </c>
      <c r="S32" s="449">
        <f t="shared" si="12"/>
        <v>100</v>
      </c>
      <c r="T32" s="448" t="s">
        <v>931</v>
      </c>
      <c r="U32" s="449">
        <f t="shared" si="13"/>
        <v>100</v>
      </c>
      <c r="V32" s="448" t="s">
        <v>931</v>
      </c>
      <c r="W32" s="449">
        <f t="shared" si="14"/>
        <v>100</v>
      </c>
      <c r="X32" s="443"/>
      <c r="Y32" s="3357" t="s">
        <v>954</v>
      </c>
      <c r="Z32" s="442" t="str">
        <f t="shared" si="15"/>
        <v>车位类型</v>
      </c>
      <c r="AA32" s="454">
        <f t="shared" si="3"/>
        <v>1</v>
      </c>
      <c r="AB32" s="454">
        <f t="shared" si="4"/>
        <v>1</v>
      </c>
      <c r="AC32" s="454">
        <f t="shared" si="5"/>
        <v>1</v>
      </c>
    </row>
    <row r="33" spans="1:29" ht="15">
      <c r="A33" s="512"/>
      <c r="B33" s="510" t="s">
        <v>2383</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7"/>
      <c r="Q33" s="383" t="str">
        <f t="shared" si="11"/>
        <v>是否直接入户</v>
      </c>
      <c r="R33" s="448" t="s">
        <v>931</v>
      </c>
      <c r="S33" s="449">
        <f t="shared" si="12"/>
        <v>100</v>
      </c>
      <c r="T33" s="448" t="s">
        <v>931</v>
      </c>
      <c r="U33" s="449">
        <f t="shared" si="13"/>
        <v>100</v>
      </c>
      <c r="V33" s="448" t="s">
        <v>931</v>
      </c>
      <c r="W33" s="449">
        <f t="shared" si="14"/>
        <v>100</v>
      </c>
      <c r="X33" s="443"/>
      <c r="Y33" s="3357"/>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7"/>
      <c r="Q34" s="383">
        <f t="shared" si="11"/>
        <v>111</v>
      </c>
      <c r="R34" s="448" t="s">
        <v>931</v>
      </c>
      <c r="S34" s="449">
        <f t="shared" si="12"/>
        <v>100</v>
      </c>
      <c r="T34" s="448" t="s">
        <v>931</v>
      </c>
      <c r="U34" s="449">
        <f t="shared" si="13"/>
        <v>100</v>
      </c>
      <c r="V34" s="448" t="s">
        <v>931</v>
      </c>
      <c r="W34" s="449">
        <f t="shared" si="14"/>
        <v>100</v>
      </c>
      <c r="X34" s="443"/>
      <c r="Y34" s="3357"/>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7"/>
      <c r="Q35" s="450">
        <f t="shared" si="11"/>
        <v>111</v>
      </c>
      <c r="R35" s="451" t="s">
        <v>931</v>
      </c>
      <c r="S35" s="452">
        <f t="shared" si="12"/>
        <v>100</v>
      </c>
      <c r="T35" s="451" t="s">
        <v>931</v>
      </c>
      <c r="U35" s="452">
        <f t="shared" si="13"/>
        <v>100</v>
      </c>
      <c r="V35" s="451" t="s">
        <v>931</v>
      </c>
      <c r="W35" s="452">
        <f t="shared" si="14"/>
        <v>100</v>
      </c>
      <c r="X35" s="453"/>
      <c r="Y35" s="3357"/>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7"/>
      <c r="Q36" s="383">
        <f t="shared" si="11"/>
        <v>111</v>
      </c>
      <c r="R36" s="448" t="s">
        <v>931</v>
      </c>
      <c r="S36" s="449">
        <f t="shared" si="12"/>
        <v>100</v>
      </c>
      <c r="T36" s="448" t="s">
        <v>931</v>
      </c>
      <c r="U36" s="449">
        <f t="shared" si="13"/>
        <v>100</v>
      </c>
      <c r="V36" s="448" t="s">
        <v>931</v>
      </c>
      <c r="W36" s="449">
        <f t="shared" si="14"/>
        <v>100</v>
      </c>
      <c r="X36" s="443"/>
      <c r="Y36" s="3357"/>
      <c r="Z36" s="442">
        <f t="shared" si="15"/>
        <v>111</v>
      </c>
      <c r="AA36" s="454">
        <f t="shared" si="3"/>
        <v>1</v>
      </c>
      <c r="AB36" s="454">
        <f t="shared" si="4"/>
        <v>1</v>
      </c>
      <c r="AC36" s="454">
        <f t="shared" si="5"/>
        <v>1</v>
      </c>
    </row>
    <row r="37" spans="1:29" ht="14.4">
      <c r="A37" s="515" t="s">
        <v>2384</v>
      </c>
      <c r="B37" s="516" t="s">
        <v>1117</v>
      </c>
      <c r="C37" s="305" t="s">
        <v>138</v>
      </c>
      <c r="D37" s="306"/>
      <c r="E37" s="307"/>
      <c r="F37" s="308"/>
      <c r="G37" s="309"/>
      <c r="H37" s="310"/>
      <c r="I37" s="307"/>
      <c r="J37" s="310"/>
      <c r="K37" s="397"/>
      <c r="L37" s="398"/>
      <c r="M37" s="319"/>
      <c r="N37" s="378"/>
      <c r="O37" s="319"/>
      <c r="P37" s="3353" t="str">
        <f>A37</f>
        <v>成交单价</v>
      </c>
      <c r="Q37" s="3353"/>
      <c r="R37" s="3421">
        <f>E37</f>
        <v>0</v>
      </c>
      <c r="S37" s="3421"/>
      <c r="T37" s="3421">
        <f>G37</f>
        <v>0</v>
      </c>
      <c r="U37" s="3421"/>
      <c r="V37" s="3421">
        <f>I37</f>
        <v>0</v>
      </c>
      <c r="W37" s="3421"/>
      <c r="X37" s="330"/>
      <c r="Y37" s="466"/>
      <c r="Z37" s="330"/>
      <c r="AA37" s="330"/>
      <c r="AB37" s="330"/>
      <c r="AC37" s="330"/>
    </row>
    <row r="38" spans="1:29" ht="14.4">
      <c r="A38" s="311" t="s">
        <v>965</v>
      </c>
      <c r="B38" s="312"/>
      <c r="C38" s="313" t="e">
        <f>R39</f>
        <v>#DIV/0!</v>
      </c>
      <c r="D38" s="314"/>
      <c r="E38" s="315" t="e">
        <f>R38</f>
        <v>#DIV/0!</v>
      </c>
      <c r="F38" s="315"/>
      <c r="G38" s="313" t="e">
        <f>T38</f>
        <v>#DIV/0!</v>
      </c>
      <c r="H38" s="314"/>
      <c r="I38" s="315" t="e">
        <f>V38</f>
        <v>#DIV/0!</v>
      </c>
      <c r="J38" s="314"/>
      <c r="K38" s="399"/>
      <c r="L38" s="398"/>
      <c r="M38" s="319"/>
      <c r="N38" s="319"/>
      <c r="O38" s="319"/>
      <c r="P38" s="3353" t="str">
        <f>A38</f>
        <v>比较价格（元/平方米）</v>
      </c>
      <c r="Q38" s="3353"/>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30"/>
      <c r="Y38" s="330"/>
      <c r="Z38" s="330"/>
      <c r="AA38" s="330"/>
      <c r="AB38" s="330"/>
      <c r="AC38" s="330"/>
    </row>
    <row r="39" spans="1:29" ht="14.4">
      <c r="A39" s="316" t="s">
        <v>966</v>
      </c>
      <c r="B39" s="317"/>
      <c r="C39" s="318" t="e">
        <f>R39</f>
        <v>#DIV/0!</v>
      </c>
      <c r="D39" s="318"/>
      <c r="E39" s="318"/>
      <c r="F39" s="318"/>
      <c r="G39" s="318"/>
      <c r="H39" s="318"/>
      <c r="I39" s="318"/>
      <c r="J39" s="318"/>
      <c r="K39" s="400"/>
      <c r="L39" s="398"/>
      <c r="M39" s="319"/>
      <c r="N39" s="319"/>
      <c r="O39" s="319"/>
      <c r="P39" s="3359" t="str">
        <f>A39</f>
        <v>估价对象XX用房的比较价格（楼面单价，元/平方米）</v>
      </c>
      <c r="Q39" s="3360"/>
      <c r="R39" s="3423" t="e">
        <f>IF(F1="售价",ROUND(AVERAGE(R38:V38),0),ROUND(AVERAGE(R38:V38),1))</f>
        <v>#DIV/0!</v>
      </c>
      <c r="S39" s="3423"/>
      <c r="T39" s="3423"/>
      <c r="U39" s="3423"/>
      <c r="V39" s="3423"/>
      <c r="W39" s="3423"/>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967</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968</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969</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6">
      <c r="A47" s="329" t="s">
        <v>991</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4.4">
      <c r="A48" s="333" t="s">
        <v>929</v>
      </c>
      <c r="B48" s="334"/>
      <c r="C48" s="335" t="str">
        <f>YEAR(C7)&amp;"-"&amp;MONTH(C7)</f>
        <v>2019-7</v>
      </c>
      <c r="D48" s="336">
        <f>EDATE(C48,-1)</f>
        <v>43617</v>
      </c>
      <c r="E48" s="336">
        <f t="shared" ref="E48:O48" si="16">EDATE(D48,-1)</f>
        <v>43586</v>
      </c>
      <c r="F48" s="336">
        <f t="shared" si="16"/>
        <v>43556</v>
      </c>
      <c r="G48" s="336">
        <f t="shared" si="16"/>
        <v>43525</v>
      </c>
      <c r="H48" s="336">
        <f t="shared" si="16"/>
        <v>43497</v>
      </c>
      <c r="I48" s="336">
        <f t="shared" si="16"/>
        <v>43466</v>
      </c>
      <c r="J48" s="336">
        <f t="shared" si="16"/>
        <v>43435</v>
      </c>
      <c r="K48" s="336">
        <f t="shared" si="16"/>
        <v>43405</v>
      </c>
      <c r="L48" s="336">
        <f t="shared" si="16"/>
        <v>43374</v>
      </c>
      <c r="M48" s="336">
        <f t="shared" si="16"/>
        <v>43344</v>
      </c>
      <c r="N48" s="336">
        <f t="shared" si="16"/>
        <v>43313</v>
      </c>
      <c r="O48" s="336">
        <f t="shared" si="16"/>
        <v>43282</v>
      </c>
      <c r="P48" s="409"/>
      <c r="Q48" s="455"/>
      <c r="R48" s="455"/>
      <c r="S48" s="455"/>
      <c r="T48" s="455"/>
      <c r="U48" s="455"/>
      <c r="V48" s="455"/>
      <c r="W48" s="455"/>
      <c r="X48" s="455"/>
      <c r="Y48" s="455"/>
      <c r="Z48" s="455"/>
      <c r="AA48" s="455"/>
      <c r="AB48" s="455"/>
      <c r="AC48" s="455"/>
    </row>
    <row r="49" spans="1:29" s="190" customFormat="1">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4.4">
      <c r="A50" s="341" t="s">
        <v>1108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4.4">
      <c r="A51" s="345" t="s">
        <v>932</v>
      </c>
      <c r="B51" s="338"/>
      <c r="C51" s="346" t="s">
        <v>933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ht="14.4">
      <c r="A53" s="348" t="s">
        <v>995</v>
      </c>
      <c r="B53" s="349" t="s">
        <v>996</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8.8">
      <c r="A55" s="352"/>
      <c r="B55" s="355" t="s">
        <v>997</v>
      </c>
      <c r="C55" s="356" t="s">
        <v>1298</v>
      </c>
      <c r="D55" s="356" t="s">
        <v>1299</v>
      </c>
      <c r="E55" s="356" t="s">
        <v>1300</v>
      </c>
      <c r="F55" s="356" t="s">
        <v>1301</v>
      </c>
      <c r="G55" s="356" t="s">
        <v>1302</v>
      </c>
      <c r="H55" s="356" t="s">
        <v>1303</v>
      </c>
      <c r="I55" s="356" t="s">
        <v>1304</v>
      </c>
      <c r="J55" s="356"/>
      <c r="K55" s="426"/>
      <c r="L55" s="427"/>
      <c r="M55" s="428"/>
      <c r="N55" s="422"/>
      <c r="O55" s="422"/>
      <c r="P55" s="423"/>
      <c r="Q55" s="412"/>
      <c r="R55" s="319"/>
      <c r="S55" s="319"/>
      <c r="T55" s="319"/>
      <c r="U55" s="319"/>
      <c r="V55" s="319"/>
      <c r="W55" s="319"/>
      <c r="X55" s="319"/>
      <c r="Y55" s="319"/>
      <c r="Z55" s="319"/>
      <c r="AA55" s="319"/>
      <c r="AB55" s="319"/>
      <c r="AC55" s="319"/>
    </row>
    <row r="56" spans="1:29">
      <c r="A56" s="352"/>
      <c r="B56" s="357"/>
      <c r="C56" s="358" t="s">
        <v>990</v>
      </c>
      <c r="D56" s="358" t="s">
        <v>990</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ht="14.4">
      <c r="A63" s="348" t="s">
        <v>999</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4.4">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4.4">
      <c r="A69" s="352"/>
      <c r="B69" s="355" t="s">
        <v>1278</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4.4">
      <c r="A71" s="352"/>
      <c r="B71" s="355" t="s">
        <v>2363</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8.8">
      <c r="A79" s="348" t="s">
        <v>1008</v>
      </c>
      <c r="B79" s="349" t="s">
        <v>2385</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4.4">
      <c r="A81" s="352"/>
      <c r="B81" s="355" t="s">
        <v>2378</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ht="14.4">
      <c r="A83" s="474"/>
      <c r="B83" s="355" t="s">
        <v>1289</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ht="14.4">
      <c r="A85" s="474"/>
      <c r="B85" s="355" t="s">
        <v>2379</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ht="14.4">
      <c r="A88" s="474"/>
      <c r="B88" s="469" t="s">
        <v>2380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14.4">
      <c r="A90" s="476"/>
      <c r="B90" s="355" t="s">
        <v>2381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ht="14.4">
      <c r="A93" s="474"/>
      <c r="B93" s="355" t="s">
        <v>2382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ht="14.4">
      <c r="A95" s="474"/>
      <c r="B95" s="355" t="s">
        <v>2383</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J56" sqref="J56"/>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1267</v>
      </c>
      <c r="B1" s="199"/>
      <c r="C1" s="200" t="s">
        <v>1269</v>
      </c>
      <c r="D1" s="201"/>
      <c r="E1" s="202"/>
      <c r="F1" s="203"/>
      <c r="G1" s="204" t="s">
        <v>1271</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1272</v>
      </c>
      <c r="B3" s="211" t="e">
        <f>C37</f>
        <v>#DIV/0!</v>
      </c>
      <c r="C3" s="212" t="s">
        <v>1273</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919</v>
      </c>
      <c r="B4" s="215"/>
      <c r="C4" s="3342" t="s">
        <v>920</v>
      </c>
      <c r="D4" s="3343"/>
      <c r="E4" s="3383" t="s">
        <v>921</v>
      </c>
      <c r="F4" s="3384"/>
      <c r="G4" s="3342" t="s">
        <v>922</v>
      </c>
      <c r="H4" s="3343"/>
      <c r="I4" s="3342" t="s">
        <v>923</v>
      </c>
      <c r="J4" s="3343"/>
      <c r="K4" s="376" t="s">
        <v>924</v>
      </c>
      <c r="L4" s="377"/>
      <c r="M4" s="378"/>
      <c r="N4" s="378"/>
      <c r="O4" s="378"/>
      <c r="P4" s="3370" t="s">
        <v>925</v>
      </c>
      <c r="Q4" s="3371"/>
      <c r="R4" s="3376" t="s">
        <v>921</v>
      </c>
      <c r="S4" s="3377"/>
      <c r="T4" s="3376" t="s">
        <v>922</v>
      </c>
      <c r="U4" s="3377"/>
      <c r="V4" s="3362" t="s">
        <v>923</v>
      </c>
      <c r="W4" s="3362"/>
      <c r="X4" s="443"/>
      <c r="Y4" s="3376" t="s">
        <v>925</v>
      </c>
      <c r="Z4" s="3377"/>
      <c r="AA4" s="3363" t="s">
        <v>921</v>
      </c>
      <c r="AB4" s="3364" t="s">
        <v>922</v>
      </c>
      <c r="AC4" s="3363" t="s">
        <v>923</v>
      </c>
    </row>
    <row r="5" spans="1:29">
      <c r="A5" s="216"/>
      <c r="B5" s="217"/>
      <c r="C5" s="3344" t="s">
        <v>926</v>
      </c>
      <c r="D5" s="3345"/>
      <c r="E5" s="3385" t="s">
        <v>1102</v>
      </c>
      <c r="F5" s="3386"/>
      <c r="G5" s="3344" t="s">
        <v>1103</v>
      </c>
      <c r="H5" s="3345"/>
      <c r="I5" s="3344" t="s">
        <v>1104</v>
      </c>
      <c r="J5" s="3345"/>
      <c r="K5" s="376"/>
      <c r="L5" s="377"/>
      <c r="M5" s="378"/>
      <c r="N5" s="378"/>
      <c r="O5" s="378"/>
      <c r="P5" s="3372"/>
      <c r="Q5" s="3373"/>
      <c r="R5" s="3378"/>
      <c r="S5" s="3379"/>
      <c r="T5" s="3378"/>
      <c r="U5" s="3379"/>
      <c r="V5" s="3362"/>
      <c r="W5" s="3362"/>
      <c r="X5" s="443"/>
      <c r="Y5" s="3378"/>
      <c r="Z5" s="3379"/>
      <c r="AA5" s="3364"/>
      <c r="AB5" s="3364"/>
      <c r="AC5" s="3364"/>
    </row>
    <row r="6" spans="1:29" ht="14.4">
      <c r="A6" s="218"/>
      <c r="B6" s="219"/>
      <c r="C6" s="3348" t="s">
        <v>927</v>
      </c>
      <c r="D6" s="3349"/>
      <c r="E6" s="3387" t="s">
        <v>927</v>
      </c>
      <c r="F6" s="3388"/>
      <c r="G6" s="3348" t="s">
        <v>927</v>
      </c>
      <c r="H6" s="3349"/>
      <c r="I6" s="3348" t="s">
        <v>927</v>
      </c>
      <c r="J6" s="3349"/>
      <c r="K6" s="376" t="s">
        <v>928</v>
      </c>
      <c r="L6" s="377"/>
      <c r="M6" s="378"/>
      <c r="N6" s="378"/>
      <c r="O6" s="378"/>
      <c r="P6" s="3374"/>
      <c r="Q6" s="3375"/>
      <c r="R6" s="3378"/>
      <c r="S6" s="3379"/>
      <c r="T6" s="3380"/>
      <c r="U6" s="3381"/>
      <c r="V6" s="3362"/>
      <c r="W6" s="3362"/>
      <c r="X6" s="443"/>
      <c r="Y6" s="3380"/>
      <c r="Z6" s="3381"/>
      <c r="AA6" s="3365"/>
      <c r="AB6" s="3365"/>
      <c r="AC6" s="3365"/>
    </row>
    <row r="7" spans="1:29" s="190" customFormat="1" ht="14.4">
      <c r="A7" s="220"/>
      <c r="B7" s="221" t="s">
        <v>929</v>
      </c>
      <c r="C7" s="222">
        <f>'数据-取费表'!B2</f>
        <v>43654</v>
      </c>
      <c r="D7" s="223">
        <v>100</v>
      </c>
      <c r="E7" s="224"/>
      <c r="F7" s="225">
        <f>SUMIF(46:46,YEAR(E7)&amp;"-"&amp;MONTH(E7),47:47)</f>
        <v>0</v>
      </c>
      <c r="G7" s="226"/>
      <c r="H7" s="223">
        <f>SUMIF(46:46,YEAR(G7)&amp;"-"&amp;MONTH(G7),47:47)</f>
        <v>0</v>
      </c>
      <c r="I7" s="226"/>
      <c r="J7" s="223">
        <f>SUMIF(46:46,YEAR(I7)&amp;"-"&amp;MONTH(I7),47:47)</f>
        <v>0</v>
      </c>
      <c r="K7" s="379"/>
      <c r="L7" s="380"/>
      <c r="M7" s="381"/>
      <c r="N7" s="381"/>
      <c r="O7" s="381"/>
      <c r="P7" s="3350" t="s">
        <v>930</v>
      </c>
      <c r="Q7" s="3351"/>
      <c r="R7" s="444" t="s">
        <v>931</v>
      </c>
      <c r="S7" s="445">
        <f t="shared" ref="S7:S14" si="0">F7</f>
        <v>0</v>
      </c>
      <c r="T7" s="444" t="s">
        <v>931</v>
      </c>
      <c r="U7" s="445">
        <f t="shared" ref="U7:U14" si="1">H7</f>
        <v>0</v>
      </c>
      <c r="V7" s="444" t="s">
        <v>931</v>
      </c>
      <c r="W7" s="445">
        <f t="shared" ref="W7:W14" si="2">J7</f>
        <v>0</v>
      </c>
      <c r="X7" s="446"/>
      <c r="Y7" s="3350" t="s">
        <v>930</v>
      </c>
      <c r="Z7" s="3382"/>
      <c r="AA7" s="463" t="e">
        <f>D7/F7</f>
        <v>#DIV/0!</v>
      </c>
      <c r="AB7" s="463" t="e">
        <f>D7/H7</f>
        <v>#DIV/0!</v>
      </c>
      <c r="AC7" s="463" t="e">
        <f>D7/J7</f>
        <v>#DIV/0!</v>
      </c>
    </row>
    <row r="8" spans="1:29" s="190" customFormat="1" ht="14.4">
      <c r="A8" s="227"/>
      <c r="B8" s="228" t="s">
        <v>932</v>
      </c>
      <c r="C8" s="229" t="s">
        <v>933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50" t="s">
        <v>935</v>
      </c>
      <c r="Q8" s="3382"/>
      <c r="R8" s="444" t="s">
        <v>931</v>
      </c>
      <c r="S8" s="445">
        <f t="shared" si="0"/>
        <v>0</v>
      </c>
      <c r="T8" s="444" t="s">
        <v>931</v>
      </c>
      <c r="U8" s="445">
        <f t="shared" si="1"/>
        <v>0</v>
      </c>
      <c r="V8" s="444" t="s">
        <v>931</v>
      </c>
      <c r="W8" s="445">
        <f t="shared" si="2"/>
        <v>0</v>
      </c>
      <c r="X8" s="446"/>
      <c r="Y8" s="3350" t="s">
        <v>935</v>
      </c>
      <c r="Z8" s="3382"/>
      <c r="AA8" s="463" t="e">
        <f t="shared" ref="AA8:AA34" si="3">D8/F8</f>
        <v>#DIV/0!</v>
      </c>
      <c r="AB8" s="463" t="e">
        <f t="shared" ref="AB8:AB34" si="4">D8/H8</f>
        <v>#DIV/0!</v>
      </c>
      <c r="AC8" s="463" t="e">
        <f t="shared" ref="AC8:AC34" si="5">D8/J8</f>
        <v>#DIV/0!</v>
      </c>
    </row>
    <row r="9" spans="1:29" s="190" customFormat="1" ht="14.4">
      <c r="A9" s="230"/>
      <c r="B9" s="231" t="s">
        <v>936</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3" t="s">
        <v>938</v>
      </c>
      <c r="Q9" s="447" t="str">
        <f t="shared" ref="Q9:Q14" si="6">B9</f>
        <v>用途</v>
      </c>
      <c r="R9" s="444" t="s">
        <v>931</v>
      </c>
      <c r="S9" s="445">
        <f t="shared" si="0"/>
        <v>100</v>
      </c>
      <c r="T9" s="444" t="s">
        <v>931</v>
      </c>
      <c r="U9" s="445">
        <f t="shared" si="1"/>
        <v>100</v>
      </c>
      <c r="V9" s="444" t="s">
        <v>931</v>
      </c>
      <c r="W9" s="445">
        <f t="shared" si="2"/>
        <v>100</v>
      </c>
      <c r="X9" s="446"/>
      <c r="Y9" s="3341" t="s">
        <v>939</v>
      </c>
      <c r="Z9" s="464" t="str">
        <f t="shared" ref="Z9:Z14" si="7">Q9</f>
        <v>用途</v>
      </c>
      <c r="AA9" s="463">
        <f t="shared" si="3"/>
        <v>1</v>
      </c>
      <c r="AB9" s="463">
        <f t="shared" si="4"/>
        <v>1</v>
      </c>
      <c r="AC9" s="463">
        <f t="shared" si="5"/>
        <v>1</v>
      </c>
    </row>
    <row r="10" spans="1:29" s="191" customFormat="1" ht="28.8">
      <c r="A10" s="235"/>
      <c r="B10" s="228" t="s">
        <v>940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3"/>
      <c r="Q10" s="447" t="str">
        <f t="shared" si="6"/>
        <v>土地使用年限（年）</v>
      </c>
      <c r="R10" s="444" t="s">
        <v>931</v>
      </c>
      <c r="S10" s="445">
        <f t="shared" si="0"/>
        <v>100</v>
      </c>
      <c r="T10" s="444" t="s">
        <v>931</v>
      </c>
      <c r="U10" s="445">
        <f t="shared" si="1"/>
        <v>100</v>
      </c>
      <c r="V10" s="444" t="s">
        <v>931</v>
      </c>
      <c r="W10" s="445">
        <f t="shared" si="2"/>
        <v>100</v>
      </c>
      <c r="X10" s="446"/>
      <c r="Y10" s="3341"/>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3"/>
      <c r="Q11" s="447">
        <f t="shared" si="6"/>
        <v>111</v>
      </c>
      <c r="R11" s="444" t="s">
        <v>931</v>
      </c>
      <c r="S11" s="445">
        <f t="shared" si="0"/>
        <v>100</v>
      </c>
      <c r="T11" s="444" t="s">
        <v>931</v>
      </c>
      <c r="U11" s="445">
        <f t="shared" si="1"/>
        <v>100</v>
      </c>
      <c r="V11" s="444" t="s">
        <v>931</v>
      </c>
      <c r="W11" s="445">
        <f t="shared" si="2"/>
        <v>100</v>
      </c>
      <c r="X11" s="446"/>
      <c r="Y11" s="3341"/>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3"/>
      <c r="Q12" s="447">
        <f t="shared" si="6"/>
        <v>111</v>
      </c>
      <c r="R12" s="444" t="s">
        <v>931</v>
      </c>
      <c r="S12" s="445">
        <f t="shared" si="0"/>
        <v>100</v>
      </c>
      <c r="T12" s="444" t="s">
        <v>931</v>
      </c>
      <c r="U12" s="445">
        <f t="shared" si="1"/>
        <v>100</v>
      </c>
      <c r="V12" s="444" t="s">
        <v>931</v>
      </c>
      <c r="W12" s="445">
        <f t="shared" si="2"/>
        <v>100</v>
      </c>
      <c r="X12" s="446"/>
      <c r="Y12" s="3341"/>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3"/>
      <c r="Q13" s="447">
        <f t="shared" si="6"/>
        <v>111</v>
      </c>
      <c r="R13" s="444" t="s">
        <v>931</v>
      </c>
      <c r="S13" s="445">
        <f t="shared" si="0"/>
        <v>100</v>
      </c>
      <c r="T13" s="444" t="s">
        <v>931</v>
      </c>
      <c r="U13" s="445">
        <f t="shared" si="1"/>
        <v>100</v>
      </c>
      <c r="V13" s="444" t="s">
        <v>931</v>
      </c>
      <c r="W13" s="445">
        <f t="shared" si="2"/>
        <v>100</v>
      </c>
      <c r="X13" s="446"/>
      <c r="Y13" s="3341"/>
      <c r="Z13" s="464">
        <f t="shared" si="7"/>
        <v>111</v>
      </c>
      <c r="AA13" s="463">
        <f t="shared" si="3"/>
        <v>1</v>
      </c>
      <c r="AB13" s="463">
        <f t="shared" si="4"/>
        <v>1</v>
      </c>
      <c r="AC13" s="463">
        <f t="shared" si="5"/>
        <v>1</v>
      </c>
    </row>
    <row r="14" spans="1:29" ht="15">
      <c r="A14" s="248" t="s">
        <v>944</v>
      </c>
      <c r="B14" s="249" t="s">
        <v>231</v>
      </c>
      <c r="C14" s="250" t="str">
        <f>IF(B1="工业",估价对象房地状况!G4,估价对象房地状况!C6)</f>
        <v>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4" t="s">
        <v>945</v>
      </c>
      <c r="Q14" s="383" t="str">
        <f t="shared" si="6"/>
        <v>交通便捷度</v>
      </c>
      <c r="R14" s="448" t="s">
        <v>931</v>
      </c>
      <c r="S14" s="449">
        <f t="shared" si="0"/>
        <v>100</v>
      </c>
      <c r="T14" s="448" t="s">
        <v>931</v>
      </c>
      <c r="U14" s="449">
        <f t="shared" si="1"/>
        <v>100</v>
      </c>
      <c r="V14" s="448" t="s">
        <v>931</v>
      </c>
      <c r="W14" s="449">
        <f t="shared" si="2"/>
        <v>100</v>
      </c>
      <c r="X14" s="443"/>
      <c r="Y14" s="3354" t="s">
        <v>945</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5"/>
      <c r="Q15" s="383"/>
      <c r="R15" s="448"/>
      <c r="S15" s="449"/>
      <c r="T15" s="448"/>
      <c r="U15" s="449"/>
      <c r="V15" s="448"/>
      <c r="W15" s="449"/>
      <c r="X15" s="443"/>
      <c r="Y15" s="3355"/>
      <c r="Z15" s="442"/>
      <c r="AA15" s="454">
        <v>1</v>
      </c>
      <c r="AB15" s="454">
        <v>1</v>
      </c>
      <c r="AC15" s="454">
        <v>1</v>
      </c>
    </row>
    <row r="16" spans="1:29" ht="15">
      <c r="A16" s="255"/>
      <c r="B16" s="261" t="s">
        <v>233</v>
      </c>
      <c r="C16" s="262" t="str">
        <f>IF(B1="工业",估价对象房地状况!G5,估价对象房地状况!C7)</f>
        <v>较好</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5"/>
      <c r="Q16" s="383" t="str">
        <f>B16</f>
        <v>公共配套设施</v>
      </c>
      <c r="R16" s="448" t="s">
        <v>931</v>
      </c>
      <c r="S16" s="449">
        <f>F16</f>
        <v>100</v>
      </c>
      <c r="T16" s="448" t="s">
        <v>931</v>
      </c>
      <c r="U16" s="449">
        <f>H16</f>
        <v>100</v>
      </c>
      <c r="V16" s="448" t="s">
        <v>931</v>
      </c>
      <c r="W16" s="449">
        <f>J16</f>
        <v>100</v>
      </c>
      <c r="X16" s="443"/>
      <c r="Y16" s="3355"/>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5"/>
      <c r="Q17" s="383"/>
      <c r="R17" s="448"/>
      <c r="S17" s="449"/>
      <c r="T17" s="448"/>
      <c r="U17" s="449"/>
      <c r="V17" s="448"/>
      <c r="W17" s="449"/>
      <c r="X17" s="443"/>
      <c r="Y17" s="3355"/>
      <c r="Z17" s="442"/>
      <c r="AA17" s="454">
        <v>1</v>
      </c>
      <c r="AB17" s="454">
        <v>1</v>
      </c>
      <c r="AC17" s="454">
        <v>1</v>
      </c>
    </row>
    <row r="18" spans="1:29" ht="15">
      <c r="A18" s="255"/>
      <c r="B18" s="269" t="s">
        <v>234</v>
      </c>
      <c r="C18" s="262" t="str">
        <f>IF(B1="工业",估价对象房地状况!G6,估价对象房地状况!C8)</f>
        <v>六通</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5"/>
      <c r="Q18" s="383" t="str">
        <f>B18</f>
        <v>基础设施水平</v>
      </c>
      <c r="R18" s="448" t="s">
        <v>931</v>
      </c>
      <c r="S18" s="449">
        <f>F18</f>
        <v>100</v>
      </c>
      <c r="T18" s="448" t="s">
        <v>931</v>
      </c>
      <c r="U18" s="449">
        <f>H18</f>
        <v>100</v>
      </c>
      <c r="V18" s="448" t="s">
        <v>931</v>
      </c>
      <c r="W18" s="449">
        <f>J18</f>
        <v>100</v>
      </c>
      <c r="X18" s="443"/>
      <c r="Y18" s="3355"/>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5"/>
      <c r="Q19" s="383"/>
      <c r="R19" s="448"/>
      <c r="S19" s="449"/>
      <c r="T19" s="448"/>
      <c r="U19" s="449"/>
      <c r="V19" s="448"/>
      <c r="W19" s="449"/>
      <c r="X19" s="443"/>
      <c r="Y19" s="3355"/>
      <c r="Z19" s="442"/>
      <c r="AA19" s="454">
        <v>1</v>
      </c>
      <c r="AB19" s="454">
        <v>1</v>
      </c>
      <c r="AC19" s="454">
        <v>1</v>
      </c>
    </row>
    <row r="20" spans="1:29" ht="15">
      <c r="A20" s="255"/>
      <c r="B20" s="274" t="s">
        <v>1278</v>
      </c>
      <c r="C20" s="262" t="str">
        <f>IF(B1="工业",估价对象房地状况!G7,估价对象房地状况!C9)</f>
        <v>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5"/>
      <c r="Q20" s="383" t="str">
        <f>B20</f>
        <v>自然及人文环境</v>
      </c>
      <c r="R20" s="448" t="s">
        <v>931</v>
      </c>
      <c r="S20" s="449">
        <f>F20</f>
        <v>100</v>
      </c>
      <c r="T20" s="448" t="s">
        <v>931</v>
      </c>
      <c r="U20" s="449">
        <f>H20</f>
        <v>100</v>
      </c>
      <c r="V20" s="448" t="s">
        <v>931</v>
      </c>
      <c r="W20" s="449">
        <f>J20</f>
        <v>100</v>
      </c>
      <c r="X20" s="443"/>
      <c r="Y20" s="3355"/>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5"/>
      <c r="Q21" s="383"/>
      <c r="R21" s="448"/>
      <c r="S21" s="449"/>
      <c r="T21" s="448"/>
      <c r="U21" s="449"/>
      <c r="V21" s="448"/>
      <c r="W21" s="449"/>
      <c r="X21" s="443"/>
      <c r="Y21" s="3355"/>
      <c r="Z21" s="442"/>
      <c r="AA21" s="454">
        <v>1</v>
      </c>
      <c r="AB21" s="454">
        <v>1</v>
      </c>
      <c r="AC21" s="454">
        <v>1</v>
      </c>
    </row>
    <row r="22" spans="1:29" ht="15">
      <c r="A22" s="255"/>
      <c r="B22" s="274" t="s">
        <v>2363</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5"/>
      <c r="Q22" s="383" t="str">
        <f>B22</f>
        <v>楼层</v>
      </c>
      <c r="R22" s="448" t="s">
        <v>931</v>
      </c>
      <c r="S22" s="449">
        <f>F22</f>
        <v>100</v>
      </c>
      <c r="T22" s="448" t="s">
        <v>931</v>
      </c>
      <c r="U22" s="449">
        <f>H22</f>
        <v>100</v>
      </c>
      <c r="V22" s="448" t="s">
        <v>931</v>
      </c>
      <c r="W22" s="449">
        <f>J22</f>
        <v>100</v>
      </c>
      <c r="X22" s="443"/>
      <c r="Y22" s="3355"/>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5"/>
      <c r="Q23" s="383">
        <f>B23</f>
        <v>111</v>
      </c>
      <c r="R23" s="448" t="s">
        <v>931</v>
      </c>
      <c r="S23" s="449">
        <f>F23</f>
        <v>100</v>
      </c>
      <c r="T23" s="448" t="s">
        <v>931</v>
      </c>
      <c r="U23" s="449">
        <f>H23</f>
        <v>100</v>
      </c>
      <c r="V23" s="448" t="s">
        <v>931</v>
      </c>
      <c r="W23" s="449">
        <f>J23</f>
        <v>100</v>
      </c>
      <c r="X23" s="443"/>
      <c r="Y23" s="3355"/>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5"/>
      <c r="Q24" s="383">
        <f t="shared" ref="Q24:Q34" si="11">B24</f>
        <v>111</v>
      </c>
      <c r="R24" s="448" t="s">
        <v>931</v>
      </c>
      <c r="S24" s="449">
        <f>F24</f>
        <v>100</v>
      </c>
      <c r="T24" s="448" t="s">
        <v>931</v>
      </c>
      <c r="U24" s="449">
        <f>H24</f>
        <v>100</v>
      </c>
      <c r="V24" s="448" t="s">
        <v>931</v>
      </c>
      <c r="W24" s="449">
        <f>J24</f>
        <v>100</v>
      </c>
      <c r="X24" s="443"/>
      <c r="Y24" s="3355"/>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5"/>
      <c r="Q25" s="447">
        <f t="shared" si="11"/>
        <v>111</v>
      </c>
      <c r="R25" s="444" t="s">
        <v>931</v>
      </c>
      <c r="S25" s="445">
        <f>F25</f>
        <v>100</v>
      </c>
      <c r="T25" s="444" t="s">
        <v>931</v>
      </c>
      <c r="U25" s="445">
        <f>H25</f>
        <v>100</v>
      </c>
      <c r="V25" s="444" t="s">
        <v>931</v>
      </c>
      <c r="W25" s="445">
        <f>J25</f>
        <v>100</v>
      </c>
      <c r="X25" s="446"/>
      <c r="Y25" s="3355"/>
      <c r="Z25" s="464">
        <f>Q25</f>
        <v>111</v>
      </c>
      <c r="AA25" s="454">
        <f t="shared" si="3"/>
        <v>1</v>
      </c>
      <c r="AB25" s="454">
        <f t="shared" si="4"/>
        <v>1</v>
      </c>
      <c r="AC25" s="454">
        <f t="shared" si="5"/>
        <v>1</v>
      </c>
    </row>
    <row r="26" spans="1:29" ht="15">
      <c r="A26" s="283" t="s">
        <v>955</v>
      </c>
      <c r="B26" s="284" t="s">
        <v>1289</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6" t="s">
        <v>954</v>
      </c>
      <c r="Q26" s="383" t="str">
        <f t="shared" si="11"/>
        <v>公共部分装修</v>
      </c>
      <c r="R26" s="448" t="s">
        <v>931</v>
      </c>
      <c r="S26" s="449">
        <f t="shared" ref="S26:S34" si="12">F26</f>
        <v>100</v>
      </c>
      <c r="T26" s="448" t="s">
        <v>931</v>
      </c>
      <c r="U26" s="449">
        <f t="shared" ref="U26:U34" si="13">H26</f>
        <v>100</v>
      </c>
      <c r="V26" s="448" t="s">
        <v>931</v>
      </c>
      <c r="W26" s="449">
        <f t="shared" ref="W26:W34" si="14">J26</f>
        <v>100</v>
      </c>
      <c r="X26" s="443"/>
      <c r="Y26" s="3357" t="s">
        <v>954</v>
      </c>
      <c r="Z26" s="442" t="str">
        <f t="shared" ref="Z26:Z34" si="15">Q26</f>
        <v>公共部分装修</v>
      </c>
      <c r="AA26" s="454">
        <f t="shared" si="3"/>
        <v>1</v>
      </c>
      <c r="AB26" s="454">
        <f t="shared" si="4"/>
        <v>1</v>
      </c>
      <c r="AC26" s="454">
        <f t="shared" si="5"/>
        <v>1</v>
      </c>
    </row>
    <row r="27" spans="1:29" s="192" customFormat="1" ht="15">
      <c r="A27" s="288"/>
      <c r="B27" s="289" t="s">
        <v>2379</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7"/>
      <c r="Q27" s="450" t="str">
        <f t="shared" si="11"/>
        <v>成新率</v>
      </c>
      <c r="R27" s="451" t="s">
        <v>931</v>
      </c>
      <c r="S27" s="452" t="e">
        <f t="shared" si="12"/>
        <v>#N/A</v>
      </c>
      <c r="T27" s="451" t="s">
        <v>931</v>
      </c>
      <c r="U27" s="452" t="e">
        <f t="shared" si="13"/>
        <v>#N/A</v>
      </c>
      <c r="V27" s="451" t="s">
        <v>931</v>
      </c>
      <c r="W27" s="452" t="e">
        <f t="shared" si="14"/>
        <v>#N/A</v>
      </c>
      <c r="X27" s="453"/>
      <c r="Y27" s="3357"/>
      <c r="Z27" s="465" t="str">
        <f t="shared" si="15"/>
        <v>成新率</v>
      </c>
      <c r="AA27" s="454" t="e">
        <f t="shared" si="3"/>
        <v>#N/A</v>
      </c>
      <c r="AB27" s="454" t="e">
        <f t="shared" si="4"/>
        <v>#N/A</v>
      </c>
      <c r="AC27" s="454" t="e">
        <f t="shared" si="5"/>
        <v>#N/A</v>
      </c>
    </row>
    <row r="28" spans="1:29" ht="15">
      <c r="A28" s="293"/>
      <c r="B28" s="289" t="s">
        <v>2380</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7"/>
      <c r="Q28" s="383" t="str">
        <f t="shared" si="11"/>
        <v>物业等级</v>
      </c>
      <c r="R28" s="448" t="s">
        <v>931</v>
      </c>
      <c r="S28" s="449">
        <f t="shared" si="12"/>
        <v>100</v>
      </c>
      <c r="T28" s="448" t="s">
        <v>931</v>
      </c>
      <c r="U28" s="449">
        <f t="shared" si="13"/>
        <v>100</v>
      </c>
      <c r="V28" s="448" t="s">
        <v>931</v>
      </c>
      <c r="W28" s="449">
        <f t="shared" si="14"/>
        <v>100</v>
      </c>
      <c r="X28" s="443"/>
      <c r="Y28" s="3357"/>
      <c r="Z28" s="442" t="str">
        <f t="shared" si="15"/>
        <v>物业等级</v>
      </c>
      <c r="AA28" s="454">
        <f t="shared" si="3"/>
        <v>1</v>
      </c>
      <c r="AB28" s="454">
        <f t="shared" si="4"/>
        <v>1</v>
      </c>
      <c r="AC28" s="454">
        <f t="shared" si="5"/>
        <v>1</v>
      </c>
    </row>
    <row r="29" spans="1:29" ht="15">
      <c r="A29" s="293"/>
      <c r="B29" s="289" t="s">
        <v>2386</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7"/>
      <c r="Q29" s="383" t="str">
        <f t="shared" si="11"/>
        <v>有无电梯</v>
      </c>
      <c r="R29" s="448" t="s">
        <v>931</v>
      </c>
      <c r="S29" s="449">
        <f t="shared" si="12"/>
        <v>100</v>
      </c>
      <c r="T29" s="448" t="s">
        <v>931</v>
      </c>
      <c r="U29" s="449">
        <f t="shared" si="13"/>
        <v>100</v>
      </c>
      <c r="V29" s="448" t="s">
        <v>931</v>
      </c>
      <c r="W29" s="449">
        <f t="shared" si="14"/>
        <v>100</v>
      </c>
      <c r="X29" s="443"/>
      <c r="Y29" s="3357"/>
      <c r="Z29" s="442" t="str">
        <f t="shared" si="15"/>
        <v>有无电梯</v>
      </c>
      <c r="AA29" s="454">
        <f t="shared" si="3"/>
        <v>1</v>
      </c>
      <c r="AB29" s="454">
        <f t="shared" si="4"/>
        <v>1</v>
      </c>
      <c r="AC29" s="454">
        <f t="shared" si="5"/>
        <v>1</v>
      </c>
    </row>
    <row r="30" spans="1:29" ht="15">
      <c r="A30" s="293"/>
      <c r="B30" s="289" t="s">
        <v>550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7"/>
      <c r="Q30" s="383" t="str">
        <f t="shared" si="11"/>
        <v>建筑面积</v>
      </c>
      <c r="R30" s="448" t="s">
        <v>931</v>
      </c>
      <c r="S30" s="449" t="e">
        <f t="shared" si="12"/>
        <v>#N/A</v>
      </c>
      <c r="T30" s="448" t="s">
        <v>931</v>
      </c>
      <c r="U30" s="449" t="e">
        <f t="shared" si="13"/>
        <v>#N/A</v>
      </c>
      <c r="V30" s="448" t="s">
        <v>931</v>
      </c>
      <c r="W30" s="449" t="e">
        <f t="shared" si="14"/>
        <v>#N/A</v>
      </c>
      <c r="X30" s="443"/>
      <c r="Y30" s="3357"/>
      <c r="Z30" s="442" t="str">
        <f t="shared" si="15"/>
        <v>建筑面积</v>
      </c>
      <c r="AA30" s="454" t="e">
        <f t="shared" si="3"/>
        <v>#N/A</v>
      </c>
      <c r="AB30" s="454" t="e">
        <f t="shared" si="4"/>
        <v>#N/A</v>
      </c>
      <c r="AC30" s="454" t="e">
        <f t="shared" si="5"/>
        <v>#N/A</v>
      </c>
    </row>
    <row r="31" spans="1:29" s="190" customFormat="1" ht="15">
      <c r="A31" s="296"/>
      <c r="B31" s="289" t="s">
        <v>2387</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7"/>
      <c r="Q31" s="447" t="str">
        <f t="shared" si="11"/>
        <v>是否封闭</v>
      </c>
      <c r="R31" s="444" t="s">
        <v>931</v>
      </c>
      <c r="S31" s="445">
        <f t="shared" si="12"/>
        <v>100</v>
      </c>
      <c r="T31" s="444" t="s">
        <v>931</v>
      </c>
      <c r="U31" s="445">
        <f t="shared" si="13"/>
        <v>100</v>
      </c>
      <c r="V31" s="444" t="s">
        <v>931</v>
      </c>
      <c r="W31" s="445">
        <f t="shared" si="14"/>
        <v>100</v>
      </c>
      <c r="X31" s="446"/>
      <c r="Y31" s="3357"/>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7" t="s">
        <v>954</v>
      </c>
      <c r="Q32" s="383">
        <f t="shared" si="11"/>
        <v>111</v>
      </c>
      <c r="R32" s="448" t="s">
        <v>931</v>
      </c>
      <c r="S32" s="449">
        <f t="shared" si="12"/>
        <v>100</v>
      </c>
      <c r="T32" s="448" t="s">
        <v>931</v>
      </c>
      <c r="U32" s="449">
        <f t="shared" si="13"/>
        <v>100</v>
      </c>
      <c r="V32" s="448" t="s">
        <v>931</v>
      </c>
      <c r="W32" s="449">
        <f t="shared" si="14"/>
        <v>100</v>
      </c>
      <c r="X32" s="443"/>
      <c r="Y32" s="3357" t="s">
        <v>954</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7"/>
      <c r="Q33" s="383">
        <f t="shared" si="11"/>
        <v>111</v>
      </c>
      <c r="R33" s="448" t="s">
        <v>931</v>
      </c>
      <c r="S33" s="449">
        <f t="shared" si="12"/>
        <v>100</v>
      </c>
      <c r="T33" s="448" t="s">
        <v>931</v>
      </c>
      <c r="U33" s="449">
        <f t="shared" si="13"/>
        <v>100</v>
      </c>
      <c r="V33" s="448" t="s">
        <v>931</v>
      </c>
      <c r="W33" s="449">
        <f t="shared" si="14"/>
        <v>100</v>
      </c>
      <c r="X33" s="443"/>
      <c r="Y33" s="3357"/>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7"/>
      <c r="Q34" s="383">
        <f t="shared" si="11"/>
        <v>111</v>
      </c>
      <c r="R34" s="448" t="s">
        <v>931</v>
      </c>
      <c r="S34" s="449">
        <f t="shared" si="12"/>
        <v>100</v>
      </c>
      <c r="T34" s="448" t="s">
        <v>931</v>
      </c>
      <c r="U34" s="449">
        <f t="shared" si="13"/>
        <v>100</v>
      </c>
      <c r="V34" s="448" t="s">
        <v>931</v>
      </c>
      <c r="W34" s="449">
        <f t="shared" si="14"/>
        <v>100</v>
      </c>
      <c r="X34" s="443"/>
      <c r="Y34" s="3357"/>
      <c r="Z34" s="442">
        <f t="shared" si="15"/>
        <v>111</v>
      </c>
      <c r="AA34" s="454">
        <f t="shared" si="3"/>
        <v>1</v>
      </c>
      <c r="AB34" s="454">
        <f t="shared" si="4"/>
        <v>1</v>
      </c>
      <c r="AC34" s="454">
        <f t="shared" si="5"/>
        <v>1</v>
      </c>
    </row>
    <row r="35" spans="1:29" ht="14.4">
      <c r="A35" s="303" t="s">
        <v>1297</v>
      </c>
      <c r="B35" s="304"/>
      <c r="C35" s="305" t="s">
        <v>138</v>
      </c>
      <c r="D35" s="306"/>
      <c r="E35" s="307"/>
      <c r="F35" s="308"/>
      <c r="G35" s="309"/>
      <c r="H35" s="310"/>
      <c r="I35" s="307"/>
      <c r="J35" s="310"/>
      <c r="K35" s="397"/>
      <c r="L35" s="398"/>
      <c r="M35" s="319"/>
      <c r="N35" s="378"/>
      <c r="O35" s="319"/>
      <c r="P35" s="3353" t="str">
        <f>A35</f>
        <v>成交单价（元/平方米）</v>
      </c>
      <c r="Q35" s="3353"/>
      <c r="R35" s="3421">
        <f>E35</f>
        <v>0</v>
      </c>
      <c r="S35" s="3421"/>
      <c r="T35" s="3421">
        <f>G35</f>
        <v>0</v>
      </c>
      <c r="U35" s="3421"/>
      <c r="V35" s="3421">
        <f>I35</f>
        <v>0</v>
      </c>
      <c r="W35" s="3421"/>
      <c r="X35" s="330"/>
      <c r="Y35" s="466"/>
      <c r="Z35" s="330"/>
      <c r="AA35" s="330"/>
      <c r="AB35" s="330"/>
      <c r="AC35" s="330"/>
    </row>
    <row r="36" spans="1:29" ht="14.4">
      <c r="A36" s="311" t="s">
        <v>965</v>
      </c>
      <c r="B36" s="312"/>
      <c r="C36" s="313" t="e">
        <f>R37</f>
        <v>#DIV/0!</v>
      </c>
      <c r="D36" s="314"/>
      <c r="E36" s="315" t="e">
        <f>R36</f>
        <v>#DIV/0!</v>
      </c>
      <c r="F36" s="315"/>
      <c r="G36" s="313" t="e">
        <f>T36</f>
        <v>#DIV/0!</v>
      </c>
      <c r="H36" s="314"/>
      <c r="I36" s="315" t="e">
        <f>V36</f>
        <v>#DIV/0!</v>
      </c>
      <c r="J36" s="314"/>
      <c r="K36" s="399"/>
      <c r="L36" s="398"/>
      <c r="M36" s="319"/>
      <c r="N36" s="378"/>
      <c r="O36" s="319"/>
      <c r="P36" s="3353" t="str">
        <f>A36</f>
        <v>比较价格（元/平方米）</v>
      </c>
      <c r="Q36" s="3353"/>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30"/>
      <c r="Y36" s="330"/>
      <c r="Z36" s="330"/>
      <c r="AA36" s="330"/>
      <c r="AB36" s="330"/>
      <c r="AC36" s="330"/>
    </row>
    <row r="37" spans="1:29" ht="14.4">
      <c r="A37" s="316" t="s">
        <v>966</v>
      </c>
      <c r="B37" s="317"/>
      <c r="C37" s="318" t="e">
        <f>R37</f>
        <v>#DIV/0!</v>
      </c>
      <c r="D37" s="318"/>
      <c r="E37" s="318"/>
      <c r="F37" s="318"/>
      <c r="G37" s="318"/>
      <c r="H37" s="318"/>
      <c r="I37" s="318"/>
      <c r="J37" s="318"/>
      <c r="K37" s="400"/>
      <c r="L37" s="398"/>
      <c r="M37" s="319"/>
      <c r="N37" s="319"/>
      <c r="O37" s="319"/>
      <c r="P37" s="3359" t="str">
        <f>A37</f>
        <v>估价对象XX用房的比较价格（楼面单价，元/平方米）</v>
      </c>
      <c r="Q37" s="3360"/>
      <c r="R37" s="3423" t="e">
        <f>IF(F1="售价",ROUND(AVERAGE(R36:V36),0),ROUND(AVERAGE(R36:V36),1))</f>
        <v>#DIV/0!</v>
      </c>
      <c r="S37" s="3423"/>
      <c r="T37" s="3423"/>
      <c r="U37" s="3423"/>
      <c r="V37" s="3423"/>
      <c r="W37" s="3423"/>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967</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968</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969</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6">
      <c r="A45" s="329" t="s">
        <v>991</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4.4">
      <c r="A46" s="333" t="s">
        <v>929</v>
      </c>
      <c r="B46" s="334"/>
      <c r="C46" s="335" t="str">
        <f>YEAR(C7)&amp;"-"&amp;MONTH(C7)</f>
        <v>2019-7</v>
      </c>
      <c r="D46" s="336">
        <f>EDATE(C46,-1)</f>
        <v>43617</v>
      </c>
      <c r="E46" s="336">
        <f t="shared" ref="E46:O46" si="16">EDATE(D46,-1)</f>
        <v>43586</v>
      </c>
      <c r="F46" s="336">
        <f t="shared" si="16"/>
        <v>43556</v>
      </c>
      <c r="G46" s="336">
        <f t="shared" si="16"/>
        <v>43525</v>
      </c>
      <c r="H46" s="336">
        <f t="shared" si="16"/>
        <v>43497</v>
      </c>
      <c r="I46" s="336">
        <f t="shared" si="16"/>
        <v>43466</v>
      </c>
      <c r="J46" s="336">
        <f t="shared" si="16"/>
        <v>43435</v>
      </c>
      <c r="K46" s="336">
        <f t="shared" si="16"/>
        <v>43405</v>
      </c>
      <c r="L46" s="336">
        <f t="shared" si="16"/>
        <v>43374</v>
      </c>
      <c r="M46" s="336">
        <f t="shared" si="16"/>
        <v>43344</v>
      </c>
      <c r="N46" s="336">
        <f t="shared" si="16"/>
        <v>43313</v>
      </c>
      <c r="O46" s="336">
        <f t="shared" si="16"/>
        <v>43282</v>
      </c>
      <c r="P46" s="409"/>
      <c r="Q46" s="455"/>
      <c r="R46" s="455"/>
      <c r="S46" s="455"/>
      <c r="T46" s="455"/>
      <c r="U46" s="455"/>
      <c r="V46" s="455"/>
      <c r="W46" s="455"/>
      <c r="X46" s="455"/>
      <c r="Y46" s="455"/>
      <c r="Z46" s="455"/>
      <c r="AA46" s="455"/>
      <c r="AB46" s="455"/>
      <c r="AC46" s="455"/>
    </row>
    <row r="47" spans="1:29" s="190" customFormat="1">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4.4">
      <c r="A48" s="341" t="s">
        <v>1108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4.4">
      <c r="A49" s="345" t="s">
        <v>932</v>
      </c>
      <c r="B49" s="338"/>
      <c r="C49" s="346" t="s">
        <v>933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ht="14.4">
      <c r="A51" s="348" t="s">
        <v>995</v>
      </c>
      <c r="B51" s="349" t="s">
        <v>996</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8.8">
      <c r="A53" s="352"/>
      <c r="B53" s="355" t="s">
        <v>997</v>
      </c>
      <c r="C53" s="356" t="s">
        <v>1298</v>
      </c>
      <c r="D53" s="356" t="s">
        <v>1299</v>
      </c>
      <c r="E53" s="356" t="s">
        <v>1300</v>
      </c>
      <c r="F53" s="356" t="s">
        <v>1301</v>
      </c>
      <c r="G53" s="356" t="s">
        <v>1302</v>
      </c>
      <c r="H53" s="356" t="s">
        <v>1303</v>
      </c>
      <c r="I53" s="356" t="s">
        <v>1304</v>
      </c>
      <c r="J53" s="356"/>
      <c r="K53" s="426"/>
      <c r="L53" s="427"/>
      <c r="M53" s="428"/>
      <c r="N53" s="422"/>
      <c r="O53" s="422"/>
      <c r="P53" s="423"/>
      <c r="Q53" s="412"/>
      <c r="R53" s="319"/>
      <c r="S53" s="319"/>
      <c r="T53" s="319"/>
      <c r="U53" s="319"/>
      <c r="V53" s="319"/>
      <c r="W53" s="319"/>
      <c r="X53" s="319"/>
      <c r="Y53" s="319"/>
      <c r="Z53" s="319"/>
      <c r="AA53" s="319"/>
      <c r="AB53" s="319"/>
      <c r="AC53" s="319"/>
    </row>
    <row r="54" spans="1:29">
      <c r="A54" s="352"/>
      <c r="B54" s="357"/>
      <c r="C54" s="358" t="s">
        <v>990</v>
      </c>
      <c r="D54" s="358" t="s">
        <v>990</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ht="14.4">
      <c r="A61" s="348" t="s">
        <v>999</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4.4">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4.4">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4.4">
      <c r="A67" s="352"/>
      <c r="B67" s="355" t="s">
        <v>1278</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4.4">
      <c r="A69" s="352"/>
      <c r="B69" s="355" t="s">
        <v>2363</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ht="14.4">
      <c r="A77" s="348" t="s">
        <v>1008</v>
      </c>
      <c r="B77" s="349" t="s">
        <v>1289</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4.4">
      <c r="A79" s="352"/>
      <c r="B79" s="355" t="s">
        <v>2379</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ht="14.4">
      <c r="A82" s="474"/>
      <c r="B82" s="469" t="s">
        <v>2380</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ht="14.4">
      <c r="A84" s="474"/>
      <c r="B84" s="355" t="s">
        <v>2386</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ht="14.4">
      <c r="A86" s="474"/>
      <c r="B86" s="469" t="s">
        <v>550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ht="14.4">
      <c r="A89" s="476"/>
      <c r="B89" s="355" t="s">
        <v>2387</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J56" sqref="J56"/>
    </sheetView>
  </sheetViews>
  <sheetFormatPr defaultColWidth="9" defaultRowHeight="13.2"/>
  <cols>
    <col min="1" max="1" width="11.44140625" style="75"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2388</v>
      </c>
      <c r="C1" s="3474" t="s">
        <v>2389</v>
      </c>
      <c r="D1" s="3475"/>
      <c r="E1" s="3475"/>
      <c r="F1" s="3475"/>
      <c r="G1" s="3475"/>
      <c r="H1" s="3475"/>
      <c r="I1" s="3475"/>
      <c r="J1" s="3475"/>
      <c r="K1" s="3475"/>
      <c r="L1" s="3475"/>
      <c r="M1" s="3475"/>
      <c r="N1" s="3475"/>
      <c r="O1" s="3475"/>
      <c r="P1" s="3475"/>
      <c r="Q1" s="3475"/>
      <c r="R1" s="3475"/>
      <c r="S1" s="3476"/>
      <c r="T1" s="79" t="s">
        <v>2390</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2391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2392</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2393</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2394</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2395</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2396</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2397</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2398</v>
      </c>
      <c r="B17" s="108" t="s">
        <v>1120</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6">
      <c r="A20" s="118" t="s">
        <v>2399</v>
      </c>
      <c r="B20" s="119">
        <f>S22</f>
        <v>0</v>
      </c>
      <c r="C20" s="117"/>
      <c r="D20" s="117"/>
      <c r="E20" s="117"/>
      <c r="F20" s="117"/>
      <c r="G20" s="117"/>
      <c r="H20" s="117"/>
      <c r="I20" s="117"/>
      <c r="J20" s="117"/>
      <c r="K20" s="117"/>
      <c r="L20" s="117"/>
      <c r="M20" s="117"/>
      <c r="N20" s="117"/>
      <c r="O20" s="117"/>
      <c r="P20" s="117"/>
      <c r="Q20" s="117"/>
      <c r="R20" s="179"/>
      <c r="S20" s="180"/>
    </row>
    <row r="21" spans="1:45" ht="15.6">
      <c r="A21" s="118" t="s">
        <v>2400</v>
      </c>
      <c r="B21" s="119" t="e">
        <f>R22</f>
        <v>#DIV/0!</v>
      </c>
      <c r="C21" s="117"/>
      <c r="D21" s="117"/>
      <c r="E21" s="117"/>
      <c r="F21" s="117"/>
      <c r="G21" s="117"/>
      <c r="H21" s="117"/>
      <c r="I21" s="117"/>
      <c r="J21" s="117"/>
      <c r="K21" s="117"/>
      <c r="L21" s="117"/>
      <c r="M21" s="117"/>
      <c r="N21" s="117"/>
      <c r="O21" s="117"/>
      <c r="P21" s="117"/>
      <c r="Q21" s="117"/>
      <c r="R21" s="179"/>
      <c r="S21" s="180"/>
    </row>
    <row r="22" spans="1:45">
      <c r="A22" s="120" t="s">
        <v>2401</v>
      </c>
      <c r="B22" s="121">
        <f>SUM(B24:B10000)</f>
        <v>0</v>
      </c>
      <c r="C22" s="3477" t="s">
        <v>138</v>
      </c>
      <c r="D22" s="3478"/>
      <c r="E22" s="3478"/>
      <c r="F22" s="3478"/>
      <c r="G22" s="3478"/>
      <c r="H22" s="3478"/>
      <c r="I22" s="3478"/>
      <c r="J22" s="3478"/>
      <c r="K22" s="3478"/>
      <c r="L22" s="3478"/>
      <c r="M22" s="3478"/>
      <c r="N22" s="3478"/>
      <c r="O22" s="3478"/>
      <c r="P22" s="3478"/>
      <c r="Q22" s="3479"/>
      <c r="R22" s="182" t="e">
        <f>ROUND(S22*10000/B22,0)</f>
        <v>#DIV/0!</v>
      </c>
      <c r="S22" s="121">
        <f>SUM(S24:S10000)</f>
        <v>0</v>
      </c>
    </row>
    <row r="23" spans="1:45" s="73" customFormat="1" ht="24">
      <c r="A23" s="124" t="s">
        <v>2402</v>
      </c>
      <c r="B23" s="124" t="s">
        <v>452</v>
      </c>
      <c r="C23" s="124" t="s">
        <v>1180</v>
      </c>
      <c r="D23" s="124" t="str">
        <f>B5</f>
        <v>修正项2</v>
      </c>
      <c r="E23" s="124" t="s">
        <v>1180</v>
      </c>
      <c r="F23" s="124" t="str">
        <f>B7</f>
        <v>修正项3</v>
      </c>
      <c r="G23" s="124" t="s">
        <v>1180</v>
      </c>
      <c r="H23" s="124" t="str">
        <f>B9</f>
        <v>修正项4</v>
      </c>
      <c r="I23" s="124" t="s">
        <v>1180</v>
      </c>
      <c r="J23" s="124" t="str">
        <f>B11</f>
        <v>修正项5</v>
      </c>
      <c r="K23" s="124" t="s">
        <v>1180</v>
      </c>
      <c r="L23" s="124" t="str">
        <f>B13</f>
        <v>修正项6</v>
      </c>
      <c r="M23" s="124" t="s">
        <v>1180</v>
      </c>
      <c r="N23" s="124" t="str">
        <f>B15</f>
        <v>修正项7</v>
      </c>
      <c r="O23" s="124" t="s">
        <v>1180</v>
      </c>
      <c r="P23" s="124" t="str">
        <f>B17</f>
        <v>楼层</v>
      </c>
      <c r="Q23" s="124" t="s">
        <v>1180</v>
      </c>
      <c r="R23" s="183" t="s">
        <v>2403</v>
      </c>
      <c r="S23" s="124" t="s">
        <v>2404</v>
      </c>
      <c r="T23" s="184"/>
      <c r="U23" s="184"/>
      <c r="V23" s="184"/>
      <c r="W23" s="184"/>
      <c r="X23" s="184"/>
      <c r="Y23" s="184"/>
      <c r="Z23" s="184"/>
      <c r="AA23" s="184"/>
      <c r="AB23" s="184"/>
      <c r="AC23" s="184"/>
      <c r="AD23" s="184"/>
      <c r="AE23" s="184"/>
      <c r="AF23" s="184"/>
      <c r="AG23" s="184"/>
      <c r="AH23" s="184"/>
      <c r="AI23" s="184"/>
    </row>
    <row r="24" spans="1:45" s="74" customFormat="1">
      <c r="A24" s="125" t="s">
        <v>2405</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2406</v>
      </c>
      <c r="C1" s="8">
        <f>项目基本情况!D3</f>
        <v>43654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2407</v>
      </c>
      <c r="C2" s="12">
        <f>'数据-取费表'!B22</f>
        <v>3</v>
      </c>
      <c r="D2" s="7" t="s">
        <v>2408</v>
      </c>
      <c r="E2" s="13">
        <f ca="1">INDIRECT("I"&amp;$I$1)/100</f>
        <v>4.7500000000000001E-2</v>
      </c>
      <c r="G2" s="10"/>
      <c r="H2" s="10"/>
      <c r="I2" s="10" t="s">
        <v>2408</v>
      </c>
      <c r="K2" s="10"/>
      <c r="L2" s="10"/>
      <c r="M2" s="10"/>
      <c r="N2" s="10" t="s">
        <v>2409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2410</v>
      </c>
      <c r="C3" s="14">
        <f>'数据-取费表'!B19</f>
        <v>0</v>
      </c>
      <c r="D3" s="7" t="s">
        <v>2408</v>
      </c>
      <c r="E3" s="13">
        <f ca="1">INDIRECT("J"&amp;$J$1)/100</f>
        <v>0</v>
      </c>
      <c r="G3" s="15" t="s">
        <v>2411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2412</v>
      </c>
      <c r="C4" s="13">
        <f ca="1">N4/100</f>
        <v>1.4999999999999999E-2</v>
      </c>
      <c r="G4" s="17" t="s">
        <v>2413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2414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2415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2416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2417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2418</v>
      </c>
      <c r="C10" s="28"/>
      <c r="D10" s="28"/>
      <c r="E10" s="28"/>
      <c r="F10" s="28"/>
      <c r="G10" s="28"/>
      <c r="H10" s="28"/>
      <c r="I10" s="3"/>
      <c r="J10" s="3"/>
      <c r="K10" s="28"/>
      <c r="L10" s="29" t="s">
        <v>2419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2420</v>
      </c>
      <c r="C11" s="32" t="s">
        <v>2421</v>
      </c>
      <c r="D11" s="33" t="s">
        <v>2422</v>
      </c>
      <c r="E11" s="34"/>
      <c r="F11" s="33" t="s">
        <v>2423</v>
      </c>
      <c r="G11" s="35"/>
      <c r="H11" s="34"/>
      <c r="I11" s="33" t="s">
        <v>2424</v>
      </c>
      <c r="J11" s="34"/>
      <c r="K11" s="30"/>
      <c r="L11" s="31" t="s">
        <v>2420</v>
      </c>
      <c r="M11" s="32" t="s">
        <v>2421</v>
      </c>
      <c r="N11" s="31" t="s">
        <v>2425</v>
      </c>
      <c r="O11" s="33" t="s">
        <v>2426</v>
      </c>
      <c r="P11" s="35"/>
      <c r="Q11" s="35"/>
      <c r="R11" s="35"/>
      <c r="S11" s="35"/>
      <c r="T11" s="34"/>
      <c r="U11" s="33" t="s">
        <v>2427</v>
      </c>
      <c r="V11" s="35"/>
      <c r="W11" s="34"/>
      <c r="X11" s="31" t="s">
        <v>2428</v>
      </c>
      <c r="Y11" s="31" t="s">
        <v>2429</v>
      </c>
      <c r="Z11" s="31" t="s">
        <v>2430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2431</v>
      </c>
      <c r="E12" s="39" t="s">
        <v>2413</v>
      </c>
      <c r="F12" s="39" t="s">
        <v>2414</v>
      </c>
      <c r="G12" s="39" t="s">
        <v>2415</v>
      </c>
      <c r="H12" s="39" t="s">
        <v>2416</v>
      </c>
      <c r="I12" s="59" t="s">
        <v>2432</v>
      </c>
      <c r="J12" s="59" t="s">
        <v>2432</v>
      </c>
      <c r="K12" s="36"/>
      <c r="L12" s="37"/>
      <c r="M12" s="38"/>
      <c r="N12" s="37"/>
      <c r="O12" s="59" t="s">
        <v>2433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2434</v>
      </c>
      <c r="C13" s="42">
        <v>42301</v>
      </c>
      <c r="D13" s="43">
        <v>4.3499999999999996</v>
      </c>
      <c r="E13" s="43">
        <v>4.3499999999999996</v>
      </c>
      <c r="F13" s="43">
        <v>4.75</v>
      </c>
      <c r="G13" s="43">
        <v>4.75</v>
      </c>
      <c r="H13" s="43">
        <v>4.9000000000000004</v>
      </c>
      <c r="I13" s="43">
        <v>2.75</v>
      </c>
      <c r="J13" s="43">
        <v>3.25</v>
      </c>
      <c r="K13" s="40"/>
      <c r="L13" s="41" t="s">
        <v>2434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1540</v>
      </c>
      <c r="Y42" s="44" t="s">
        <v>1540</v>
      </c>
      <c r="Z42" s="44" t="s">
        <v>1540</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1540</v>
      </c>
      <c r="Y43" s="44" t="s">
        <v>1540</v>
      </c>
      <c r="Z43" s="44" t="s">
        <v>1540</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1540</v>
      </c>
      <c r="Y44" s="44" t="s">
        <v>1540</v>
      </c>
      <c r="Z44" s="44" t="s">
        <v>1540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1540</v>
      </c>
      <c r="Y45" s="44" t="s">
        <v>1540</v>
      </c>
      <c r="Z45" s="44" t="s">
        <v>1540</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1540</v>
      </c>
      <c r="Y46" s="44" t="s">
        <v>1540</v>
      </c>
      <c r="Z46" s="44" t="s">
        <v>1540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1540</v>
      </c>
      <c r="Y47" s="44" t="s">
        <v>1540</v>
      </c>
      <c r="Z47" s="44" t="s">
        <v>1540</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1540</v>
      </c>
      <c r="Y48" s="44" t="s">
        <v>1540</v>
      </c>
      <c r="Z48" s="44" t="s">
        <v>1540</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1540</v>
      </c>
      <c r="Y49" s="44" t="s">
        <v>1540</v>
      </c>
      <c r="Z49" s="44" t="s">
        <v>1540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1540</v>
      </c>
      <c r="Y50" s="44" t="s">
        <v>1540</v>
      </c>
      <c r="Z50" s="44" t="s">
        <v>1540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1540</v>
      </c>
      <c r="V51" s="44" t="s">
        <v>1540</v>
      </c>
      <c r="W51" s="44" t="s">
        <v>1540</v>
      </c>
      <c r="X51" s="44" t="s">
        <v>1540</v>
      </c>
      <c r="Y51" s="44" t="s">
        <v>1540</v>
      </c>
      <c r="Z51" s="44" t="s">
        <v>1540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1540</v>
      </c>
      <c r="J55" s="44" t="s">
        <v>1540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78" t="s">
        <v>98</v>
      </c>
      <c r="B1" s="3178"/>
      <c r="C1" s="3178"/>
      <c r="D1" s="3178"/>
      <c r="E1" s="3178"/>
      <c r="F1" s="3178"/>
      <c r="G1" s="3178"/>
      <c r="H1" s="3178"/>
      <c r="I1" s="3178"/>
      <c r="J1" s="3178"/>
      <c r="K1" s="3178"/>
      <c r="L1" s="3178"/>
      <c r="M1" s="3178"/>
      <c r="N1" s="3178"/>
      <c r="O1" s="3178"/>
      <c r="P1" s="3178"/>
      <c r="Q1" s="3178"/>
      <c r="R1" s="3178"/>
    </row>
    <row r="2" spans="1:18">
      <c r="A2" s="3101" t="s">
        <v>99</v>
      </c>
      <c r="B2" s="3101"/>
      <c r="C2" s="3101"/>
      <c r="D2" s="3101"/>
      <c r="E2" s="3101"/>
      <c r="F2" s="3101"/>
      <c r="G2" s="3101"/>
      <c r="H2" s="3101"/>
      <c r="I2" s="3114"/>
      <c r="J2" s="3114"/>
      <c r="K2" s="3115" t="str">
        <f>"估价期日："&amp;TEXT(项目基本情况!D3,"yyyy年m月d日;;")</f>
        <v>估价期日：2019年7月8日</v>
      </c>
      <c r="L2" s="3101"/>
      <c r="M2" s="3101"/>
      <c r="N2" s="3101"/>
      <c r="O2" s="3101"/>
      <c r="P2" s="3101"/>
      <c r="Q2" s="3101"/>
      <c r="R2" s="3115" t="str">
        <f>"估价期日的国有建设用地使用权性质："&amp;项目基本情况!B16</f>
        <v>估价期日的国有建设用地使用权性质：出让</v>
      </c>
    </row>
    <row r="3" spans="1:18" ht="23.25" customHeight="1">
      <c r="A3" s="3184" t="s">
        <v>100</v>
      </c>
      <c r="B3" s="3184" t="s">
        <v>101</v>
      </c>
      <c r="C3" s="3183" t="s">
        <v>102</v>
      </c>
      <c r="D3" s="3184" t="s">
        <v>103</v>
      </c>
      <c r="E3" s="3179" t="s">
        <v>104</v>
      </c>
      <c r="F3" s="3179"/>
      <c r="G3" s="3179"/>
      <c r="H3" s="3179" t="s">
        <v>105</v>
      </c>
      <c r="I3" s="3179"/>
      <c r="J3" s="3179"/>
      <c r="K3" s="3183" t="s">
        <v>106</v>
      </c>
      <c r="L3" s="3183" t="s">
        <v>107</v>
      </c>
      <c r="M3" s="3184" t="s">
        <v>108</v>
      </c>
      <c r="N3" s="3185" t="str">
        <f>"（分摊）"&amp;项目基本情况!B16&amp;"国有建设用地使用权面积/㎡"</f>
        <v>（分摊）出让国有建设用地使用权面积/㎡</v>
      </c>
      <c r="O3" s="3184" t="s">
        <v>109</v>
      </c>
      <c r="P3" s="3183" t="s">
        <v>110</v>
      </c>
      <c r="Q3" s="3183" t="s">
        <v>111</v>
      </c>
      <c r="R3" s="3183" t="s">
        <v>112</v>
      </c>
    </row>
    <row r="4" spans="1:18" ht="36.75" customHeight="1">
      <c r="A4" s="3184"/>
      <c r="B4" s="3184"/>
      <c r="C4" s="3183"/>
      <c r="D4" s="3184"/>
      <c r="E4" s="3103" t="s">
        <v>113</v>
      </c>
      <c r="F4" s="3103" t="s">
        <v>114</v>
      </c>
      <c r="G4" s="3103" t="s">
        <v>115</v>
      </c>
      <c r="H4" s="3103" t="s">
        <v>116</v>
      </c>
      <c r="I4" s="3103" t="s">
        <v>117</v>
      </c>
      <c r="J4" s="3103" t="s">
        <v>115</v>
      </c>
      <c r="K4" s="3183"/>
      <c r="L4" s="3183"/>
      <c r="M4" s="3184"/>
      <c r="N4" s="3185"/>
      <c r="O4" s="3184"/>
      <c r="P4" s="3183"/>
      <c r="Q4" s="3183"/>
      <c r="R4" s="3183"/>
    </row>
    <row r="5" spans="1:18" ht="135" customHeight="1">
      <c r="A5" s="3104" t="s">
        <v>118</v>
      </c>
      <c r="B5" s="3105" t="s">
        <v>119</v>
      </c>
      <c r="C5" s="3106">
        <v>22</v>
      </c>
      <c r="D5" s="3102" t="s">
        <v>120</v>
      </c>
      <c r="E5" s="3107" t="str">
        <f>项目基本情况!B12</f>
        <v>城镇住宅用地、其他商服用地</v>
      </c>
      <c r="F5" s="3102">
        <v>258</v>
      </c>
      <c r="G5" s="3107">
        <f>项目基本情况!B13</f>
        <v>0</v>
      </c>
      <c r="H5" s="3102">
        <v>1.5</v>
      </c>
      <c r="I5" s="3102">
        <v>1.5</v>
      </c>
      <c r="J5" s="3102">
        <v>1.5</v>
      </c>
      <c r="K5" s="3107" t="str">
        <f>"红线外"&amp;项目基本情况!T40&amp;"、宗地红线内"&amp;项目基本情况!B35</f>
        <v>红线外七通、宗地红线内</v>
      </c>
      <c r="L5" s="3107" t="str">
        <f>"红线外"&amp;项目基本情况!T40&amp;"、宗地红线内场地"&amp;项目基本情况!D36</f>
        <v>红线外七通、宗地红线内场地</v>
      </c>
      <c r="M5" s="3107">
        <f>IF(项目基本情况!B16="出让",项目基本情况!D20,"——")</f>
        <v>0</v>
      </c>
      <c r="N5" s="3107">
        <f>项目基本情况!C22</f>
        <v>10309.6</v>
      </c>
      <c r="O5" s="3107">
        <f>项目基本情况!C21</f>
        <v>124721</v>
      </c>
      <c r="P5" s="3107">
        <f ca="1">结果表!E42</f>
        <v>160191</v>
      </c>
      <c r="Q5" s="3107">
        <f ca="1">结果表!D42</f>
        <v>13242</v>
      </c>
      <c r="R5" s="3116">
        <f ca="1">结果表!C42</f>
        <v>165151</v>
      </c>
    </row>
    <row r="6" spans="1:18">
      <c r="A6" s="3180" t="str">
        <f>IF(项目基本情况!B9="市场价格","——","抵押价格")</f>
        <v>抵押价格</v>
      </c>
      <c r="B6" s="3181"/>
      <c r="C6" s="3181"/>
      <c r="D6" s="3181"/>
      <c r="E6" s="3181"/>
      <c r="F6" s="3181"/>
      <c r="G6" s="3181"/>
      <c r="H6" s="3181"/>
      <c r="I6" s="3181"/>
      <c r="J6" s="3181"/>
      <c r="K6" s="3181"/>
      <c r="L6" s="3181"/>
      <c r="M6" s="3181"/>
      <c r="N6" s="3181"/>
      <c r="O6" s="3181"/>
      <c r="P6" s="3181"/>
      <c r="Q6" s="3182"/>
      <c r="R6" s="3117">
        <f ca="1">结果表!O39</f>
        <v>165151</v>
      </c>
    </row>
    <row r="7" spans="1:18">
      <c r="A7" s="3180" t="str">
        <f>IF(项目基本情况!B9="市场价格","——",IF(项目基本情况!E8="已注销及未注销","抵押担保权已注销时的抵押价格","——"))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3117" t="str">
        <f>结果表!O40</f>
        <v>——</v>
      </c>
    </row>
    <row r="8" spans="1:18">
      <c r="A8" s="3180" t="str">
        <f>IF(项目基本情况!B9="市场价格","——",项目基本情况!E9)</f>
        <v>——</v>
      </c>
      <c r="B8" s="3181"/>
      <c r="C8" s="3181"/>
      <c r="D8" s="3181"/>
      <c r="E8" s="3181"/>
      <c r="F8" s="3181"/>
      <c r="G8" s="3181"/>
      <c r="H8" s="3181"/>
      <c r="I8" s="3181"/>
      <c r="J8" s="3181"/>
      <c r="K8" s="3181"/>
      <c r="L8" s="3181"/>
      <c r="M8" s="3181"/>
      <c r="N8" s="3181"/>
      <c r="O8" s="3181"/>
      <c r="P8" s="3181"/>
      <c r="Q8" s="3182"/>
      <c r="R8" s="3117" t="str">
        <f>结果表!O41</f>
        <v>——</v>
      </c>
    </row>
    <row r="9" spans="1:18">
      <c r="A9" s="3108" t="s">
        <v>121</v>
      </c>
      <c r="B9" s="3101"/>
      <c r="C9" s="3101"/>
      <c r="D9" s="3101"/>
      <c r="E9" s="3101"/>
      <c r="F9" s="3101"/>
      <c r="G9" s="3101"/>
      <c r="H9" s="3101"/>
      <c r="I9" s="3101"/>
      <c r="J9" s="3101"/>
      <c r="K9" s="3101"/>
      <c r="L9" s="3101"/>
      <c r="M9" s="3101"/>
      <c r="N9" s="3101"/>
      <c r="O9" s="3101"/>
      <c r="P9" s="3101"/>
      <c r="Q9" s="3101"/>
      <c r="R9" s="3101"/>
    </row>
    <row r="10" spans="1:18">
      <c r="A10" s="3109"/>
      <c r="B10" s="3101"/>
      <c r="C10" s="3101"/>
      <c r="D10" s="3101"/>
      <c r="E10" s="3101"/>
      <c r="F10" s="3101"/>
      <c r="G10" s="3101"/>
      <c r="H10" s="3101"/>
      <c r="I10" s="3101"/>
      <c r="J10" s="3101"/>
      <c r="K10" s="3101"/>
      <c r="L10" s="3101"/>
      <c r="M10" s="3101"/>
      <c r="N10" s="3101"/>
      <c r="O10" s="3101"/>
      <c r="P10" s="3101"/>
      <c r="Q10" s="3101"/>
      <c r="R10" s="3101"/>
    </row>
    <row r="11" spans="1:18">
      <c r="A11" s="3109" t="s">
        <v>94</v>
      </c>
      <c r="B11" s="3110"/>
      <c r="C11" s="3110"/>
      <c r="D11" s="3110"/>
      <c r="E11" s="3110"/>
      <c r="F11" s="3110"/>
      <c r="G11" s="3110"/>
      <c r="H11" s="3110"/>
      <c r="I11" s="3110"/>
      <c r="J11" s="3110"/>
      <c r="K11" s="3110"/>
      <c r="L11" s="3110"/>
      <c r="M11" s="3110"/>
      <c r="N11" s="3110"/>
      <c r="O11" s="3110"/>
      <c r="P11" s="3110"/>
      <c r="Q11" s="3110"/>
      <c r="R11" s="3110"/>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11"/>
      <c r="B14" s="2758"/>
      <c r="C14" s="2758"/>
      <c r="D14" s="2758"/>
      <c r="E14" s="2758"/>
      <c r="F14" s="2758"/>
      <c r="G14" s="2758"/>
      <c r="H14" s="2758"/>
      <c r="I14" s="2758"/>
      <c r="J14" s="2758"/>
      <c r="K14" s="2758"/>
      <c r="L14" s="2758"/>
      <c r="M14" s="2758"/>
      <c r="N14" s="2758"/>
      <c r="O14" s="2758"/>
      <c r="P14" s="2758"/>
      <c r="Q14" s="2758"/>
      <c r="R14" s="2758"/>
    </row>
    <row r="15" spans="1:18">
      <c r="A15" s="3112"/>
    </row>
    <row r="16" spans="1:18">
      <c r="A16" s="3112"/>
    </row>
    <row r="17" spans="1:1">
      <c r="A17" s="3112"/>
    </row>
    <row r="18" spans="1:1">
      <c r="A18" s="3112"/>
    </row>
    <row r="19" spans="1:1">
      <c r="A19" s="3112"/>
    </row>
    <row r="20" spans="1:1">
      <c r="A20" s="3113"/>
    </row>
    <row r="21" spans="1:1">
      <c r="A21" s="3113"/>
    </row>
    <row r="22" spans="1:1">
      <c r="A22" s="3112"/>
    </row>
    <row r="23" spans="1:1">
      <c r="A23" s="3112"/>
    </row>
    <row r="24" spans="1:1">
      <c r="A24" s="3112"/>
    </row>
    <row r="25" spans="1:1">
      <c r="A25" s="3112"/>
    </row>
    <row r="26" spans="1:1">
      <c r="A26" s="3112"/>
    </row>
    <row r="27" spans="1:1">
      <c r="A27" s="3112"/>
    </row>
    <row r="28" spans="1:1">
      <c r="A28" s="3112"/>
    </row>
    <row r="29" spans="1:1">
      <c r="A29" s="3112"/>
    </row>
    <row r="30" spans="1:1">
      <c r="A30" s="3112"/>
    </row>
    <row r="31" spans="1:1">
      <c r="A31" s="3112"/>
    </row>
    <row r="32" spans="1:1">
      <c r="A32" s="3112"/>
    </row>
    <row r="33" spans="1:1">
      <c r="A33" s="3112"/>
    </row>
    <row r="34" spans="1:1">
      <c r="A34" s="3112"/>
    </row>
    <row r="35" spans="1:1">
      <c r="A35" s="3112"/>
    </row>
    <row r="36" spans="1:1">
      <c r="A36" s="3112"/>
    </row>
    <row r="37" spans="1:1">
      <c r="A37" s="3112"/>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1"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094" customWidth="1"/>
    <col min="2" max="3" width="21.33203125" style="3094" customWidth="1"/>
    <col min="4" max="4" width="19.88671875" style="3094" customWidth="1"/>
    <col min="5" max="16384" width="9" style="3094"/>
  </cols>
  <sheetData>
    <row r="1" spans="1:4">
      <c r="A1" s="3186" t="s">
        <v>122</v>
      </c>
      <c r="B1" s="3186"/>
      <c r="C1" s="3186"/>
      <c r="D1" s="3186"/>
    </row>
    <row r="2" spans="1:4" ht="47.25" customHeight="1">
      <c r="A2" s="3187" t="str">
        <f>"1.权利限制："&amp;项目基本情况!L24&amp;"未设定租赁等其他他项权利。"</f>
        <v>1.权利限制：根据估价对象《不动产权证书》原件、《国有土地使用权》复印件，截至估价期日，估价对象抵押权未见登记。未设定租赁等其他他项权利。</v>
      </c>
      <c r="B2" s="3187"/>
      <c r="C2" s="3187"/>
      <c r="D2" s="3187"/>
    </row>
    <row r="3" spans="1:4" ht="48" customHeight="1">
      <c r="A3" s="31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6"/>
      <c r="C3" s="3186"/>
      <c r="D3" s="3186"/>
    </row>
    <row r="4" spans="1:4" ht="36.75" customHeight="1">
      <c r="A4" s="3186" t="str">
        <f>"3.估价规划限制条件：详见"&amp;项目基本情况!E21&amp;"。"</f>
        <v>3.估价规划限制条件：详见《建设工程规划许可证》[]、《出让合同》[]。</v>
      </c>
      <c r="B4" s="3186"/>
      <c r="C4" s="3186"/>
      <c r="D4" s="3186"/>
    </row>
    <row r="5" spans="1:4">
      <c r="A5" s="3188" t="s">
        <v>123</v>
      </c>
      <c r="B5" s="3188"/>
      <c r="C5" s="3188"/>
      <c r="D5" s="3188"/>
    </row>
    <row r="6" spans="1:4">
      <c r="A6" s="3186" t="s">
        <v>124</v>
      </c>
      <c r="B6" s="3186"/>
      <c r="C6" s="3186"/>
      <c r="D6" s="3186"/>
    </row>
    <row r="7" spans="1:4" ht="33" customHeight="1">
      <c r="A7" s="3186" t="s">
        <v>125</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9"/>
      <c r="C11" s="3189"/>
      <c r="D11" s="3189"/>
    </row>
    <row r="12" spans="1:4" ht="168" customHeight="1">
      <c r="A12" s="3188" t="s">
        <v>126</v>
      </c>
      <c r="B12" s="3188"/>
      <c r="C12" s="3188"/>
      <c r="D12" s="3188"/>
    </row>
    <row r="13" spans="1:4">
      <c r="A13" s="3190" t="s">
        <v>127</v>
      </c>
      <c r="B13" s="3190"/>
      <c r="C13" s="3190"/>
      <c r="D13" s="3190"/>
    </row>
    <row r="14" spans="1:4">
      <c r="A14" s="3189" t="str">
        <f>IF(项目基本情况!B8="抵押","综上，"&amp;结果表!K47,"——")</f>
        <v>综上，本次评估不存在估价师知悉的法定优先受偿款</v>
      </c>
      <c r="B14" s="3189"/>
      <c r="C14" s="3189"/>
      <c r="D14" s="3189"/>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128</v>
      </c>
      <c r="B17" s="3186"/>
      <c r="C17" s="3186"/>
      <c r="D17" s="3186"/>
    </row>
    <row r="18" spans="1:4">
      <c r="A18" s="3186" t="s">
        <v>129</v>
      </c>
      <c r="B18" s="3186"/>
      <c r="C18" s="3186"/>
      <c r="D18" s="3186"/>
    </row>
    <row r="19" spans="1:4">
      <c r="A19" s="3095" t="s">
        <v>130</v>
      </c>
      <c r="B19" s="3095" t="s">
        <v>131</v>
      </c>
      <c r="C19" s="3095" t="s">
        <v>132</v>
      </c>
      <c r="D19" s="3095" t="s">
        <v>133</v>
      </c>
    </row>
    <row r="20" spans="1:4">
      <c r="A20" s="3095" t="str">
        <f>项目基本情况!B4</f>
        <v>吴薇</v>
      </c>
      <c r="B20" s="3095">
        <f ca="1">项目基本情况!C4</f>
        <v>2002110125</v>
      </c>
      <c r="C20" s="3096"/>
      <c r="D20" s="3097" t="s">
        <v>134</v>
      </c>
    </row>
    <row r="21" spans="1:4">
      <c r="A21" s="3095" t="str">
        <f>项目基本情况!D4</f>
        <v>郑燚</v>
      </c>
      <c r="B21" s="3095">
        <f ca="1">项目基本情况!E4</f>
        <v>2014110011</v>
      </c>
      <c r="C21" s="3096"/>
      <c r="D21" s="3097" t="s">
        <v>134</v>
      </c>
    </row>
    <row r="23" spans="1:4">
      <c r="A23" s="3186" t="s">
        <v>135</v>
      </c>
      <c r="B23" s="3186"/>
      <c r="C23" s="3186"/>
      <c r="D23" s="3186"/>
    </row>
    <row r="24" spans="1:4">
      <c r="A24" s="3095" t="s">
        <v>130</v>
      </c>
      <c r="B24" s="3095" t="s">
        <v>136</v>
      </c>
      <c r="C24" s="3095" t="s">
        <v>132</v>
      </c>
      <c r="D24" s="3095" t="s">
        <v>133</v>
      </c>
    </row>
    <row r="25" spans="1:4">
      <c r="A25" s="3098" t="s">
        <v>137</v>
      </c>
      <c r="B25" s="3095" t="s">
        <v>138</v>
      </c>
      <c r="C25" s="3096"/>
      <c r="D25" s="3097" t="s">
        <v>134</v>
      </c>
    </row>
    <row r="29" spans="1:4">
      <c r="D29" s="3099" t="s">
        <v>99</v>
      </c>
    </row>
    <row r="30" spans="1:4">
      <c r="D30" s="3100">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44140625" defaultRowHeight="15.6"/>
  <cols>
    <col min="1" max="1" width="14.44140625" style="3073" customWidth="1"/>
    <col min="2" max="16384" width="14.44140625" style="3027"/>
  </cols>
  <sheetData>
    <row r="1" spans="1:7" s="3072" customFormat="1" ht="17.399999999999999">
      <c r="A1" s="3074" t="s">
        <v>139</v>
      </c>
    </row>
    <row r="3" spans="1:7">
      <c r="A3" s="3075" t="s">
        <v>140</v>
      </c>
      <c r="B3" s="3027" t="s">
        <v>141</v>
      </c>
      <c r="G3" s="3076"/>
    </row>
    <row r="4" spans="1:7">
      <c r="G4" s="3076"/>
    </row>
    <row r="5" spans="1:7">
      <c r="A5" s="3077" t="s">
        <v>142</v>
      </c>
      <c r="B5" s="3027" t="s">
        <v>143</v>
      </c>
      <c r="G5" s="3076"/>
    </row>
    <row r="6" spans="1:7">
      <c r="G6" s="3076"/>
    </row>
    <row r="7" spans="1:7">
      <c r="A7" s="3078" t="s">
        <v>144</v>
      </c>
      <c r="B7" s="3027" t="s">
        <v>145</v>
      </c>
      <c r="G7" s="3076"/>
    </row>
    <row r="8" spans="1:7">
      <c r="G8" s="3076"/>
    </row>
    <row r="9" spans="1:7">
      <c r="A9" s="3079" t="s">
        <v>146</v>
      </c>
      <c r="B9" s="3027" t="s">
        <v>147</v>
      </c>
    </row>
    <row r="11" spans="1:7">
      <c r="A11" s="3080" t="s">
        <v>148</v>
      </c>
      <c r="B11" s="3081" t="s">
        <v>149</v>
      </c>
    </row>
    <row r="13" spans="1:7">
      <c r="A13" s="3082" t="s">
        <v>150</v>
      </c>
    </row>
    <row r="15" spans="1:7" ht="14.4">
      <c r="A15" s="3191" t="s">
        <v>151</v>
      </c>
      <c r="B15" s="3199" t="s">
        <v>152</v>
      </c>
      <c r="C15" s="3200"/>
    </row>
    <row r="16" spans="1:7" ht="14.4">
      <c r="A16" s="3191"/>
      <c r="B16" s="3193" t="s">
        <v>153</v>
      </c>
      <c r="C16" s="3083" t="s">
        <v>151</v>
      </c>
    </row>
    <row r="17" spans="1:3" ht="14.4">
      <c r="A17" s="3191"/>
      <c r="B17" s="3193"/>
      <c r="C17" s="3083" t="s">
        <v>154</v>
      </c>
    </row>
    <row r="18" spans="1:3" ht="14.4">
      <c r="A18" s="3191"/>
      <c r="B18" s="3193"/>
      <c r="C18" s="3083" t="s">
        <v>155</v>
      </c>
    </row>
    <row r="19" spans="1:3" ht="14.4">
      <c r="A19" s="3191"/>
      <c r="B19" s="3201" t="s">
        <v>156</v>
      </c>
      <c r="C19" s="3200"/>
    </row>
    <row r="20" spans="1:3" ht="14.4">
      <c r="A20" s="3084" t="s">
        <v>157</v>
      </c>
      <c r="B20" s="3085"/>
      <c r="C20" s="3086"/>
    </row>
    <row r="21" spans="1:3" ht="14.4">
      <c r="A21" s="3192" t="s">
        <v>158</v>
      </c>
      <c r="B21" s="3201" t="s">
        <v>159</v>
      </c>
      <c r="C21" s="3200"/>
    </row>
    <row r="22" spans="1:3" ht="14.4">
      <c r="A22" s="3192"/>
      <c r="B22" s="3201" t="s">
        <v>160</v>
      </c>
      <c r="C22" s="3200"/>
    </row>
    <row r="23" spans="1:3" ht="14.4">
      <c r="A23" s="3192"/>
      <c r="B23" s="3201" t="s">
        <v>161</v>
      </c>
      <c r="C23" s="3200"/>
    </row>
    <row r="24" spans="1:3" ht="14.4">
      <c r="A24" s="3192"/>
      <c r="B24" s="3194" t="s">
        <v>162</v>
      </c>
      <c r="C24" s="3087" t="s">
        <v>163</v>
      </c>
    </row>
    <row r="25" spans="1:3" ht="14.4">
      <c r="A25" s="3192"/>
      <c r="B25" s="3195"/>
      <c r="C25" s="3087" t="s">
        <v>164</v>
      </c>
    </row>
    <row r="26" spans="1:3" ht="14.4">
      <c r="A26" s="3192"/>
      <c r="B26" s="3195"/>
      <c r="C26" s="3087" t="s">
        <v>165</v>
      </c>
    </row>
    <row r="27" spans="1:3" ht="14.4">
      <c r="A27" s="3192"/>
      <c r="B27" s="3195"/>
      <c r="C27" s="3087" t="s">
        <v>166</v>
      </c>
    </row>
    <row r="28" spans="1:3" ht="14.4">
      <c r="A28" s="3192"/>
      <c r="B28" s="3195"/>
      <c r="C28" s="3087" t="s">
        <v>167</v>
      </c>
    </row>
    <row r="29" spans="1:3" ht="14.4">
      <c r="A29" s="3192"/>
      <c r="B29" s="3195"/>
      <c r="C29" s="3087" t="s">
        <v>168</v>
      </c>
    </row>
    <row r="30" spans="1:3" ht="14.4">
      <c r="A30" s="3192"/>
      <c r="B30" s="3195"/>
      <c r="C30" s="3087" t="s">
        <v>169</v>
      </c>
    </row>
    <row r="31" spans="1:3" ht="14.4">
      <c r="A31" s="3192"/>
      <c r="B31" s="3195"/>
      <c r="C31" s="3087" t="s">
        <v>170</v>
      </c>
    </row>
    <row r="32" spans="1:3" ht="14.4">
      <c r="A32" s="3192"/>
      <c r="B32" s="3195"/>
      <c r="C32" s="3087" t="s">
        <v>171</v>
      </c>
    </row>
    <row r="33" spans="1:3" ht="14.4">
      <c r="A33" s="3192"/>
      <c r="B33" s="3196" t="s">
        <v>172</v>
      </c>
      <c r="C33" s="3087" t="s">
        <v>173</v>
      </c>
    </row>
    <row r="34" spans="1:3" ht="14.4">
      <c r="A34" s="3192"/>
      <c r="B34" s="3197"/>
      <c r="C34" s="3088" t="s">
        <v>174</v>
      </c>
    </row>
    <row r="35" spans="1:3" ht="14.4">
      <c r="A35" s="3192"/>
      <c r="B35" s="3197"/>
      <c r="C35" s="3089" t="s">
        <v>175</v>
      </c>
    </row>
    <row r="36" spans="1:3" ht="14.4">
      <c r="A36" s="3192"/>
      <c r="B36" s="3197"/>
      <c r="C36" s="3089" t="s">
        <v>176</v>
      </c>
    </row>
    <row r="37" spans="1:3" ht="14.4">
      <c r="A37" s="3192"/>
      <c r="B37" s="3198"/>
      <c r="C37" s="3090" t="s">
        <v>177</v>
      </c>
    </row>
    <row r="38" spans="1:3">
      <c r="A38" s="3091" t="s">
        <v>178</v>
      </c>
    </row>
    <row r="41" spans="1:3">
      <c r="A41" s="3091" t="s">
        <v>179</v>
      </c>
    </row>
    <row r="42" spans="1:3" ht="14.4">
      <c r="A42" s="3092" t="s">
        <v>180</v>
      </c>
    </row>
    <row r="43" spans="1:3" ht="14.4">
      <c r="A43" s="3092" t="s">
        <v>181</v>
      </c>
    </row>
    <row r="44" spans="1:3" ht="14.4">
      <c r="A44" s="3092" t="s">
        <v>182</v>
      </c>
    </row>
    <row r="45" spans="1:3" ht="14.4">
      <c r="A45" s="3093" t="s">
        <v>183</v>
      </c>
    </row>
    <row r="46" spans="1:3" ht="14.4">
      <c r="A46" s="309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052" customWidth="1"/>
    <col min="2" max="5" width="22.6640625" style="3052"/>
    <col min="6" max="6" width="25.6640625" style="3052" customWidth="1"/>
    <col min="7" max="16384" width="22.6640625" style="3052"/>
  </cols>
  <sheetData>
    <row r="2" spans="1:6" ht="20.25" customHeight="1">
      <c r="A2" s="3051" t="s">
        <v>185</v>
      </c>
      <c r="B2" s="3053">
        <f ca="1">TODAY()</f>
        <v>43656</v>
      </c>
      <c r="C2" s="3054" t="s">
        <v>186</v>
      </c>
      <c r="D2" s="3054"/>
    </row>
    <row r="3" spans="1:6" ht="20.25" customHeight="1">
      <c r="A3" s="3055" t="s">
        <v>129</v>
      </c>
      <c r="B3" s="3056" t="s">
        <v>187</v>
      </c>
      <c r="C3" s="3056" t="s">
        <v>188</v>
      </c>
      <c r="D3" s="3057" t="s">
        <v>189</v>
      </c>
      <c r="E3" s="3056" t="s">
        <v>190</v>
      </c>
      <c r="F3" s="3056" t="s">
        <v>188</v>
      </c>
    </row>
    <row r="4" spans="1:6" ht="20.25" customHeight="1">
      <c r="A4" s="3056" t="s">
        <v>191</v>
      </c>
      <c r="B4" s="3056">
        <f ca="1">IF(C4&lt;B2,"已过期",1119970066)</f>
        <v>1119970066</v>
      </c>
      <c r="C4" s="3058">
        <v>43849</v>
      </c>
      <c r="D4" s="3056" t="s">
        <v>191</v>
      </c>
      <c r="E4" s="3056">
        <f ca="1">IF(F4&lt;B2,"已过期",96010014)</f>
        <v>96010014</v>
      </c>
      <c r="F4" s="3059">
        <v>47118</v>
      </c>
    </row>
    <row r="5" spans="1:6" ht="20.25" customHeight="1">
      <c r="A5" s="3056" t="s">
        <v>192</v>
      </c>
      <c r="B5" s="3056">
        <f ca="1">IF(C5&lt;B2,"已过期",1119970074)</f>
        <v>1119970074</v>
      </c>
      <c r="C5" s="3058">
        <v>43849</v>
      </c>
      <c r="D5" s="3056" t="s">
        <v>192</v>
      </c>
      <c r="E5" s="3056">
        <f ca="1">IF(F5&lt;B2,"已过期",2002110027)</f>
        <v>2002110027</v>
      </c>
      <c r="F5" s="3059">
        <v>46752</v>
      </c>
    </row>
    <row r="6" spans="1:6" ht="20.25" customHeight="1">
      <c r="A6" s="3056" t="s">
        <v>193</v>
      </c>
      <c r="B6" s="3056">
        <f ca="1">IF(C6&lt;B2,"已过期",1119970111)</f>
        <v>1119970111</v>
      </c>
      <c r="C6" s="3058">
        <v>43849</v>
      </c>
      <c r="D6" s="3056" t="s">
        <v>193</v>
      </c>
      <c r="E6" s="3056">
        <f ca="1">IF(F6&lt;B2,"已过期",94010078)</f>
        <v>94010078</v>
      </c>
      <c r="F6" s="3059">
        <v>46387</v>
      </c>
    </row>
    <row r="7" spans="1:6" ht="20.25" customHeight="1">
      <c r="A7" s="3056" t="s">
        <v>194</v>
      </c>
      <c r="B7" s="3056">
        <f ca="1">IF(C7&lt;B2,"已过期",1120050019)</f>
        <v>1120050019</v>
      </c>
      <c r="C7" s="3058">
        <v>44395</v>
      </c>
      <c r="D7" s="3056" t="s">
        <v>194</v>
      </c>
      <c r="E7" s="3056">
        <f ca="1">IF(F7&lt;B2,"已过期",2002110030)</f>
        <v>2002110030</v>
      </c>
      <c r="F7" s="3059">
        <v>46387</v>
      </c>
    </row>
    <row r="8" spans="1:6" ht="20.25" customHeight="1">
      <c r="A8" s="3056" t="s">
        <v>195</v>
      </c>
      <c r="B8" s="3056">
        <f ca="1">IF(C8&lt;B2,"已过期",1120000080)</f>
        <v>1120000080</v>
      </c>
      <c r="C8" s="3058">
        <v>43849</v>
      </c>
      <c r="D8" s="3056" t="s">
        <v>195</v>
      </c>
      <c r="E8" s="3056">
        <f ca="1">IF(F8&lt;B2,"已过期",2000110082)</f>
        <v>2000110082</v>
      </c>
      <c r="F8" s="3059">
        <v>46387</v>
      </c>
    </row>
    <row r="9" spans="1:6" ht="20.25" customHeight="1">
      <c r="A9" s="3056" t="s">
        <v>196</v>
      </c>
      <c r="B9" s="3056">
        <f ca="1">IF(C9&lt;B2,"已过期",1419970001)</f>
        <v>1419970001</v>
      </c>
      <c r="C9" s="3058">
        <v>43867</v>
      </c>
      <c r="D9" s="3056" t="s">
        <v>196</v>
      </c>
      <c r="E9" s="3056">
        <f ca="1">IF(F9&lt;B2,"已过期",2002110125)</f>
        <v>2002110125</v>
      </c>
      <c r="F9" s="3059">
        <v>47118</v>
      </c>
    </row>
    <row r="10" spans="1:6" ht="20.25" customHeight="1">
      <c r="A10" s="3056" t="s">
        <v>197</v>
      </c>
      <c r="B10" s="3056" t="str">
        <f ca="1">IF(C10&lt;B2,"已过期",1120060040)</f>
        <v>已过期</v>
      </c>
      <c r="C10" s="3058">
        <v>43483</v>
      </c>
      <c r="D10" s="3056" t="s">
        <v>197</v>
      </c>
      <c r="E10" s="3056">
        <f ca="1">IF(F10&lt;B2,"已过期",2004110096)</f>
        <v>2004110096</v>
      </c>
      <c r="F10" s="3059">
        <v>47118</v>
      </c>
    </row>
    <row r="11" spans="1:6" ht="20.25" customHeight="1">
      <c r="A11" s="3056" t="s">
        <v>198</v>
      </c>
      <c r="B11" s="3056" t="str">
        <f ca="1">IF(C11&lt;B2,"已过期",1120100036)</f>
        <v>已过期</v>
      </c>
      <c r="C11" s="3058">
        <v>43622</v>
      </c>
      <c r="D11" s="3056" t="s">
        <v>198</v>
      </c>
      <c r="E11" s="3056">
        <f ca="1">IF(F11&lt;B2,"已过期",2010110070)</f>
        <v>2010110070</v>
      </c>
      <c r="F11" s="3059">
        <v>47907</v>
      </c>
    </row>
    <row r="12" spans="1:6" ht="20.25" customHeight="1">
      <c r="A12" s="3056"/>
      <c r="B12" s="3056"/>
      <c r="C12" s="3058"/>
      <c r="D12" s="3056"/>
      <c r="E12" s="3056"/>
      <c r="F12" s="3059"/>
    </row>
    <row r="13" spans="1:6" ht="20.25" customHeight="1">
      <c r="A13" s="3056" t="s">
        <v>199</v>
      </c>
      <c r="B13" s="3056">
        <f ca="1">IF(C13&lt;B2,"已过期",1120070131)</f>
        <v>1120070131</v>
      </c>
      <c r="C13" s="3058">
        <v>43814</v>
      </c>
      <c r="D13" s="3056" t="s">
        <v>199</v>
      </c>
      <c r="E13" s="3056">
        <f ca="1">IF(F13&lt;B2,"已过期",2014110011)</f>
        <v>2014110011</v>
      </c>
      <c r="F13" s="3059">
        <v>49302</v>
      </c>
    </row>
    <row r="14" spans="1:6" ht="20.25" customHeight="1">
      <c r="A14" s="3056" t="s">
        <v>200</v>
      </c>
      <c r="B14" s="3056">
        <f ca="1">IF(C14&lt;B2,"已过期",1120040230)</f>
        <v>1120040230</v>
      </c>
      <c r="C14" s="3060">
        <v>43835</v>
      </c>
      <c r="D14" s="3061" t="s">
        <v>200</v>
      </c>
      <c r="E14" s="3056">
        <f ca="1">IF(F14&lt;B2,"已过期",98030020)</f>
        <v>98030020</v>
      </c>
      <c r="F14" s="3059">
        <v>47118</v>
      </c>
    </row>
    <row r="15" spans="1:6" ht="20.25" customHeight="1">
      <c r="A15" s="3056" t="s">
        <v>201</v>
      </c>
      <c r="B15" s="3056">
        <f ca="1">IF(C15&lt;B2,"已过期",1120070085)</f>
        <v>1120070085</v>
      </c>
      <c r="C15" s="3060">
        <v>43814</v>
      </c>
      <c r="D15" s="3056" t="s">
        <v>201</v>
      </c>
      <c r="E15" s="3056">
        <f ca="1">IF(F15&lt;B2,"已过期",2004110128)</f>
        <v>2004110128</v>
      </c>
      <c r="F15" s="3062">
        <v>47118</v>
      </c>
    </row>
    <row r="16" spans="1:6" ht="20.25" customHeight="1">
      <c r="A16" s="3056" t="s">
        <v>202</v>
      </c>
      <c r="B16" s="3056">
        <f ca="1">IF(C16&lt;B2,"已过期",1120140022)</f>
        <v>1120140022</v>
      </c>
      <c r="C16" s="3058">
        <v>44029</v>
      </c>
      <c r="D16" s="3056" t="s">
        <v>202</v>
      </c>
      <c r="E16" s="3056">
        <f ca="1">IF(F16&lt;B2,"已过期",2008110059)</f>
        <v>2008110059</v>
      </c>
      <c r="F16" s="3059">
        <v>47177</v>
      </c>
    </row>
    <row r="17" spans="1:7" ht="20.25" customHeight="1">
      <c r="A17" s="3056"/>
      <c r="B17" s="3056"/>
      <c r="C17" s="3058"/>
      <c r="D17" s="3061" t="s">
        <v>203</v>
      </c>
      <c r="E17" s="3056">
        <f ca="1">IF(F17&lt;B2,"已过期",2014110076)</f>
        <v>2014110076</v>
      </c>
      <c r="F17" s="3059">
        <v>49302</v>
      </c>
    </row>
    <row r="18" spans="1:7" ht="20.25" customHeight="1">
      <c r="A18" s="3056"/>
      <c r="B18" s="3056"/>
      <c r="C18" s="3058"/>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204</v>
      </c>
      <c r="E21" s="3056">
        <f ca="1">IF(F21&lt;B2,"已过期",2011110090)</f>
        <v>2011110090</v>
      </c>
      <c r="F21" s="3059">
        <v>48302</v>
      </c>
    </row>
    <row r="22" spans="1:7" ht="20.25" customHeight="1">
      <c r="A22" s="3056" t="s">
        <v>205</v>
      </c>
      <c r="B22" s="3056">
        <f ca="1">IF(C22&lt;B2,"已过期",1120020033)</f>
        <v>1120020033</v>
      </c>
      <c r="C22" s="3058">
        <v>44339</v>
      </c>
      <c r="D22" s="3056" t="s">
        <v>205</v>
      </c>
      <c r="E22" s="3056">
        <f ca="1">IF(F22&lt;B2,"已过期",2000110137)</f>
        <v>2000110137</v>
      </c>
      <c r="F22" s="3059">
        <v>46387</v>
      </c>
    </row>
    <row r="23" spans="1:7" ht="20.25" customHeight="1">
      <c r="A23" s="3056"/>
      <c r="B23" s="3056"/>
      <c r="C23" s="3058"/>
      <c r="D23" s="3056"/>
      <c r="E23" s="3056"/>
      <c r="F23" s="3056"/>
    </row>
    <row r="24" spans="1:7" s="3050" customFormat="1" ht="20.25" customHeight="1">
      <c r="A24" s="3055" t="s">
        <v>138</v>
      </c>
      <c r="B24" s="3055" t="s">
        <v>138</v>
      </c>
      <c r="C24" s="3058"/>
      <c r="D24" s="3063" t="s">
        <v>138</v>
      </c>
      <c r="E24" s="3055" t="s">
        <v>138</v>
      </c>
      <c r="F24" s="3062"/>
    </row>
    <row r="25" spans="1:7" ht="20.25" customHeight="1">
      <c r="A25" s="3202" t="s">
        <v>206</v>
      </c>
      <c r="B25" s="3202"/>
      <c r="C25" s="3202"/>
      <c r="D25" s="3202"/>
      <c r="E25" s="3202"/>
      <c r="F25" s="3202"/>
      <c r="G25" s="3202"/>
    </row>
    <row r="26" spans="1:7" ht="20.25" customHeight="1">
      <c r="A26" s="3203" t="s">
        <v>207</v>
      </c>
      <c r="B26" s="3203"/>
      <c r="C26" s="3203"/>
      <c r="D26" s="3203" t="s">
        <v>208</v>
      </c>
      <c r="E26" s="3203"/>
      <c r="F26" s="3203"/>
    </row>
    <row r="27" spans="1:7" s="3051" customFormat="1" ht="20.25" customHeight="1">
      <c r="A27" s="3064" t="s">
        <v>209</v>
      </c>
      <c r="B27" s="3065" t="s">
        <v>210</v>
      </c>
      <c r="C27" s="3065" t="s">
        <v>188</v>
      </c>
      <c r="D27" s="3056" t="s">
        <v>209</v>
      </c>
      <c r="E27" s="3065" t="s">
        <v>210</v>
      </c>
      <c r="F27" s="3065" t="s">
        <v>188</v>
      </c>
    </row>
    <row r="28" spans="1:7" s="3051" customFormat="1" ht="20.25" customHeight="1">
      <c r="A28" s="3066" t="s">
        <v>211</v>
      </c>
      <c r="B28" s="3066" t="s">
        <v>212</v>
      </c>
      <c r="C28" s="3059">
        <v>43725</v>
      </c>
      <c r="D28" s="3066" t="s">
        <v>213</v>
      </c>
      <c r="E28" s="3066" t="s">
        <v>214</v>
      </c>
      <c r="F28" s="3067">
        <v>44377</v>
      </c>
    </row>
    <row r="29" spans="1:7" s="3051" customFormat="1" ht="20.25" customHeight="1">
      <c r="A29" s="3066"/>
      <c r="B29" s="3066"/>
      <c r="C29" s="3068"/>
      <c r="D29" s="3066" t="s">
        <v>215</v>
      </c>
      <c r="E29" s="3069" t="s">
        <v>216</v>
      </c>
      <c r="F29" s="3070">
        <v>43281</v>
      </c>
    </row>
    <row r="30" spans="1:7" ht="20.25" customHeight="1">
      <c r="C30" s="3071"/>
      <c r="D30" s="3071"/>
    </row>
  </sheetData>
  <sheetProtection password="C66D" sheet="1" objects="1" scenarios="1"/>
  <mergeCells count="3">
    <mergeCell ref="A25:G25"/>
    <mergeCell ref="A26:C26"/>
    <mergeCell ref="D26:F26"/>
  </mergeCells>
  <phoneticPr fontId="231" type="noConversion"/>
  <conditionalFormatting sqref="C5">
    <cfRule type="expression" dxfId="226" priority="67">
      <formula>AND($C5-TODAY()&lt;30,TODAY()&lt;$C5)</formula>
    </cfRule>
    <cfRule type="cellIs" dxfId="225" priority="68" stopIfTrue="1" operator="lessThan">
      <formula>$B$2</formula>
    </cfRule>
  </conditionalFormatting>
  <conditionalFormatting sqref="F5">
    <cfRule type="cellIs" dxfId="224" priority="110" stopIfTrue="1" operator="lessThan">
      <formula>$B$2</formula>
    </cfRule>
  </conditionalFormatting>
  <conditionalFormatting sqref="C7">
    <cfRule type="expression" dxfId="223" priority="46">
      <formula>AND($C7-TODAY()&lt;30,TODAY()&lt;$C7)</formula>
    </cfRule>
    <cfRule type="cellIs" dxfId="222" priority="47" stopIfTrue="1" operator="lessThan">
      <formula>$B$2</formula>
    </cfRule>
  </conditionalFormatting>
  <conditionalFormatting sqref="C12">
    <cfRule type="expression" dxfId="221" priority="32">
      <formula>AND($C12-TODAY()&lt;30,TODAY()&lt;$C12)</formula>
    </cfRule>
    <cfRule type="cellIs" dxfId="220" priority="33" stopIfTrue="1" operator="lessThan">
      <formula>$B$2</formula>
    </cfRule>
  </conditionalFormatting>
  <conditionalFormatting sqref="F12">
    <cfRule type="cellIs" dxfId="219" priority="35" stopIfTrue="1" operator="lessThan">
      <formula>$B$2</formula>
    </cfRule>
  </conditionalFormatting>
  <conditionalFormatting sqref="F13">
    <cfRule type="cellIs" dxfId="218" priority="43" stopIfTrue="1" operator="lessThan">
      <formula>$B$2</formula>
    </cfRule>
  </conditionalFormatting>
  <conditionalFormatting sqref="B14">
    <cfRule type="cellIs" dxfId="217" priority="12" stopIfTrue="1" operator="equal">
      <formula>"已过期"</formula>
    </cfRule>
  </conditionalFormatting>
  <conditionalFormatting sqref="C14">
    <cfRule type="expression" dxfId="216" priority="15">
      <formula>AND($C14-TODAY()&lt;30,TODAY()&lt;$C14)</formula>
    </cfRule>
    <cfRule type="cellIs" dxfId="215" priority="16" stopIfTrue="1" operator="lessThan">
      <formula>$B$2</formula>
    </cfRule>
  </conditionalFormatting>
  <conditionalFormatting sqref="E14">
    <cfRule type="cellIs" dxfId="214" priority="2" stopIfTrue="1" operator="equal">
      <formula>"已过期"</formula>
    </cfRule>
  </conditionalFormatting>
  <conditionalFormatting sqref="F14">
    <cfRule type="cellIs" dxfId="213" priority="1" stopIfTrue="1" operator="lessThan">
      <formula>$B$2</formula>
    </cfRule>
  </conditionalFormatting>
  <conditionalFormatting sqref="A15">
    <cfRule type="cellIs" dxfId="212" priority="10" stopIfTrue="1" operator="equal">
      <formula>"已过期"</formula>
    </cfRule>
  </conditionalFormatting>
  <conditionalFormatting sqref="B15">
    <cfRule type="cellIs" dxfId="211" priority="11" stopIfTrue="1" operator="equal">
      <formula>"已过期"</formula>
    </cfRule>
  </conditionalFormatting>
  <conditionalFormatting sqref="C15">
    <cfRule type="expression" dxfId="210" priority="9">
      <formula>AND($C15-TODAY()&lt;30,TODAY()&lt;$C15)</formula>
    </cfRule>
    <cfRule type="expression" dxfId="209" priority="13">
      <formula>AND($C15-TODAY()&lt;30,TODAY()&lt;$C15)</formula>
    </cfRule>
    <cfRule type="cellIs" dxfId="208" priority="14" stopIfTrue="1" operator="lessThan">
      <formula>$B$2</formula>
    </cfRule>
  </conditionalFormatting>
  <conditionalFormatting sqref="D15">
    <cfRule type="cellIs" dxfId="207" priority="5" stopIfTrue="1" operator="equal">
      <formula>"已过期"</formula>
    </cfRule>
  </conditionalFormatting>
  <conditionalFormatting sqref="E15">
    <cfRule type="cellIs" dxfId="206" priority="6" stopIfTrue="1" operator="equal">
      <formula>"已过期"</formula>
    </cfRule>
  </conditionalFormatting>
  <conditionalFormatting sqref="B16">
    <cfRule type="cellIs" dxfId="205" priority="19" stopIfTrue="1" operator="equal">
      <formula>"已过期"</formula>
    </cfRule>
  </conditionalFormatting>
  <conditionalFormatting sqref="C16">
    <cfRule type="expression" dxfId="204" priority="20">
      <formula>AND($C16-TODAY()&lt;30,TODAY()&lt;$C16)</formula>
    </cfRule>
    <cfRule type="cellIs" dxfId="203" priority="21" stopIfTrue="1" operator="lessThan">
      <formula>$B$2</formula>
    </cfRule>
    <cfRule type="expression" dxfId="202" priority="22">
      <formula>AND($C16-TODAY()&lt;30,TODAY()&lt;$C16)</formula>
    </cfRule>
    <cfRule type="cellIs" dxfId="201" priority="23" stopIfTrue="1" operator="lessThan">
      <formula>$B$2</formula>
    </cfRule>
  </conditionalFormatting>
  <conditionalFormatting sqref="E16">
    <cfRule type="cellIs" dxfId="200" priority="7" stopIfTrue="1" operator="equal">
      <formula>"已过期"</formula>
    </cfRule>
  </conditionalFormatting>
  <conditionalFormatting sqref="F16">
    <cfRule type="cellIs" dxfId="199" priority="8" stopIfTrue="1" operator="lessThan">
      <formula>$B$2</formula>
    </cfRule>
  </conditionalFormatting>
  <conditionalFormatting sqref="E17">
    <cfRule type="cellIs" dxfId="198" priority="3" stopIfTrue="1" operator="equal">
      <formula>"已过期"</formula>
    </cfRule>
  </conditionalFormatting>
  <conditionalFormatting sqref="F17">
    <cfRule type="cellIs" dxfId="197" priority="4" stopIfTrue="1" operator="lessThan">
      <formula>$B$2</formula>
    </cfRule>
  </conditionalFormatting>
  <conditionalFormatting sqref="F18">
    <cfRule type="cellIs" dxfId="196" priority="79" stopIfTrue="1" operator="lessThan">
      <formula>$B$2</formula>
    </cfRule>
  </conditionalFormatting>
  <conditionalFormatting sqref="F21">
    <cfRule type="cellIs" dxfId="195" priority="77" stopIfTrue="1" operator="lessThan">
      <formula>$B$2</formula>
    </cfRule>
  </conditionalFormatting>
  <conditionalFormatting sqref="C22">
    <cfRule type="expression" dxfId="194" priority="24">
      <formula>AND($C22-TODAY()&lt;30,TODAY()&lt;$C22)</formula>
    </cfRule>
    <cfRule type="cellIs" dxfId="193" priority="25" stopIfTrue="1" operator="lessThan">
      <formula>$B$2</formula>
    </cfRule>
  </conditionalFormatting>
  <conditionalFormatting sqref="F22">
    <cfRule type="cellIs" dxfId="192" priority="78" stopIfTrue="1" operator="lessThan">
      <formula>$B$2</formula>
    </cfRule>
  </conditionalFormatting>
  <conditionalFormatting sqref="C24:D24">
    <cfRule type="expression" dxfId="191" priority="106">
      <formula>AND($C24-TODAY()&lt;30,TODAY()&lt;$C24)</formula>
    </cfRule>
    <cfRule type="expression" dxfId="190" priority="113">
      <formula>AND($C24-TODAY()&lt;30,TODAY()&lt;$C24)</formula>
    </cfRule>
  </conditionalFormatting>
  <conditionalFormatting sqref="C28">
    <cfRule type="expression" dxfId="189" priority="112">
      <formula>AND($C28-TODAY()&lt;30,TODAY()&lt;$C28)</formula>
    </cfRule>
  </conditionalFormatting>
  <conditionalFormatting sqref="F28">
    <cfRule type="cellIs" dxfId="188" priority="72" stopIfTrue="1" operator="lessThan">
      <formula>$B$2</formula>
    </cfRule>
    <cfRule type="expression" dxfId="187" priority="116">
      <formula>AND($E28-TODAY()&lt;30,TODAY()&lt;$E28)</formula>
    </cfRule>
  </conditionalFormatting>
  <conditionalFormatting sqref="F29">
    <cfRule type="cellIs" dxfId="186" priority="70" stopIfTrue="1" operator="lessThan">
      <formula>$B$2</formula>
    </cfRule>
    <cfRule type="expression" dxfId="185" priority="117" stopIfTrue="1">
      <formula>AND($E29-TODAY()&lt;30,TODAY()&lt;$E29)</formula>
    </cfRule>
  </conditionalFormatting>
  <conditionalFormatting sqref="C4:C6">
    <cfRule type="expression" dxfId="184" priority="65">
      <formula>AND($C4-TODAY()&lt;30,TODAY()&lt;$C4)</formula>
    </cfRule>
    <cfRule type="cellIs" dxfId="183" priority="66" stopIfTrue="1" operator="lessThan">
      <formula>$B$2</formula>
    </cfRule>
  </conditionalFormatting>
  <conditionalFormatting sqref="C8:C9">
    <cfRule type="expression" dxfId="182" priority="63">
      <formula>AND($C8-TODAY()&lt;30,TODAY()&lt;$C8)</formula>
    </cfRule>
    <cfRule type="cellIs" dxfId="181" priority="64" stopIfTrue="1" operator="lessThan">
      <formula>$B$2</formula>
    </cfRule>
  </conditionalFormatting>
  <conditionalFormatting sqref="C14:C15">
    <cfRule type="expression" dxfId="180" priority="17">
      <formula>AND($C14-TODAY()&lt;30,TODAY()&lt;$C14)</formula>
    </cfRule>
    <cfRule type="cellIs" dxfId="179" priority="18" stopIfTrue="1" operator="lessThan">
      <formula>$B$2</formula>
    </cfRule>
  </conditionalFormatting>
  <conditionalFormatting sqref="B4:B11 E4:E11 E18:E23 B17:B23 B13 E13">
    <cfRule type="cellIs" dxfId="178" priority="75" stopIfTrue="1" operator="equal">
      <formula>"已过期"</formula>
    </cfRule>
  </conditionalFormatting>
  <conditionalFormatting sqref="C28 F4">
    <cfRule type="cellIs" dxfId="177" priority="114" stopIfTrue="1" operator="lessThan">
      <formula>$B$2</formula>
    </cfRule>
  </conditionalFormatting>
  <conditionalFormatting sqref="F6 F8 F10">
    <cfRule type="cellIs" dxfId="176" priority="108" stopIfTrue="1" operator="lessThan">
      <formula>$B$2</formula>
    </cfRule>
  </conditionalFormatting>
  <conditionalFormatting sqref="F7 F9 F11 C24:D24">
    <cfRule type="cellIs" dxfId="175" priority="107" stopIfTrue="1" operator="lessThan">
      <formula>$B$2</formula>
    </cfRule>
  </conditionalFormatting>
  <conditionalFormatting sqref="C10:C11 C13 C23 C17:C21">
    <cfRule type="expression" dxfId="174" priority="44">
      <formula>AND($C10-TODAY()&lt;30,TODAY()&lt;$C10)</formula>
    </cfRule>
    <cfRule type="cellIs" dxfId="173" priority="45" stopIfTrue="1" operator="lessThan">
      <formula>$B$2</formula>
    </cfRule>
  </conditionalFormatting>
  <conditionalFormatting sqref="B12 E12">
    <cfRule type="cellIs" dxfId="172"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18" sqref="X18"/>
    </sheetView>
  </sheetViews>
  <sheetFormatPr defaultColWidth="9" defaultRowHeight="13.8"/>
  <cols>
    <col min="1" max="1" width="10.33203125" style="3026" customWidth="1"/>
    <col min="2" max="2" width="18.88671875" style="3027" customWidth="1"/>
    <col min="3" max="3" width="18.88671875" style="2235" hidden="1" customWidth="1"/>
    <col min="4" max="4" width="5.44140625" style="3028" hidden="1" customWidth="1"/>
    <col min="5" max="5" width="7.109375" style="3028" hidden="1" customWidth="1"/>
    <col min="6" max="6" width="10.6640625" style="3028" hidden="1" customWidth="1"/>
    <col min="7" max="7" width="7.44140625" style="3028" hidden="1" customWidth="1"/>
    <col min="8" max="8" width="9" style="2235" hidden="1" customWidth="1"/>
    <col min="9" max="9" width="11.6640625" style="2235" hidden="1" customWidth="1"/>
    <col min="10" max="10" width="9" style="2235" hidden="1" customWidth="1"/>
    <col min="11" max="19" width="9" style="3028" hidden="1" customWidth="1"/>
    <col min="20" max="22" width="9" style="2235" hidden="1" customWidth="1"/>
    <col min="23" max="23" width="9" style="2235" customWidth="1"/>
    <col min="24" max="24" width="14.6640625" style="3027" customWidth="1"/>
    <col min="25" max="25" width="7.21875" style="3027" customWidth="1"/>
    <col min="26" max="16384" width="9" style="3027"/>
  </cols>
  <sheetData>
    <row r="1" spans="1:23" s="3025" customFormat="1" ht="28.8">
      <c r="A1" s="3029" t="s">
        <v>217</v>
      </c>
      <c r="B1" s="3030" t="s">
        <v>218</v>
      </c>
      <c r="C1" s="3031" t="s">
        <v>219</v>
      </c>
      <c r="D1" s="3032" t="s">
        <v>220</v>
      </c>
      <c r="E1" s="3032" t="s">
        <v>221</v>
      </c>
      <c r="F1" s="3032" t="s">
        <v>222</v>
      </c>
      <c r="G1" s="3032" t="s">
        <v>223</v>
      </c>
      <c r="H1" s="3032" t="s">
        <v>224</v>
      </c>
      <c r="I1" s="3032" t="s">
        <v>225</v>
      </c>
      <c r="J1" s="3032" t="s">
        <v>226</v>
      </c>
      <c r="K1" s="3032" t="s">
        <v>227</v>
      </c>
      <c r="L1" s="3032" t="s">
        <v>228</v>
      </c>
      <c r="M1" s="3032" t="s">
        <v>229</v>
      </c>
      <c r="N1" s="3032" t="s">
        <v>230</v>
      </c>
      <c r="O1" s="3032" t="s">
        <v>231</v>
      </c>
      <c r="P1" s="3032" t="s">
        <v>232</v>
      </c>
      <c r="Q1" s="3046" t="s">
        <v>233</v>
      </c>
      <c r="R1" s="3047" t="s">
        <v>234</v>
      </c>
      <c r="S1" s="3032" t="s">
        <v>235</v>
      </c>
      <c r="T1" s="3048" t="s">
        <v>236</v>
      </c>
      <c r="U1" s="3032" t="s">
        <v>237</v>
      </c>
      <c r="V1" s="3032" t="s">
        <v>238</v>
      </c>
      <c r="W1" s="3049" t="s">
        <v>239</v>
      </c>
    </row>
    <row r="2" spans="1:23" ht="14.4">
      <c r="A2" s="3033" t="s">
        <v>240</v>
      </c>
      <c r="B2" s="3033" t="s">
        <v>241</v>
      </c>
      <c r="C2" s="3034" t="s">
        <v>242</v>
      </c>
      <c r="D2" s="3028" t="s">
        <v>243</v>
      </c>
      <c r="E2" s="3028" t="s">
        <v>244</v>
      </c>
      <c r="F2" s="3028" t="s">
        <v>245</v>
      </c>
      <c r="G2" s="3028">
        <v>40</v>
      </c>
      <c r="H2" s="3028" t="s">
        <v>245</v>
      </c>
      <c r="I2" s="3028" t="s">
        <v>246</v>
      </c>
      <c r="J2" s="3028" t="s">
        <v>247</v>
      </c>
      <c r="K2" s="3028" t="s">
        <v>248</v>
      </c>
      <c r="L2" s="3028" t="s">
        <v>248</v>
      </c>
      <c r="M2" s="3028" t="s">
        <v>248</v>
      </c>
      <c r="N2" s="3028" t="s">
        <v>248</v>
      </c>
      <c r="O2" s="3028" t="s">
        <v>248</v>
      </c>
      <c r="P2" s="3045" t="s">
        <v>248</v>
      </c>
      <c r="Q2" s="3028" t="s">
        <v>248</v>
      </c>
      <c r="R2" s="3045" t="s">
        <v>249</v>
      </c>
      <c r="S2" s="3028" t="s">
        <v>248</v>
      </c>
      <c r="T2" s="3028" t="s">
        <v>250</v>
      </c>
      <c r="U2" s="3028" t="s">
        <v>248</v>
      </c>
      <c r="V2" s="3028" t="s">
        <v>251</v>
      </c>
      <c r="W2" s="3028" t="s">
        <v>252</v>
      </c>
    </row>
    <row r="3" spans="1:23" ht="14.4">
      <c r="A3" s="3033" t="s">
        <v>253</v>
      </c>
      <c r="B3" s="3035" t="s">
        <v>254</v>
      </c>
      <c r="C3" s="2549" t="s">
        <v>255</v>
      </c>
      <c r="D3" s="3028" t="s">
        <v>256</v>
      </c>
      <c r="E3" s="3028" t="s">
        <v>138</v>
      </c>
      <c r="F3" s="3028" t="s">
        <v>257</v>
      </c>
      <c r="G3" s="3028">
        <v>50</v>
      </c>
      <c r="H3" s="3028" t="s">
        <v>257</v>
      </c>
      <c r="I3" s="3028" t="s">
        <v>258</v>
      </c>
      <c r="J3" s="3028" t="s">
        <v>259</v>
      </c>
      <c r="K3" s="3028" t="s">
        <v>260</v>
      </c>
      <c r="L3" s="3028" t="s">
        <v>260</v>
      </c>
      <c r="M3" s="3028" t="s">
        <v>260</v>
      </c>
      <c r="N3" s="3028" t="s">
        <v>260</v>
      </c>
      <c r="O3" s="3028" t="s">
        <v>260</v>
      </c>
      <c r="P3" s="3045" t="s">
        <v>260</v>
      </c>
      <c r="Q3" s="3028" t="s">
        <v>260</v>
      </c>
      <c r="R3" s="3045" t="s">
        <v>261</v>
      </c>
      <c r="S3" s="3028" t="s">
        <v>260</v>
      </c>
      <c r="T3" s="3028" t="s">
        <v>262</v>
      </c>
      <c r="U3" s="3028" t="s">
        <v>260</v>
      </c>
      <c r="V3" s="3028" t="s">
        <v>263</v>
      </c>
      <c r="W3" s="3028" t="s">
        <v>264</v>
      </c>
    </row>
    <row r="4" spans="1:23" ht="14.4">
      <c r="A4" s="3033" t="s">
        <v>265</v>
      </c>
      <c r="B4" s="3033" t="s">
        <v>266</v>
      </c>
      <c r="C4" s="3034" t="s">
        <v>267</v>
      </c>
      <c r="D4" s="3028" t="s">
        <v>138</v>
      </c>
      <c r="E4" s="3028" t="s">
        <v>268</v>
      </c>
      <c r="F4" s="3028" t="s">
        <v>269</v>
      </c>
      <c r="G4" s="3028">
        <v>70</v>
      </c>
      <c r="H4" s="3028" t="s">
        <v>269</v>
      </c>
      <c r="I4" s="3028" t="s">
        <v>270</v>
      </c>
      <c r="K4" s="3028" t="s">
        <v>271</v>
      </c>
      <c r="L4" s="3028" t="s">
        <v>271</v>
      </c>
      <c r="M4" s="3028" t="s">
        <v>271</v>
      </c>
      <c r="N4" s="3028" t="s">
        <v>271</v>
      </c>
      <c r="O4" s="3028" t="s">
        <v>271</v>
      </c>
      <c r="P4" s="3045" t="s">
        <v>271</v>
      </c>
      <c r="Q4" s="3028" t="s">
        <v>271</v>
      </c>
      <c r="R4" s="3045" t="s">
        <v>272</v>
      </c>
      <c r="S4" s="3028" t="s">
        <v>271</v>
      </c>
      <c r="T4" s="3028" t="s">
        <v>273</v>
      </c>
      <c r="U4" s="3028" t="s">
        <v>271</v>
      </c>
      <c r="W4" s="3028" t="s">
        <v>274</v>
      </c>
    </row>
    <row r="5" spans="1:23" ht="14.4">
      <c r="A5" s="3033" t="s">
        <v>275</v>
      </c>
      <c r="B5" s="3033" t="s">
        <v>276</v>
      </c>
      <c r="C5" s="3034" t="s">
        <v>277</v>
      </c>
      <c r="F5" s="3028" t="s">
        <v>278</v>
      </c>
      <c r="H5" s="3028" t="s">
        <v>279</v>
      </c>
      <c r="I5" s="3028" t="s">
        <v>280</v>
      </c>
      <c r="K5" s="3028" t="s">
        <v>281</v>
      </c>
      <c r="L5" s="3028" t="s">
        <v>281</v>
      </c>
      <c r="M5" s="3028" t="s">
        <v>281</v>
      </c>
      <c r="N5" s="3028" t="s">
        <v>281</v>
      </c>
      <c r="O5" s="3028" t="s">
        <v>281</v>
      </c>
      <c r="P5" s="3045" t="s">
        <v>281</v>
      </c>
      <c r="Q5" s="3028" t="s">
        <v>281</v>
      </c>
      <c r="R5" s="3045" t="s">
        <v>282</v>
      </c>
      <c r="S5" s="3028" t="s">
        <v>281</v>
      </c>
      <c r="T5" s="3028" t="s">
        <v>283</v>
      </c>
      <c r="U5" s="3028" t="s">
        <v>281</v>
      </c>
      <c r="W5" s="3028" t="s">
        <v>284</v>
      </c>
    </row>
    <row r="6" spans="1:23" ht="14.4">
      <c r="A6" s="3033" t="s">
        <v>285</v>
      </c>
      <c r="B6" s="3036" t="s">
        <v>173</v>
      </c>
      <c r="C6" s="2437" t="s">
        <v>286</v>
      </c>
      <c r="F6" s="3028" t="s">
        <v>279</v>
      </c>
      <c r="H6" s="3028" t="s">
        <v>287</v>
      </c>
      <c r="I6" s="3028" t="s">
        <v>288</v>
      </c>
      <c r="K6" s="3028" t="s">
        <v>289</v>
      </c>
      <c r="L6" s="3028" t="s">
        <v>289</v>
      </c>
      <c r="M6" s="3028" t="s">
        <v>289</v>
      </c>
      <c r="N6" s="3028" t="s">
        <v>289</v>
      </c>
      <c r="O6" s="3028" t="s">
        <v>289</v>
      </c>
      <c r="P6" s="3045" t="s">
        <v>289</v>
      </c>
      <c r="Q6" s="3028" t="s">
        <v>289</v>
      </c>
      <c r="R6" s="3045" t="s">
        <v>290</v>
      </c>
      <c r="S6" s="3028" t="s">
        <v>289</v>
      </c>
      <c r="T6" s="3028"/>
      <c r="U6" s="3028" t="s">
        <v>289</v>
      </c>
      <c r="W6" s="3028" t="s">
        <v>291</v>
      </c>
    </row>
    <row r="7" spans="1:23" ht="14.4">
      <c r="A7" s="3033" t="s">
        <v>292</v>
      </c>
      <c r="B7" s="3033" t="s">
        <v>293</v>
      </c>
      <c r="C7" s="3034" t="s">
        <v>294</v>
      </c>
      <c r="F7" s="3028" t="s">
        <v>295</v>
      </c>
      <c r="H7" s="3028" t="s">
        <v>278</v>
      </c>
      <c r="I7" s="3028" t="s">
        <v>296</v>
      </c>
    </row>
    <row r="8" spans="1:23" ht="14.4">
      <c r="A8" s="3033" t="s">
        <v>297</v>
      </c>
      <c r="B8" s="3037" t="s">
        <v>298</v>
      </c>
      <c r="C8" s="3034" t="s">
        <v>299</v>
      </c>
      <c r="F8" s="3028" t="s">
        <v>300</v>
      </c>
      <c r="H8" s="3028"/>
      <c r="I8" s="3028" t="s">
        <v>301</v>
      </c>
    </row>
    <row r="9" spans="1:23" ht="14.4">
      <c r="A9" s="3033" t="s">
        <v>302</v>
      </c>
      <c r="B9" s="3033" t="s">
        <v>303</v>
      </c>
      <c r="C9" s="3034" t="s">
        <v>304</v>
      </c>
      <c r="F9" s="3028" t="s">
        <v>287</v>
      </c>
      <c r="H9" s="3028"/>
    </row>
    <row r="10" spans="1:23" ht="14.4">
      <c r="A10" s="3033" t="s">
        <v>305</v>
      </c>
      <c r="B10" s="3033" t="s">
        <v>306</v>
      </c>
      <c r="C10" s="3034" t="s">
        <v>307</v>
      </c>
      <c r="F10" s="3028" t="s">
        <v>138</v>
      </c>
    </row>
    <row r="11" spans="1:23" ht="14.4">
      <c r="A11" s="3033" t="s">
        <v>308</v>
      </c>
      <c r="B11" s="3033" t="s">
        <v>309</v>
      </c>
      <c r="C11" s="3034" t="s">
        <v>310</v>
      </c>
    </row>
    <row r="12" spans="1:23" ht="14.4">
      <c r="A12" s="3033" t="s">
        <v>311</v>
      </c>
      <c r="B12" s="3033" t="s">
        <v>312</v>
      </c>
      <c r="C12" s="3034" t="s">
        <v>313</v>
      </c>
    </row>
    <row r="13" spans="1:23" ht="14.4">
      <c r="A13" s="3033" t="s">
        <v>314</v>
      </c>
      <c r="B13" s="3033" t="s">
        <v>315</v>
      </c>
      <c r="C13" s="3034" t="s">
        <v>316</v>
      </c>
    </row>
    <row r="14" spans="1:23" ht="14.4">
      <c r="A14" s="3033" t="s">
        <v>317</v>
      </c>
      <c r="B14" s="3033" t="s">
        <v>318</v>
      </c>
      <c r="C14" s="3038" t="s">
        <v>138</v>
      </c>
    </row>
    <row r="15" spans="1:23" ht="14.4">
      <c r="A15" s="3033" t="s">
        <v>319</v>
      </c>
      <c r="B15" s="3033" t="s">
        <v>320</v>
      </c>
      <c r="C15" s="3038"/>
    </row>
    <row r="16" spans="1:23" ht="14.4">
      <c r="A16" s="3033" t="s">
        <v>321</v>
      </c>
      <c r="B16" s="3033" t="s">
        <v>322</v>
      </c>
      <c r="C16" s="3038"/>
    </row>
    <row r="17" spans="1:3" ht="14.4">
      <c r="A17" s="3033" t="s">
        <v>323</v>
      </c>
      <c r="B17" s="3033" t="s">
        <v>324</v>
      </c>
      <c r="C17" s="3038"/>
    </row>
    <row r="18" spans="1:3" ht="14.4">
      <c r="A18" s="3033" t="s">
        <v>325</v>
      </c>
      <c r="B18" s="3039" t="s">
        <v>326</v>
      </c>
      <c r="C18" s="3038"/>
    </row>
    <row r="19" spans="1:3" ht="14.4">
      <c r="A19" s="3033" t="s">
        <v>327</v>
      </c>
      <c r="B19" s="3039" t="s">
        <v>328</v>
      </c>
      <c r="C19" s="3038"/>
    </row>
    <row r="20" spans="1:3" ht="14.4">
      <c r="A20" s="3033" t="s">
        <v>279</v>
      </c>
      <c r="B20" s="3039" t="s">
        <v>329</v>
      </c>
      <c r="C20" s="3038"/>
    </row>
    <row r="21" spans="1:3" ht="14.4">
      <c r="A21" s="3033" t="s">
        <v>330</v>
      </c>
      <c r="B21" s="3039" t="s">
        <v>331</v>
      </c>
      <c r="C21" s="3038"/>
    </row>
    <row r="22" spans="1:3" ht="14.4">
      <c r="A22" s="3033" t="s">
        <v>332</v>
      </c>
      <c r="B22" s="3033" t="s">
        <v>333</v>
      </c>
      <c r="C22" s="3038"/>
    </row>
    <row r="23" spans="1:3" ht="14.4">
      <c r="A23" s="3033" t="s">
        <v>334</v>
      </c>
      <c r="B23" s="3033" t="s">
        <v>333</v>
      </c>
      <c r="C23" s="3038"/>
    </row>
    <row r="24" spans="1:3">
      <c r="A24" s="3033" t="s">
        <v>138</v>
      </c>
      <c r="B24" s="3033" t="s">
        <v>333</v>
      </c>
      <c r="C24" s="3038"/>
    </row>
    <row r="25" spans="1:3" ht="14.4">
      <c r="A25" s="3033" t="s">
        <v>335</v>
      </c>
      <c r="B25" s="3033" t="s">
        <v>333</v>
      </c>
      <c r="C25" s="3038"/>
    </row>
    <row r="26" spans="1:3" ht="14.4">
      <c r="A26" s="3033" t="s">
        <v>336</v>
      </c>
      <c r="B26" s="3033" t="s">
        <v>333</v>
      </c>
      <c r="C26" s="3038"/>
    </row>
    <row r="27" spans="1:3">
      <c r="A27" s="3033" t="s">
        <v>333</v>
      </c>
      <c r="B27" s="3033" t="s">
        <v>333</v>
      </c>
      <c r="C27" s="3038"/>
    </row>
    <row r="28" spans="1:3">
      <c r="A28" s="3033" t="s">
        <v>333</v>
      </c>
      <c r="B28" s="3033" t="s">
        <v>333</v>
      </c>
      <c r="C28" s="3038"/>
    </row>
    <row r="29" spans="1:3">
      <c r="A29" s="3033" t="s">
        <v>333</v>
      </c>
      <c r="B29" s="3033" t="s">
        <v>333</v>
      </c>
      <c r="C29" s="3038"/>
    </row>
    <row r="30" spans="1:3">
      <c r="A30" s="3033" t="s">
        <v>333</v>
      </c>
      <c r="B30" s="3033" t="s">
        <v>333</v>
      </c>
      <c r="C30" s="3038"/>
    </row>
    <row r="31" spans="1:3">
      <c r="A31" s="3033" t="s">
        <v>333</v>
      </c>
      <c r="B31" s="3033" t="s">
        <v>333</v>
      </c>
      <c r="C31" s="3038"/>
    </row>
    <row r="32" spans="1:3">
      <c r="A32" s="3033" t="s">
        <v>333</v>
      </c>
      <c r="B32" s="3033" t="s">
        <v>333</v>
      </c>
      <c r="C32" s="3038"/>
    </row>
    <row r="33" spans="1:3">
      <c r="A33" s="3033" t="s">
        <v>333</v>
      </c>
      <c r="B33" s="3033" t="s">
        <v>333</v>
      </c>
      <c r="C33" s="3038"/>
    </row>
    <row r="34" spans="1:3">
      <c r="A34" s="3033" t="s">
        <v>333</v>
      </c>
      <c r="B34" s="3033" t="s">
        <v>333</v>
      </c>
      <c r="C34" s="3038"/>
    </row>
    <row r="35" spans="1:3">
      <c r="A35" s="3033" t="s">
        <v>333</v>
      </c>
      <c r="B35" s="3033" t="s">
        <v>333</v>
      </c>
      <c r="C35" s="3038"/>
    </row>
    <row r="36" spans="1:3">
      <c r="A36" s="3033" t="s">
        <v>333</v>
      </c>
      <c r="B36" s="3033" t="s">
        <v>333</v>
      </c>
      <c r="C36" s="3038"/>
    </row>
    <row r="37" spans="1:3">
      <c r="A37" s="3033" t="s">
        <v>333</v>
      </c>
      <c r="B37" s="3033" t="s">
        <v>333</v>
      </c>
      <c r="C37" s="3038"/>
    </row>
    <row r="38" spans="1:3">
      <c r="A38" s="3033" t="s">
        <v>333</v>
      </c>
      <c r="B38" s="3033" t="s">
        <v>333</v>
      </c>
      <c r="C38" s="3038"/>
    </row>
    <row r="39" spans="1:3">
      <c r="A39" s="3033" t="s">
        <v>333</v>
      </c>
      <c r="B39" s="3033" t="s">
        <v>333</v>
      </c>
      <c r="C39" s="3038"/>
    </row>
    <row r="40" spans="1:3">
      <c r="A40" s="3033" t="s">
        <v>333</v>
      </c>
      <c r="B40" s="3033" t="s">
        <v>333</v>
      </c>
      <c r="C40" s="3038"/>
    </row>
    <row r="41" spans="1:3">
      <c r="A41" s="3033" t="s">
        <v>333</v>
      </c>
      <c r="B41" s="3033" t="s">
        <v>333</v>
      </c>
      <c r="C41" s="3038"/>
    </row>
    <row r="42" spans="1:3">
      <c r="A42" s="3033" t="s">
        <v>333</v>
      </c>
      <c r="B42" s="3033" t="s">
        <v>333</v>
      </c>
      <c r="C42" s="3038"/>
    </row>
    <row r="43" spans="1:3">
      <c r="A43" s="3033" t="s">
        <v>333</v>
      </c>
      <c r="B43" s="3033" t="s">
        <v>333</v>
      </c>
      <c r="C43" s="3038"/>
    </row>
    <row r="44" spans="1:3">
      <c r="A44" s="3033" t="s">
        <v>333</v>
      </c>
      <c r="B44" s="3033" t="s">
        <v>333</v>
      </c>
      <c r="C44" s="3038"/>
    </row>
    <row r="45" spans="1:3">
      <c r="A45" s="3033" t="s">
        <v>333</v>
      </c>
      <c r="B45" s="3033" t="s">
        <v>333</v>
      </c>
      <c r="C45" s="3038"/>
    </row>
    <row r="46" spans="1:3">
      <c r="A46" s="3033" t="s">
        <v>333</v>
      </c>
      <c r="B46" s="3033" t="s">
        <v>333</v>
      </c>
      <c r="C46" s="3038"/>
    </row>
    <row r="47" spans="1:3">
      <c r="A47" s="3033" t="s">
        <v>333</v>
      </c>
      <c r="B47" s="3033" t="s">
        <v>333</v>
      </c>
      <c r="C47" s="3038"/>
    </row>
    <row r="48" spans="1:3">
      <c r="A48" s="3033" t="s">
        <v>333</v>
      </c>
      <c r="B48" s="3033" t="s">
        <v>333</v>
      </c>
      <c r="C48" s="3038"/>
    </row>
    <row r="49" spans="1:5">
      <c r="A49" s="3033" t="s">
        <v>333</v>
      </c>
      <c r="B49" s="3033" t="s">
        <v>333</v>
      </c>
      <c r="C49" s="3038"/>
    </row>
    <row r="50" spans="1:5">
      <c r="A50" s="3033" t="s">
        <v>333</v>
      </c>
      <c r="B50" s="3033" t="s">
        <v>333</v>
      </c>
      <c r="C50" s="3038"/>
    </row>
    <row r="51" spans="1:5">
      <c r="A51" s="3040" t="s">
        <v>337</v>
      </c>
      <c r="B51" s="30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30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国展商业广场开发有限公司拟使用江苏省苏州市姑苏区金门路100-1号（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30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2"/>
    </row>
    <row r="52" spans="1:5">
      <c r="A52" s="3040" t="s">
        <v>338</v>
      </c>
      <c r="B52" s="3043" t="s">
        <v>339</v>
      </c>
      <c r="C52" s="3041" t="s">
        <v>340</v>
      </c>
      <c r="D52" s="3041" t="s">
        <v>341</v>
      </c>
      <c r="E52" s="3042"/>
    </row>
    <row r="53" spans="1:5">
      <c r="A53" s="3204" t="s">
        <v>342</v>
      </c>
      <c r="B53" s="3041" t="s">
        <v>343</v>
      </c>
      <c r="C53" s="30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c r="D53" s="3042"/>
      <c r="E53" s="3042"/>
    </row>
    <row r="54" spans="1:5">
      <c r="A54" s="3204"/>
      <c r="B54" s="3041" t="s">
        <v>344</v>
      </c>
      <c r="C54" s="30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2"/>
      <c r="E54" s="3042"/>
    </row>
    <row r="55" spans="1:5">
      <c r="A55" s="3204"/>
      <c r="B55" s="3041" t="s">
        <v>345</v>
      </c>
      <c r="C55" s="30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2"/>
      <c r="E55" s="3042"/>
    </row>
    <row r="56" spans="1:5">
      <c r="A56" s="3204"/>
      <c r="B56" s="3041" t="s">
        <v>346</v>
      </c>
      <c r="C56" s="30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2"/>
      <c r="E56" s="3042"/>
    </row>
    <row r="57" spans="1:5">
      <c r="A57" s="3204"/>
      <c r="B57" s="3041" t="s">
        <v>347</v>
      </c>
      <c r="C57" s="30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2"/>
      <c r="E57" s="3042"/>
    </row>
    <row r="58" spans="1:5" ht="14.4">
      <c r="A58" s="3044" t="s">
        <v>348</v>
      </c>
      <c r="B58" s="3041" t="s">
        <v>349</v>
      </c>
      <c r="C58" s="2235" t="s">
        <v>350</v>
      </c>
      <c r="D58" s="2327" t="s">
        <v>351</v>
      </c>
    </row>
  </sheetData>
  <sheetProtection password="C66D"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不动产比较法-住宅</vt:lpstr>
      <vt:lpstr>不动产收益法</vt:lpstr>
      <vt:lpstr>不动产收益法办公</vt:lpstr>
      <vt:lpstr>不动产收益法车库</vt:lpstr>
      <vt:lpstr>土地住宅案例</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2017-03-09T08:11:00Z</cp:lastPrinted>
  <dcterms:created xsi:type="dcterms:W3CDTF">2015-07-13T07:17:00Z</dcterms:created>
  <dcterms:modified xsi:type="dcterms:W3CDTF">2019-07-10T03:12:26Z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y fmtid="{D5CDD505-2E9C-101B-9397-08002B2CF9AE}" pid="3" name="KSOReadingLayout">
    <vt:bool>true</vt:bool>
  </property>
</Properties>
</file>