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4" activeTab="18"/>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面积" sheetId="69"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P26" i="1" l="1"/>
  <c r="C34" i="34" l="1"/>
  <c r="C11" i="34"/>
  <c r="C8" i="39"/>
  <c r="P24" i="1"/>
  <c r="P25" i="1"/>
  <c r="P23" i="1"/>
  <c r="U8" i="1" s="1"/>
  <c r="F21" i="6"/>
  <c r="F20" i="6"/>
  <c r="F19" i="6"/>
  <c r="M15" i="3"/>
  <c r="I14" i="3"/>
  <c r="K13" i="3"/>
  <c r="A3" i="3"/>
  <c r="B7" i="4"/>
  <c r="D8" i="69"/>
  <c r="D7" i="69"/>
  <c r="D6" i="69"/>
  <c r="D5" i="69"/>
  <c r="D4" i="69"/>
  <c r="D3" i="69"/>
  <c r="D2" i="69"/>
  <c r="Q72" i="68" l="1"/>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11" i="68" l="1"/>
  <c r="J10" i="68" s="1"/>
  <c r="F11" i="68"/>
  <c r="M26" i="68"/>
  <c r="F38" i="68"/>
  <c r="C76" i="68"/>
  <c r="M8" i="68"/>
  <c r="F8" i="68"/>
  <c r="F13" i="68"/>
  <c r="M24" i="68"/>
  <c r="M6" i="68"/>
  <c r="M9" i="68"/>
  <c r="F26" i="68"/>
  <c r="F40" i="68"/>
  <c r="J15" i="68"/>
  <c r="F9" i="68"/>
  <c r="M28" i="68"/>
  <c r="M22" i="68"/>
  <c r="F42" i="68"/>
  <c r="M23" i="68"/>
  <c r="F16" i="68"/>
  <c r="F37" i="68"/>
  <c r="F36" i="68"/>
  <c r="Q71" i="68" l="1"/>
  <c r="F64" i="68"/>
  <c r="C27" i="68"/>
  <c r="F68" i="68"/>
  <c r="F66" i="68"/>
  <c r="F70" i="68"/>
  <c r="F65" i="68"/>
  <c r="F51"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B13" i="67"/>
  <c r="F14" i="67"/>
  <c r="E11" i="67"/>
  <c r="F12" i="67"/>
  <c r="E9" i="67"/>
  <c r="E10" i="67"/>
  <c r="E13" i="67"/>
  <c r="B8" i="67"/>
  <c r="F13" i="67"/>
  <c r="B14" i="67"/>
  <c r="B11" i="67"/>
  <c r="B12" i="67"/>
  <c r="F8" i="67"/>
  <c r="F9" i="67"/>
  <c r="F11" i="67"/>
  <c r="B9" i="67"/>
  <c r="E8" i="67"/>
  <c r="E14" i="67"/>
  <c r="F10" i="67"/>
  <c r="E12"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J7" i="65"/>
  <c r="N6" i="65"/>
  <c r="N5" i="65"/>
  <c r="N4" i="65"/>
  <c r="N3" i="65"/>
  <c r="C4" i="65" l="1"/>
  <c r="B39" i="1" s="1"/>
  <c r="I6" i="65"/>
  <c r="J6" i="65"/>
  <c r="J4" i="65"/>
  <c r="I5" i="65"/>
  <c r="J3" i="65"/>
  <c r="I7" i="65"/>
  <c r="J5" i="65"/>
  <c r="I4" i="65"/>
  <c r="I3" i="65"/>
  <c r="J1" i="65" l="1"/>
  <c r="E20" i="46"/>
  <c r="M5" i="54"/>
  <c r="A23" i="51"/>
  <c r="E3" i="65"/>
  <c r="F17" i="11" l="1"/>
  <c r="Y12" i="46"/>
  <c r="AA9" i="46"/>
  <c r="AB9" i="46"/>
  <c r="AC9" i="46"/>
  <c r="AD9" i="46"/>
  <c r="AE9" i="46"/>
  <c r="AF9" i="46"/>
  <c r="AF10" i="46" s="1"/>
  <c r="AG9" i="46"/>
  <c r="AH9" i="46"/>
  <c r="AI9" i="46"/>
  <c r="AJ9" i="46"/>
  <c r="AJ10" i="46" s="1"/>
  <c r="Z9" i="46"/>
  <c r="Z10" i="46" s="1"/>
  <c r="AI10" i="46"/>
  <c r="AH10" i="46"/>
  <c r="AG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N17" i="59"/>
  <c r="Q16" i="59"/>
  <c r="AB16" i="59" s="1"/>
  <c r="P16" i="59"/>
  <c r="O16" i="59"/>
  <c r="N16" i="59"/>
  <c r="X16" i="59" s="1"/>
  <c r="Q15" i="59"/>
  <c r="AB15" i="59" s="1"/>
  <c r="P15" i="59"/>
  <c r="AA15" i="59" s="1"/>
  <c r="O15" i="59"/>
  <c r="N15" i="59"/>
  <c r="X15" i="59" s="1"/>
  <c r="Q14" i="59"/>
  <c r="P14" i="59"/>
  <c r="O14" i="59"/>
  <c r="N14" i="59"/>
  <c r="D14" i="59"/>
  <c r="Q13" i="59"/>
  <c r="P13" i="59"/>
  <c r="O13" i="59"/>
  <c r="Y13" i="59" s="1"/>
  <c r="Z13" i="59" s="1"/>
  <c r="N13" i="59"/>
  <c r="X13" i="59" s="1"/>
  <c r="Q12" i="59"/>
  <c r="AB12" i="59" s="1"/>
  <c r="P12" i="59"/>
  <c r="O12" i="59"/>
  <c r="Y12" i="59" s="1"/>
  <c r="Z12" i="59" s="1"/>
  <c r="N12" i="59"/>
  <c r="X12" i="59" s="1"/>
  <c r="Q11" i="59"/>
  <c r="AB11" i="59" s="1"/>
  <c r="P11" i="59"/>
  <c r="O11" i="59"/>
  <c r="Y11" i="59" s="1"/>
  <c r="Z11" i="59" s="1"/>
  <c r="N11" i="59"/>
  <c r="X11" i="59" s="1"/>
  <c r="Q10" i="59"/>
  <c r="P10" i="59"/>
  <c r="AA10" i="59" s="1"/>
  <c r="O10" i="59"/>
  <c r="N10" i="59"/>
  <c r="D10" i="59"/>
  <c r="F11" i="59" l="1"/>
  <c r="AB10" i="59"/>
  <c r="AA11" i="59"/>
  <c r="AA12" i="59"/>
  <c r="AA13" i="59"/>
  <c r="C15" i="59"/>
  <c r="Y14" i="59"/>
  <c r="Z14" i="59" s="1"/>
  <c r="Y15" i="59"/>
  <c r="Z15" i="59" s="1"/>
  <c r="Y16" i="59"/>
  <c r="Z16" i="59" s="1"/>
  <c r="Y17" i="59"/>
  <c r="Z17" i="59" s="1"/>
  <c r="B19" i="59"/>
  <c r="B20" i="59" s="1"/>
  <c r="B21" i="59" s="1"/>
  <c r="S21" i="59" s="1"/>
  <c r="X18" i="59"/>
  <c r="B56" i="59"/>
  <c r="B55" i="59" s="1"/>
  <c r="B9" i="59"/>
  <c r="X5" i="59"/>
  <c r="AB13" i="59"/>
  <c r="E15" i="59"/>
  <c r="E16" i="59" s="1"/>
  <c r="E17" i="59" s="1"/>
  <c r="U17" i="59" s="1"/>
  <c r="AA14" i="59"/>
  <c r="AA16" i="59"/>
  <c r="AA17" i="59"/>
  <c r="C19" i="59"/>
  <c r="Y18" i="59"/>
  <c r="Z18" i="59" s="1"/>
  <c r="C9" i="59"/>
  <c r="Y5" i="59"/>
  <c r="Z5" i="59" s="1"/>
  <c r="E19" i="59"/>
  <c r="E20" i="59" s="1"/>
  <c r="E21" i="59" s="1"/>
  <c r="U21" i="59" s="1"/>
  <c r="AA18" i="59"/>
  <c r="E9" i="59"/>
  <c r="AA5" i="59"/>
  <c r="B11" i="59"/>
  <c r="X10" i="59"/>
  <c r="F15" i="59"/>
  <c r="AB14" i="59"/>
  <c r="C11" i="59"/>
  <c r="Y10" i="59"/>
  <c r="Z10" i="59" s="1"/>
  <c r="B15" i="59"/>
  <c r="B16" i="59" s="1"/>
  <c r="B17" i="59" s="1"/>
  <c r="S17" i="59" s="1"/>
  <c r="X14" i="59"/>
  <c r="X17" i="59"/>
  <c r="F19" i="59"/>
  <c r="AB18" i="59"/>
  <c r="B60" i="59"/>
  <c r="B59"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D9" i="59"/>
  <c r="T9" i="59"/>
  <c r="C8" i="59"/>
  <c r="S9" i="59"/>
  <c r="B8" i="59"/>
  <c r="B7" i="59" s="1"/>
  <c r="B6" i="59" s="1"/>
  <c r="B5" i="59" s="1"/>
  <c r="V9" i="59"/>
  <c r="F8" i="59"/>
  <c r="F7" i="59" s="1"/>
  <c r="F6" i="59" s="1"/>
  <c r="F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AZ216" i="3" s="1"/>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L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K145" i="21" s="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H5" i="3" s="1"/>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H17" i="39" s="1"/>
  <c r="U17"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Q25" i="37"/>
  <c r="Z25" i="37" s="1"/>
  <c r="Q23" i="37"/>
  <c r="Z23" i="37" s="1"/>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F34" i="35" s="1"/>
  <c r="AA34" i="35" s="1"/>
  <c r="B77" i="35"/>
  <c r="B75" i="35"/>
  <c r="J24" i="35" s="1"/>
  <c r="AC24" i="35" s="1"/>
  <c r="B73" i="35"/>
  <c r="B57" i="35"/>
  <c r="B61" i="35"/>
  <c r="B59" i="35"/>
  <c r="H12" i="35" s="1"/>
  <c r="B131" i="34"/>
  <c r="B129" i="34"/>
  <c r="B127" i="34"/>
  <c r="F45" i="34" s="1"/>
  <c r="B99" i="34"/>
  <c r="H32" i="34" s="1"/>
  <c r="B97" i="34"/>
  <c r="B95" i="34"/>
  <c r="B93" i="34"/>
  <c r="F29" i="34" s="1"/>
  <c r="S29" i="34" s="1"/>
  <c r="B75" i="34"/>
  <c r="J14" i="34" s="1"/>
  <c r="B73" i="34"/>
  <c r="F13" i="34" s="1"/>
  <c r="AA13" i="34" s="1"/>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Q35" i="35"/>
  <c r="Z35" i="35" s="1"/>
  <c r="Q34" i="35"/>
  <c r="Z34" i="35" s="1"/>
  <c r="J34" i="35"/>
  <c r="AC34" i="35" s="1"/>
  <c r="H34" i="35"/>
  <c r="AB34" i="35" s="1"/>
  <c r="Q33" i="35"/>
  <c r="Z33" i="35"/>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F46" i="21" s="1"/>
  <c r="AA46" i="21" s="1"/>
  <c r="B128" i="21"/>
  <c r="H45" i="21" s="1"/>
  <c r="U45" i="21" s="1"/>
  <c r="B126" i="21"/>
  <c r="B98" i="21"/>
  <c r="J31" i="21" s="1"/>
  <c r="AC31" i="21" s="1"/>
  <c r="B96" i="21"/>
  <c r="B94" i="21"/>
  <c r="B92" i="21"/>
  <c r="J28" i="21" s="1"/>
  <c r="AC28" i="21" s="1"/>
  <c r="B90" i="21"/>
  <c r="B74" i="21"/>
  <c r="B72" i="21"/>
  <c r="H13" i="21" s="1"/>
  <c r="U13" i="21" s="1"/>
  <c r="B70" i="21"/>
  <c r="F12" i="21"/>
  <c r="AA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39" i="34"/>
  <c r="H39" i="33"/>
  <c r="AB39" i="33" s="1"/>
  <c r="F26" i="33"/>
  <c r="AA26" i="33" s="1"/>
  <c r="U33" i="33"/>
  <c r="W38" i="33"/>
  <c r="S40" i="33"/>
  <c r="S33" i="33"/>
  <c r="W33" i="33"/>
  <c r="U38" i="33"/>
  <c r="S8" i="21"/>
  <c r="W8" i="21"/>
  <c r="H39" i="37"/>
  <c r="AB39" i="37" s="1"/>
  <c r="AB27" i="35"/>
  <c r="S10" i="40"/>
  <c r="W10" i="40"/>
  <c r="S11" i="40"/>
  <c r="U11" i="40"/>
  <c r="S36" i="40"/>
  <c r="U36" i="40"/>
  <c r="S40" i="39"/>
  <c r="S36" i="39"/>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F125" i="21"/>
  <c r="G125" i="21" s="1"/>
  <c r="G86" i="40"/>
  <c r="AB30" i="36"/>
  <c r="S22" i="35"/>
  <c r="H29" i="35"/>
  <c r="U34" i="37"/>
  <c r="S34" i="37"/>
  <c r="AA34" i="37"/>
  <c r="J19" i="34"/>
  <c r="AC19" i="34" s="1"/>
  <c r="F113" i="33"/>
  <c r="G113" i="33" s="1"/>
  <c r="H113" i="33" s="1"/>
  <c r="I113" i="33" s="1"/>
  <c r="J113" i="33" s="1"/>
  <c r="K113" i="33" s="1"/>
  <c r="L113" i="33" s="1"/>
  <c r="M113" i="33" s="1"/>
  <c r="H37" i="33"/>
  <c r="AB37" i="33" s="1"/>
  <c r="S37" i="33"/>
  <c r="W43" i="34"/>
  <c r="AA42" i="34"/>
  <c r="S42" i="34"/>
  <c r="W38" i="34"/>
  <c r="AA38" i="34"/>
  <c r="J37" i="33"/>
  <c r="W37" i="33" s="1"/>
  <c r="J42" i="21"/>
  <c r="AC42" i="21" s="1"/>
  <c r="J44" i="34"/>
  <c r="AC44" i="34" s="1"/>
  <c r="F44" i="34"/>
  <c r="S44" i="34" s="1"/>
  <c r="J10" i="35"/>
  <c r="W10" i="35" s="1"/>
  <c r="AL5" i="3"/>
  <c r="BQ13" i="3"/>
  <c r="BL13" i="3" s="1"/>
  <c r="BL572" i="3"/>
  <c r="J14" i="21"/>
  <c r="AC14" i="21" s="1"/>
  <c r="F14" i="21"/>
  <c r="AA14" i="21" s="1"/>
  <c r="H14" i="21"/>
  <c r="U14" i="21" s="1"/>
  <c r="F28" i="21"/>
  <c r="S28" i="21" s="1"/>
  <c r="H30" i="21"/>
  <c r="U30" i="21" s="1"/>
  <c r="F30" i="21"/>
  <c r="S30" i="21" s="1"/>
  <c r="J30" i="21"/>
  <c r="W30" i="21" s="1"/>
  <c r="J44" i="21"/>
  <c r="AC44" i="21" s="1"/>
  <c r="H44" i="21"/>
  <c r="U44" i="21" s="1"/>
  <c r="F44" i="21"/>
  <c r="AA44" i="21" s="1"/>
  <c r="H46" i="21"/>
  <c r="AB46"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F29" i="21"/>
  <c r="S29" i="21" s="1"/>
  <c r="H31" i="21"/>
  <c r="U31" i="21" s="1"/>
  <c r="F31" i="21"/>
  <c r="S31"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J29" i="34"/>
  <c r="AC29" i="34" s="1"/>
  <c r="H29" i="34"/>
  <c r="U29" i="34" s="1"/>
  <c r="J31" i="34"/>
  <c r="AC31" i="34" s="1"/>
  <c r="H31" i="34"/>
  <c r="AB31" i="34" s="1"/>
  <c r="F31" i="34"/>
  <c r="S31" i="34" s="1"/>
  <c r="H45" i="34"/>
  <c r="U45" i="34" s="1"/>
  <c r="J45" i="34"/>
  <c r="W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U46" i="21"/>
  <c r="AC30" i="21"/>
  <c r="W14" i="21"/>
  <c r="S46" i="33"/>
  <c r="U36" i="37"/>
  <c r="AC13" i="36"/>
  <c r="AB45" i="33"/>
  <c r="AA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AZ502" i="3" s="1"/>
  <c r="BA498" i="3"/>
  <c r="BA492" i="3"/>
  <c r="BA488" i="3"/>
  <c r="BA484" i="3"/>
  <c r="BA20" i="3"/>
  <c r="AZ545" i="3"/>
  <c r="G566" i="3"/>
  <c r="G562" i="3"/>
  <c r="G560" i="3"/>
  <c r="G558" i="3"/>
  <c r="G556" i="3"/>
  <c r="G554" i="3"/>
  <c r="G550" i="3"/>
  <c r="G546" i="3"/>
  <c r="BL543" i="3"/>
  <c r="AZ543" i="3"/>
  <c r="BA542" i="3"/>
  <c r="AZ542" i="3" s="1"/>
  <c r="AC542" i="3"/>
  <c r="G542" i="3" s="1"/>
  <c r="BQ542" i="3"/>
  <c r="BL542" i="3"/>
  <c r="BQ568" i="3"/>
  <c r="BQ566" i="3"/>
  <c r="BQ564" i="3"/>
  <c r="BL564" i="3" s="1"/>
  <c r="BQ562" i="3"/>
  <c r="BL562" i="3"/>
  <c r="AZ562" i="3"/>
  <c r="BQ560" i="3"/>
  <c r="BL560" i="3" s="1"/>
  <c r="AZ560" i="3" s="1"/>
  <c r="BQ558" i="3"/>
  <c r="BL558" i="3"/>
  <c r="BQ556" i="3"/>
  <c r="BL556" i="3" s="1"/>
  <c r="BQ554" i="3"/>
  <c r="BQ552" i="3"/>
  <c r="BL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B43" i="33"/>
  <c r="D3" i="21"/>
  <c r="AC33" i="36"/>
  <c r="AC12" i="35"/>
  <c r="W23" i="35"/>
  <c r="AC23" i="37"/>
  <c r="S27" i="37"/>
  <c r="U39" i="37"/>
  <c r="AC8" i="37"/>
  <c r="AB8" i="34"/>
  <c r="AC37" i="33"/>
  <c r="AA13" i="33"/>
  <c r="AC45" i="33"/>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AZ558" i="3"/>
  <c r="G483" i="3"/>
  <c r="G515" i="3"/>
  <c r="G507" i="3"/>
  <c r="G501" i="3"/>
  <c r="BL17" i="3"/>
  <c r="BL15" i="3"/>
  <c r="BT5" i="3"/>
  <c r="J57" i="39"/>
  <c r="H13" i="40"/>
  <c r="U13" i="40" s="1"/>
  <c r="H12" i="48"/>
  <c r="I4" i="4"/>
  <c r="K141" i="21"/>
  <c r="K143" i="21"/>
  <c r="K144" i="21"/>
  <c r="I59" i="40"/>
  <c r="C59" i="40" s="1"/>
  <c r="I60" i="40"/>
  <c r="C60" i="40" s="1"/>
  <c r="W9" i="33"/>
  <c r="G297" i="3"/>
  <c r="BL298" i="3"/>
  <c r="G299" i="3"/>
  <c r="BL300" i="3"/>
  <c r="BA302" i="3"/>
  <c r="AZ302" i="3"/>
  <c r="BA303" i="3"/>
  <c r="AZ303" i="3" s="1"/>
  <c r="BL303" i="3"/>
  <c r="G304" i="3"/>
  <c r="BA305" i="3"/>
  <c r="AZ305" i="3"/>
  <c r="G321" i="3"/>
  <c r="BL322" i="3"/>
  <c r="G323" i="3"/>
  <c r="BL324" i="3"/>
  <c r="BA326" i="3"/>
  <c r="AZ326" i="3" s="1"/>
  <c r="BA327" i="3"/>
  <c r="AZ327" i="3" s="1"/>
  <c r="BL327" i="3"/>
  <c r="G328" i="3"/>
  <c r="BA329" i="3"/>
  <c r="AZ329" i="3"/>
  <c r="G337" i="3"/>
  <c r="BL338" i="3"/>
  <c r="G339" i="3"/>
  <c r="BL340" i="3"/>
  <c r="BA342" i="3"/>
  <c r="AZ342" i="3" s="1"/>
  <c r="BA343" i="3"/>
  <c r="AZ343" i="3" s="1"/>
  <c r="BL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c r="BL115" i="3"/>
  <c r="G116" i="3"/>
  <c r="BA118" i="3"/>
  <c r="AZ118" i="3"/>
  <c r="BL119" i="3"/>
  <c r="G120" i="3"/>
  <c r="BA122" i="3"/>
  <c r="AZ122" i="3" s="1"/>
  <c r="BL123" i="3"/>
  <c r="AZ123" i="3"/>
  <c r="G124" i="3"/>
  <c r="BA126" i="3"/>
  <c r="AZ126" i="3" s="1"/>
  <c r="BL127" i="3"/>
  <c r="AZ127" i="3" s="1"/>
  <c r="G128" i="3"/>
  <c r="BA130" i="3"/>
  <c r="AZ130" i="3" s="1"/>
  <c r="BL131" i="3"/>
  <c r="AZ131" i="3"/>
  <c r="G132" i="3"/>
  <c r="BA134" i="3"/>
  <c r="AZ134" i="3"/>
  <c r="BL135" i="3"/>
  <c r="AZ135" i="3" s="1"/>
  <c r="G136" i="3"/>
  <c r="BA138" i="3"/>
  <c r="AZ138" i="3"/>
  <c r="BL139" i="3"/>
  <c r="AZ139" i="3" s="1"/>
  <c r="G140" i="3"/>
  <c r="BA142" i="3"/>
  <c r="AZ142" i="3" s="1"/>
  <c r="BL143" i="3"/>
  <c r="G144" i="3"/>
  <c r="BA146" i="3"/>
  <c r="AZ146" i="3" s="1"/>
  <c r="BL147" i="3"/>
  <c r="AZ147" i="3"/>
  <c r="G148" i="3"/>
  <c r="BA150" i="3"/>
  <c r="AZ150" i="3" s="1"/>
  <c r="BL151" i="3"/>
  <c r="AZ151" i="3"/>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G175" i="3"/>
  <c r="BA178" i="3"/>
  <c r="AZ178" i="3" s="1"/>
  <c r="BL179" i="3"/>
  <c r="AZ179" i="3" s="1"/>
  <c r="G180" i="3"/>
  <c r="AZ23" i="3"/>
  <c r="AZ35" i="3"/>
  <c r="AZ47" i="3"/>
  <c r="AZ51" i="3"/>
  <c r="AZ55" i="3"/>
  <c r="AZ59" i="3"/>
  <c r="G537" i="3"/>
  <c r="BL181" i="3"/>
  <c r="AZ181" i="3" s="1"/>
  <c r="G182" i="3"/>
  <c r="BA184" i="3"/>
  <c r="AZ184" i="3"/>
  <c r="BL185" i="3"/>
  <c r="AZ185" i="3" s="1"/>
  <c r="G186" i="3"/>
  <c r="BA188" i="3"/>
  <c r="AZ188" i="3"/>
  <c r="BL189" i="3"/>
  <c r="AZ189" i="3" s="1"/>
  <c r="G190" i="3"/>
  <c r="BA192" i="3"/>
  <c r="AZ192" i="3" s="1"/>
  <c r="BL193" i="3"/>
  <c r="AZ193" i="3"/>
  <c r="G194" i="3"/>
  <c r="BA196" i="3"/>
  <c r="AZ196" i="3" s="1"/>
  <c r="BL197" i="3"/>
  <c r="AZ197" i="3"/>
  <c r="G198" i="3"/>
  <c r="BA200" i="3"/>
  <c r="AZ200" i="3"/>
  <c r="BL201" i="3"/>
  <c r="AZ201" i="3" s="1"/>
  <c r="AZ66" i="3"/>
  <c r="AZ70" i="3"/>
  <c r="AZ74" i="3"/>
  <c r="AZ78" i="3"/>
  <c r="AZ82" i="3"/>
  <c r="AZ84" i="3"/>
  <c r="AZ86" i="3"/>
  <c r="AZ90" i="3"/>
  <c r="AZ94" i="3"/>
  <c r="AZ98" i="3"/>
  <c r="AZ102" i="3"/>
  <c r="AZ106" i="3"/>
  <c r="AZ110" i="3"/>
  <c r="G491" i="3"/>
  <c r="BA298" i="3"/>
  <c r="AZ298" i="3" s="1"/>
  <c r="BA299" i="3"/>
  <c r="AZ299" i="3"/>
  <c r="BL299" i="3"/>
  <c r="G300" i="3"/>
  <c r="G303" i="3"/>
  <c r="BL304" i="3"/>
  <c r="BA306" i="3"/>
  <c r="AZ306" i="3" s="1"/>
  <c r="BA307" i="3"/>
  <c r="AZ307" i="3" s="1"/>
  <c r="BL307" i="3"/>
  <c r="G308" i="3"/>
  <c r="G319" i="3"/>
  <c r="BL320" i="3"/>
  <c r="BA322" i="3"/>
  <c r="BA323" i="3"/>
  <c r="BL323" i="3"/>
  <c r="AZ323" i="3" s="1"/>
  <c r="G324" i="3"/>
  <c r="G327" i="3"/>
  <c r="BL328" i="3"/>
  <c r="BA330" i="3"/>
  <c r="AZ330" i="3" s="1"/>
  <c r="BA331" i="3"/>
  <c r="BL331" i="3"/>
  <c r="G332" i="3"/>
  <c r="G335" i="3"/>
  <c r="BL336" i="3"/>
  <c r="BA338" i="3"/>
  <c r="AZ338" i="3"/>
  <c r="BA339" i="3"/>
  <c r="BL339" i="3"/>
  <c r="G340" i="3"/>
  <c r="G343" i="3"/>
  <c r="BL344" i="3"/>
  <c r="BA346" i="3"/>
  <c r="AZ346" i="3"/>
  <c r="BA347" i="3"/>
  <c r="AZ347" i="3" s="1"/>
  <c r="BL347" i="3"/>
  <c r="G348" i="3"/>
  <c r="G351" i="3"/>
  <c r="BL352" i="3"/>
  <c r="BA354" i="3"/>
  <c r="BA355" i="3"/>
  <c r="BL355" i="3"/>
  <c r="AZ355" i="3" s="1"/>
  <c r="G356" i="3"/>
  <c r="AZ143" i="3"/>
  <c r="BA358" i="3"/>
  <c r="AZ358" i="3" s="1"/>
  <c r="BA359" i="3"/>
  <c r="BL359" i="3"/>
  <c r="AZ359" i="3"/>
  <c r="G360" i="3"/>
  <c r="G361" i="3"/>
  <c r="BL362" i="3"/>
  <c r="BA364" i="3"/>
  <c r="AZ364" i="3"/>
  <c r="BA365" i="3"/>
  <c r="AZ365" i="3" s="1"/>
  <c r="BL365" i="3"/>
  <c r="G366" i="3"/>
  <c r="G369" i="3"/>
  <c r="BL370" i="3"/>
  <c r="BA372" i="3"/>
  <c r="AZ372" i="3" s="1"/>
  <c r="BA373" i="3"/>
  <c r="BL373" i="3"/>
  <c r="AZ373" i="3"/>
  <c r="G374" i="3"/>
  <c r="G377" i="3"/>
  <c r="BL378" i="3"/>
  <c r="BA380" i="3"/>
  <c r="AZ380" i="3" s="1"/>
  <c r="BA381" i="3"/>
  <c r="BL381" i="3"/>
  <c r="AZ381" i="3" s="1"/>
  <c r="G382" i="3"/>
  <c r="G385" i="3"/>
  <c r="AZ154" i="3"/>
  <c r="AZ158" i="3"/>
  <c r="AZ170" i="3"/>
  <c r="AZ174"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s="1"/>
  <c r="BL383" i="3"/>
  <c r="G384" i="3"/>
  <c r="AZ249" i="3"/>
  <c r="AZ253" i="3"/>
  <c r="AZ257" i="3"/>
  <c r="AZ261" i="3"/>
  <c r="AZ265" i="3"/>
  <c r="AZ375" i="3"/>
  <c r="AZ383" i="3"/>
  <c r="AZ270" i="3"/>
  <c r="AZ274" i="3"/>
  <c r="AZ278" i="3"/>
  <c r="AZ282" i="3"/>
  <c r="AZ286"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Z322" i="3"/>
  <c r="H13" i="39"/>
  <c r="AB13" i="39" s="1"/>
  <c r="F13" i="39"/>
  <c r="AA13" i="39" s="1"/>
  <c r="J13" i="39"/>
  <c r="AC13" i="39" s="1"/>
  <c r="AA36" i="35"/>
  <c r="H11" i="37"/>
  <c r="AB11" i="37" s="1"/>
  <c r="W37" i="37"/>
  <c r="AA30" i="33"/>
  <c r="AA36" i="37"/>
  <c r="S42" i="33"/>
  <c r="U32" i="33"/>
  <c r="AB17" i="37"/>
  <c r="AZ488" i="3"/>
  <c r="AZ508" i="3"/>
  <c r="AZ524"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H30" i="34"/>
  <c r="AB30" i="34" s="1"/>
  <c r="F30" i="34"/>
  <c r="S30" i="34" s="1"/>
  <c r="J30" i="34"/>
  <c r="W30"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AC40" i="37"/>
  <c r="W40" i="37"/>
  <c r="W27" i="33"/>
  <c r="AC45" i="21"/>
  <c r="S28" i="33"/>
  <c r="AB29" i="35"/>
  <c r="U29" i="35"/>
  <c r="AC19" i="33"/>
  <c r="W19" i="33"/>
  <c r="U43" i="34"/>
  <c r="AB43" i="34"/>
  <c r="AC34" i="37"/>
  <c r="S35" i="37"/>
  <c r="AA35" i="37"/>
  <c r="AB10" i="35"/>
  <c r="U38" i="21"/>
  <c r="BL571" i="3"/>
  <c r="BA571" i="3"/>
  <c r="AZ571" i="3" s="1"/>
  <c r="BL570" i="3"/>
  <c r="BE5" i="3"/>
  <c r="F42" i="21"/>
  <c r="AA42" i="21" s="1"/>
  <c r="AB40" i="33"/>
  <c r="U40" i="33"/>
  <c r="AA35" i="34"/>
  <c r="S35" i="34"/>
  <c r="E90" i="34"/>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AZ567" i="3" s="1"/>
  <c r="BA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s="1"/>
  <c r="BA538" i="3"/>
  <c r="AZ538" i="3"/>
  <c r="BL537" i="3"/>
  <c r="BA537" i="3"/>
  <c r="BL536" i="3"/>
  <c r="AZ536" i="3"/>
  <c r="BA535" i="3"/>
  <c r="AZ535" i="3" s="1"/>
  <c r="BA534" i="3"/>
  <c r="AZ534" i="3"/>
  <c r="BA533" i="3"/>
  <c r="AZ533" i="3" s="1"/>
  <c r="BL531" i="3"/>
  <c r="AZ531" i="3"/>
  <c r="BL530" i="3"/>
  <c r="BA530" i="3"/>
  <c r="BL529" i="3"/>
  <c r="BA529" i="3"/>
  <c r="BL528" i="3"/>
  <c r="AZ528" i="3" s="1"/>
  <c r="BA527" i="3"/>
  <c r="AZ527" i="3"/>
  <c r="BA526" i="3"/>
  <c r="AZ526" i="3" s="1"/>
  <c r="BA525" i="3"/>
  <c r="AZ525" i="3"/>
  <c r="BL523" i="3"/>
  <c r="AZ523" i="3" s="1"/>
  <c r="BA523" i="3"/>
  <c r="BL522" i="3"/>
  <c r="BA522" i="3"/>
  <c r="AZ522" i="3" s="1"/>
  <c r="BL521" i="3"/>
  <c r="AZ521" i="3"/>
  <c r="BA519" i="3"/>
  <c r="AZ519" i="3" s="1"/>
  <c r="BL518" i="3"/>
  <c r="BA518" i="3"/>
  <c r="AZ518" i="3" s="1"/>
  <c r="BL517" i="3"/>
  <c r="BA517" i="3"/>
  <c r="AZ517" i="3"/>
  <c r="BL515" i="3"/>
  <c r="BA515" i="3"/>
  <c r="BA514" i="3"/>
  <c r="AZ514" i="3"/>
  <c r="BL513" i="3"/>
  <c r="AZ513" i="3" s="1"/>
  <c r="BA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AZ496" i="3" s="1"/>
  <c r="BA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A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AB8" i="33"/>
  <c r="U8" i="33"/>
  <c r="E106" i="33"/>
  <c r="H34" i="33"/>
  <c r="U34" i="33" s="1"/>
  <c r="F34" i="33"/>
  <c r="S34" i="33" s="1"/>
  <c r="E121" i="33"/>
  <c r="F41" i="33"/>
  <c r="S41" i="33" s="1"/>
  <c r="AA39" i="34"/>
  <c r="S43" i="34"/>
  <c r="E78" i="34"/>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AB25" i="39"/>
  <c r="AC41" i="40"/>
  <c r="W41" i="40"/>
  <c r="U41" i="40"/>
  <c r="J23" i="40"/>
  <c r="AC23" i="40" s="1"/>
  <c r="G92" i="40"/>
  <c r="F23" i="40"/>
  <c r="S23" i="40" s="1"/>
  <c r="AB16"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W12" i="34"/>
  <c r="U29" i="33"/>
  <c r="AC13" i="33"/>
  <c r="W32" i="33"/>
  <c r="H15" i="33"/>
  <c r="U15" i="33" s="1"/>
  <c r="AA11" i="33"/>
  <c r="U16" i="40"/>
  <c r="W34" i="40"/>
  <c r="AB34" i="40"/>
  <c r="AB42" i="40"/>
  <c r="U42" i="40"/>
  <c r="AC16" i="40"/>
  <c r="W32" i="40"/>
  <c r="H25" i="40"/>
  <c r="AB25" i="40" s="1"/>
  <c r="F94" i="40"/>
  <c r="G94" i="40" s="1"/>
  <c r="J37" i="34"/>
  <c r="AC37" i="34" s="1"/>
  <c r="J36" i="33"/>
  <c r="W36" i="33" s="1"/>
  <c r="S41" i="40"/>
  <c r="H23" i="39"/>
  <c r="AB23" i="39" s="1"/>
  <c r="J23" i="39"/>
  <c r="AC23" i="39" s="1"/>
  <c r="F97" i="39"/>
  <c r="G97" i="39" s="1"/>
  <c r="AA41" i="33"/>
  <c r="AA34" i="33"/>
  <c r="F106" i="33"/>
  <c r="G106" i="33" s="1"/>
  <c r="H106" i="33" s="1"/>
  <c r="I106" i="33" s="1"/>
  <c r="J106" i="33" s="1"/>
  <c r="K106" i="33" s="1"/>
  <c r="L106" i="33" s="1"/>
  <c r="M106" i="33" s="1"/>
  <c r="J34" i="33"/>
  <c r="AC34" i="33" s="1"/>
  <c r="U30" i="40"/>
  <c r="AA37" i="39"/>
  <c r="W29" i="35"/>
  <c r="AA39" i="39"/>
  <c r="S39" i="39"/>
  <c r="AB29"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AB13" i="33"/>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E2" i="65"/>
  <c r="L47" i="68"/>
  <c r="C58" i="21" l="1"/>
  <c r="D58" i="21" s="1"/>
  <c r="E58" i="21" s="1"/>
  <c r="F58" i="21" s="1"/>
  <c r="G58" i="21" s="1"/>
  <c r="H58" i="21" s="1"/>
  <c r="I58" i="21" s="1"/>
  <c r="J58" i="21" s="1"/>
  <c r="K58" i="21" s="1"/>
  <c r="L58" i="21" s="1"/>
  <c r="M58" i="21" s="1"/>
  <c r="N58" i="21" s="1"/>
  <c r="O58" i="21" s="1"/>
  <c r="I7" i="21"/>
  <c r="E7" i="21"/>
  <c r="G7" i="21"/>
  <c r="G7" i="34"/>
  <c r="I7" i="34"/>
  <c r="E7" i="34"/>
  <c r="F8" i="1"/>
  <c r="W34" i="34"/>
  <c r="AA11" i="34"/>
  <c r="AB42" i="34"/>
  <c r="AB36" i="34"/>
  <c r="AB38" i="34"/>
  <c r="S34" i="34"/>
  <c r="AA44" i="34"/>
  <c r="AC41" i="34"/>
  <c r="AC36" i="34"/>
  <c r="AB39" i="34"/>
  <c r="U37" i="34"/>
  <c r="AB40" i="34"/>
  <c r="AC42" i="34"/>
  <c r="AA45" i="34"/>
  <c r="S45" i="34"/>
  <c r="S28" i="34"/>
  <c r="AA28" i="34"/>
  <c r="AB32" i="34"/>
  <c r="U32" i="34"/>
  <c r="W31" i="34"/>
  <c r="H27" i="34"/>
  <c r="AB27" i="34" s="1"/>
  <c r="U31" i="34"/>
  <c r="AC28" i="34"/>
  <c r="AC15" i="34"/>
  <c r="S15" i="34"/>
  <c r="S17" i="34"/>
  <c r="U17" i="34"/>
  <c r="AC9" i="34"/>
  <c r="W9" i="34"/>
  <c r="W14" i="34"/>
  <c r="AC14" i="34"/>
  <c r="H14" i="34"/>
  <c r="U12" i="34"/>
  <c r="F14" i="34"/>
  <c r="U40" i="21"/>
  <c r="AB36" i="21"/>
  <c r="S45" i="21"/>
  <c r="W42" i="21"/>
  <c r="U43" i="21"/>
  <c r="AA43" i="21"/>
  <c r="AC41" i="21"/>
  <c r="AC36" i="21"/>
  <c r="AB34" i="21"/>
  <c r="U42" i="21"/>
  <c r="AA40" i="21"/>
  <c r="AC40" i="21"/>
  <c r="U39" i="21"/>
  <c r="AA38" i="21"/>
  <c r="AC35" i="21"/>
  <c r="S34" i="21"/>
  <c r="AA33" i="21"/>
  <c r="AA32" i="21"/>
  <c r="AC33" i="21"/>
  <c r="AB33" i="21"/>
  <c r="U19" i="21"/>
  <c r="S19" i="21"/>
  <c r="U17" i="21"/>
  <c r="AA28" i="21"/>
  <c r="H28" i="21"/>
  <c r="AB31" i="21"/>
  <c r="S12" i="21"/>
  <c r="S14" i="21"/>
  <c r="F10" i="21"/>
  <c r="AA10" i="21" s="1"/>
  <c r="AB10" i="21"/>
  <c r="S9" i="21"/>
  <c r="AA9" i="21"/>
  <c r="U9" i="21"/>
  <c r="W9" i="21"/>
  <c r="AA33" i="39"/>
  <c r="W27" i="39"/>
  <c r="U19" i="39"/>
  <c r="F17" i="39"/>
  <c r="AA17" i="39" s="1"/>
  <c r="E91" i="39"/>
  <c r="F91" i="39" s="1"/>
  <c r="G91" i="39" s="1"/>
  <c r="J17" i="39"/>
  <c r="W17" i="39" s="1"/>
  <c r="U34" i="39"/>
  <c r="W39" i="39"/>
  <c r="AB46" i="39"/>
  <c r="AB44" i="39"/>
  <c r="AC43" i="39"/>
  <c r="W33" i="39"/>
  <c r="U27" i="39"/>
  <c r="S23" i="39"/>
  <c r="U21" i="39"/>
  <c r="AB17" i="39"/>
  <c r="AA19" i="39"/>
  <c r="J15" i="39"/>
  <c r="AC15" i="39" s="1"/>
  <c r="S16" i="39"/>
  <c r="S13" i="39"/>
  <c r="W14" i="39"/>
  <c r="F36" i="44"/>
  <c r="F71" i="9"/>
  <c r="F66" i="9"/>
  <c r="P72" i="9" s="1"/>
  <c r="F27" i="43"/>
  <c r="F72" i="9"/>
  <c r="D23" i="15"/>
  <c r="E32" i="6"/>
  <c r="G14" i="3"/>
  <c r="BG5" i="3"/>
  <c r="A2" i="55"/>
  <c r="B55" i="63" s="1"/>
  <c r="A11" i="55"/>
  <c r="B62" i="63" s="1"/>
  <c r="L59" i="68"/>
  <c r="N59" i="68"/>
  <c r="M59" i="68"/>
  <c r="AZ544" i="3"/>
  <c r="AZ556" i="3"/>
  <c r="U27" i="33"/>
  <c r="AB27" i="33"/>
  <c r="W27" i="34"/>
  <c r="AC27" i="34"/>
  <c r="AB36" i="35"/>
  <c r="U36" i="35"/>
  <c r="AB23" i="40"/>
  <c r="W15" i="39"/>
  <c r="AB14" i="40"/>
  <c r="AA23" i="37"/>
  <c r="AC28" i="33"/>
  <c r="AB31" i="33"/>
  <c r="AB30" i="21"/>
  <c r="S46" i="21"/>
  <c r="W46" i="33"/>
  <c r="AA39" i="37"/>
  <c r="BI5" i="3"/>
  <c r="H9" i="33"/>
  <c r="J36" i="35"/>
  <c r="H23" i="36"/>
  <c r="AB23" i="36" s="1"/>
  <c r="AZ400" i="3"/>
  <c r="AZ402" i="3"/>
  <c r="AZ412" i="3"/>
  <c r="AZ420" i="3"/>
  <c r="AZ350" i="3"/>
  <c r="U47" i="39"/>
  <c r="W15" i="40"/>
  <c r="AC47" i="39"/>
  <c r="AZ20" i="3"/>
  <c r="AB14" i="21"/>
  <c r="AB13" i="21"/>
  <c r="AB13" i="35"/>
  <c r="AC34" i="36"/>
  <c r="AB32" i="40"/>
  <c r="AB44" i="21"/>
  <c r="H5" i="3"/>
  <c r="J12" i="36"/>
  <c r="H12" i="36"/>
  <c r="U12" i="36" s="1"/>
  <c r="J26" i="37"/>
  <c r="H26" i="37"/>
  <c r="AB26" i="37" s="1"/>
  <c r="F26" i="37"/>
  <c r="AA26" i="37" s="1"/>
  <c r="AZ397" i="3"/>
  <c r="AZ409" i="3"/>
  <c r="AZ411" i="3"/>
  <c r="AZ417" i="3"/>
  <c r="AZ429" i="3"/>
  <c r="AZ387" i="3"/>
  <c r="F25" i="37"/>
  <c r="C18" i="9"/>
  <c r="G209" i="3"/>
  <c r="BL209" i="3"/>
  <c r="AZ209" i="3" s="1"/>
  <c r="BL210" i="3"/>
  <c r="G211" i="3"/>
  <c r="G216" i="3"/>
  <c r="BA219" i="3"/>
  <c r="AZ219" i="3" s="1"/>
  <c r="AZ224" i="3"/>
  <c r="AZ234" i="3"/>
  <c r="AZ279" i="3"/>
  <c r="J25" i="37"/>
  <c r="BA208" i="3"/>
  <c r="AZ208" i="3" s="1"/>
  <c r="G212" i="3"/>
  <c r="BL212" i="3"/>
  <c r="AZ212" i="3" s="1"/>
  <c r="BL215" i="3"/>
  <c r="AZ215" i="3" s="1"/>
  <c r="BL217" i="3"/>
  <c r="AZ217" i="3" s="1"/>
  <c r="G15" i="3"/>
  <c r="AZ210" i="3"/>
  <c r="A30" i="64"/>
  <c r="A30" i="51"/>
  <c r="BA213" i="3"/>
  <c r="AZ213" i="3" s="1"/>
  <c r="AZ218" i="3"/>
  <c r="AZ246" i="3"/>
  <c r="BL288" i="3"/>
  <c r="AZ288" i="3" s="1"/>
  <c r="AZ293" i="3"/>
  <c r="AZ116" i="3"/>
  <c r="AZ120" i="3"/>
  <c r="AZ155" i="3"/>
  <c r="AZ168" i="3"/>
  <c r="AZ171" i="3"/>
  <c r="AZ190" i="3"/>
  <c r="AZ36" i="3"/>
  <c r="G287" i="3"/>
  <c r="G290" i="3"/>
  <c r="BL290" i="3"/>
  <c r="AZ290" i="3" s="1"/>
  <c r="BL291" i="3"/>
  <c r="G292" i="3"/>
  <c r="AZ294" i="3"/>
  <c r="AZ296" i="3"/>
  <c r="BA115" i="3"/>
  <c r="AZ115" i="3" s="1"/>
  <c r="G118" i="3"/>
  <c r="AZ172" i="3"/>
  <c r="AZ198" i="3"/>
  <c r="AZ113" i="3"/>
  <c r="BL117" i="3"/>
  <c r="BA119" i="3"/>
  <c r="AZ119" i="3" s="1"/>
  <c r="AZ125" i="3"/>
  <c r="AZ133" i="3"/>
  <c r="AZ141" i="3"/>
  <c r="AZ148" i="3"/>
  <c r="AZ160" i="3"/>
  <c r="AZ163" i="3"/>
  <c r="AZ176" i="3"/>
  <c r="AZ186" i="3"/>
  <c r="AZ29" i="3"/>
  <c r="AZ291" i="3"/>
  <c r="BA117" i="3"/>
  <c r="AZ117" i="3" s="1"/>
  <c r="BL24" i="3"/>
  <c r="AZ24" i="3" s="1"/>
  <c r="BA28" i="3"/>
  <c r="AZ28" i="3" s="1"/>
  <c r="G32" i="3"/>
  <c r="BA34" i="3"/>
  <c r="BL36" i="3"/>
  <c r="G38" i="3"/>
  <c r="BA40" i="3"/>
  <c r="AZ40" i="3" s="1"/>
  <c r="BA43" i="3"/>
  <c r="AZ43" i="3" s="1"/>
  <c r="G22" i="3"/>
  <c r="BL22" i="3"/>
  <c r="AZ22" i="3" s="1"/>
  <c r="BL27" i="3"/>
  <c r="AZ27" i="3" s="1"/>
  <c r="BL31" i="3"/>
  <c r="AZ31" i="3" s="1"/>
  <c r="BL37" i="3"/>
  <c r="BL39" i="3"/>
  <c r="AZ39" i="3" s="1"/>
  <c r="BL42" i="3"/>
  <c r="AZ42" i="3" s="1"/>
  <c r="BL45" i="3"/>
  <c r="AZ45" i="3" s="1"/>
  <c r="G47" i="3"/>
  <c r="AZ21" i="3"/>
  <c r="AZ37" i="3"/>
  <c r="AZ67" i="3"/>
  <c r="AZ72" i="3"/>
  <c r="AZ73" i="3"/>
  <c r="AZ87" i="3"/>
  <c r="AZ92" i="3"/>
  <c r="AZ93" i="3"/>
  <c r="AZ104" i="3"/>
  <c r="AZ105" i="3"/>
  <c r="AZ33" i="3"/>
  <c r="BL34" i="3"/>
  <c r="BA38" i="3"/>
  <c r="AZ38" i="3" s="1"/>
  <c r="BA46" i="3"/>
  <c r="AZ46" i="3" s="1"/>
  <c r="AZ64"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8" i="44"/>
  <c r="M29" i="68"/>
  <c r="F45" i="44"/>
  <c r="M8" i="44"/>
  <c r="F10" i="44"/>
  <c r="F9" i="44"/>
  <c r="M26" i="44"/>
  <c r="M23" i="15"/>
  <c r="F43" i="68"/>
  <c r="F7" i="68"/>
  <c r="F11" i="44"/>
  <c r="M24" i="44"/>
  <c r="M24" i="15"/>
  <c r="M25" i="44"/>
  <c r="L48" i="44"/>
  <c r="L49" i="44"/>
  <c r="F39" i="44"/>
  <c r="F8" i="44"/>
  <c r="F38" i="44"/>
  <c r="M30" i="44"/>
  <c r="F42" i="15"/>
  <c r="F43" i="44"/>
  <c r="M11" i="44"/>
  <c r="J17" i="44"/>
  <c r="M22" i="15"/>
  <c r="M28" i="44"/>
  <c r="M10" i="44"/>
  <c r="F40" i="44"/>
  <c r="M31" i="44"/>
  <c r="F28" i="44"/>
  <c r="J15" i="15"/>
  <c r="L48" i="68"/>
  <c r="F15" i="44"/>
  <c r="F9" i="15"/>
  <c r="U27" i="34" l="1"/>
  <c r="AB14" i="34"/>
  <c r="U14" i="34"/>
  <c r="S14" i="34"/>
  <c r="AA14" i="34"/>
  <c r="AC23" i="21"/>
  <c r="AA15" i="21"/>
  <c r="AB28" i="21"/>
  <c r="U28" i="21"/>
  <c r="S10" i="21"/>
  <c r="AC17" i="39"/>
  <c r="S17" i="39"/>
  <c r="E8" i="6"/>
  <c r="AB11" i="46"/>
  <c r="AB13" i="46" s="1"/>
  <c r="F50" i="68"/>
  <c r="M7" i="68"/>
  <c r="C6" i="68"/>
  <c r="C5" i="68" s="1"/>
  <c r="F71" i="68"/>
  <c r="I54" i="68"/>
  <c r="L56" i="68"/>
  <c r="J57" i="68"/>
  <c r="J55" i="68" s="1"/>
  <c r="J58" i="68" s="1"/>
  <c r="Q50" i="68" s="1"/>
  <c r="L58" i="68"/>
  <c r="AZ34" i="3"/>
  <c r="AB9" i="33"/>
  <c r="U9" i="33"/>
  <c r="M6" i="1"/>
  <c r="C15" i="43" s="1"/>
  <c r="AP6" i="1"/>
  <c r="AC12" i="36"/>
  <c r="W12" i="36"/>
  <c r="AA25" i="37"/>
  <c r="S25" i="37"/>
  <c r="Q74" i="68"/>
  <c r="Q61" i="68"/>
  <c r="C5" i="46"/>
  <c r="W25" i="37"/>
  <c r="AC25" i="37"/>
  <c r="AC26" i="37"/>
  <c r="W26" i="37"/>
  <c r="AC36" i="35"/>
  <c r="W36" i="35"/>
  <c r="G6" i="1"/>
  <c r="I55" i="44"/>
  <c r="J54" i="44"/>
  <c r="L60" i="44"/>
  <c r="Q63" i="44" s="1"/>
  <c r="L59" i="44"/>
  <c r="Q75" i="44" s="1"/>
  <c r="J60" i="44"/>
  <c r="J58" i="44"/>
  <c r="J56" i="44" s="1"/>
  <c r="J59" i="44" s="1"/>
  <c r="Q52" i="44" s="1"/>
  <c r="L57" i="44"/>
  <c r="J61" i="44"/>
  <c r="Q50" i="44" s="1"/>
  <c r="E86" i="3"/>
  <c r="AE11" i="46"/>
  <c r="AE13" i="46" s="1"/>
  <c r="F29" i="6"/>
  <c r="F28" i="6"/>
  <c r="F30"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H7" i="34"/>
  <c r="AB7" i="34" s="1"/>
  <c r="T49" i="34" s="1"/>
  <c r="G49" i="34" s="1"/>
  <c r="G53" i="34" s="1"/>
  <c r="H53"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G66" i="36"/>
  <c r="J18" i="36"/>
  <c r="AE7" i="1"/>
  <c r="AE6" i="1"/>
  <c r="F33" i="44"/>
  <c r="M19" i="44"/>
  <c r="F31" i="15"/>
  <c r="F31" i="68"/>
  <c r="J36" i="15"/>
  <c r="F6" i="15"/>
  <c r="F13" i="15"/>
  <c r="M6" i="15"/>
  <c r="F59" i="68"/>
  <c r="F41" i="68"/>
  <c r="F16" i="15"/>
  <c r="L48" i="15"/>
  <c r="M9" i="15"/>
  <c r="C18" i="44"/>
  <c r="F40" i="15"/>
  <c r="M26" i="15"/>
  <c r="F38" i="15"/>
  <c r="F26" i="15"/>
  <c r="F7" i="15"/>
  <c r="L47" i="15"/>
  <c r="F36" i="15"/>
  <c r="F43" i="15"/>
  <c r="M17" i="68"/>
  <c r="M29" i="15"/>
  <c r="F8" i="15"/>
  <c r="M28" i="15"/>
  <c r="F37" i="15"/>
  <c r="F46" i="44"/>
  <c r="M8" i="15"/>
  <c r="C16" i="68"/>
  <c r="J7" i="35" l="1"/>
  <c r="AC7" i="35" s="1"/>
  <c r="V38" i="35" s="1"/>
  <c r="I38" i="35" s="1"/>
  <c r="C10" i="15"/>
  <c r="J53" i="15"/>
  <c r="F1" i="15" s="1"/>
  <c r="C104" i="46"/>
  <c r="E27" i="6"/>
  <c r="K107" i="46"/>
  <c r="F107" i="46"/>
  <c r="J109" i="46"/>
  <c r="F106" i="46"/>
  <c r="K104" i="46"/>
  <c r="C105" i="46"/>
  <c r="J105" i="46"/>
  <c r="F7" i="36"/>
  <c r="F7" i="35"/>
  <c r="J7" i="36"/>
  <c r="W7" i="36" s="1"/>
  <c r="H7" i="35"/>
  <c r="AB7" i="35" s="1"/>
  <c r="T38" i="35" s="1"/>
  <c r="G38" i="35" s="1"/>
  <c r="G42" i="35" s="1"/>
  <c r="H42" i="35" s="1"/>
  <c r="C27" i="15"/>
  <c r="F70" i="15"/>
  <c r="F64" i="15"/>
  <c r="L59" i="15"/>
  <c r="Q75" i="15" s="1"/>
  <c r="L58" i="15"/>
  <c r="Q74" i="15" s="1"/>
  <c r="J57" i="15"/>
  <c r="J55" i="15" s="1"/>
  <c r="J58" i="15" s="1"/>
  <c r="Q51" i="15" s="1"/>
  <c r="I54" i="15"/>
  <c r="L56" i="15"/>
  <c r="M7" i="15"/>
  <c r="J6" i="15" s="1"/>
  <c r="J5" i="15" s="1"/>
  <c r="J18" i="15" s="1"/>
  <c r="F49" i="15"/>
  <c r="C6" i="15"/>
  <c r="C5" i="15" s="1"/>
  <c r="Q72" i="15"/>
  <c r="F50" i="15"/>
  <c r="F67" i="15"/>
  <c r="F65" i="15"/>
  <c r="F63" i="15"/>
  <c r="Q73" i="68"/>
  <c r="Q60" i="68"/>
  <c r="C38" i="68"/>
  <c r="C32" i="68"/>
  <c r="F103" i="46"/>
  <c r="C107" i="46"/>
  <c r="J107" i="46"/>
  <c r="J6" i="68"/>
  <c r="J5" i="68" s="1"/>
  <c r="F7" i="34"/>
  <c r="S7" i="34" s="1"/>
  <c r="K105" i="46"/>
  <c r="J103" i="46"/>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C48" i="33"/>
  <c r="C49" i="33"/>
  <c r="B3" i="33" s="1"/>
  <c r="B2" i="33" s="1"/>
  <c r="M17" i="15"/>
  <c r="F58" i="15"/>
  <c r="M27" i="68"/>
  <c r="AE8" i="1"/>
  <c r="M27" i="15"/>
  <c r="F7" i="67"/>
  <c r="C16" i="15"/>
  <c r="M29" i="44"/>
  <c r="L52" i="44"/>
  <c r="S7" i="37" l="1"/>
  <c r="AA7" i="34"/>
  <c r="R49" i="34" s="1"/>
  <c r="E49" i="34" s="1"/>
  <c r="Q53" i="15"/>
  <c r="AB12" i="39"/>
  <c r="Q61" i="15"/>
  <c r="Q62" i="15"/>
  <c r="K15" i="1"/>
  <c r="K16" i="1" s="1"/>
  <c r="E30" i="6"/>
  <c r="E31" i="6" s="1"/>
  <c r="S2" i="46"/>
  <c r="T2" i="46" s="1"/>
  <c r="V2" i="46" s="1"/>
  <c r="S3" i="46"/>
  <c r="T3" i="46" s="1"/>
  <c r="V3" i="46" s="1"/>
  <c r="S6" i="46"/>
  <c r="T6" i="46" s="1"/>
  <c r="V6" i="46" s="1"/>
  <c r="S7" i="46"/>
  <c r="T7" i="46" s="1"/>
  <c r="V7" i="46" s="1"/>
  <c r="S4" i="46"/>
  <c r="T4" i="46" s="1"/>
  <c r="V4" i="46" s="1"/>
  <c r="S5" i="46"/>
  <c r="T5" i="46" s="1"/>
  <c r="V5" i="46" s="1"/>
  <c r="C48" i="15"/>
  <c r="I53" i="34"/>
  <c r="J53" i="34" s="1"/>
  <c r="C60" i="68"/>
  <c r="C66" i="68"/>
  <c r="J24" i="68"/>
  <c r="J18" i="68"/>
  <c r="J26" i="68"/>
  <c r="J29" i="68"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M20" i="6"/>
  <c r="I20" i="6" s="1"/>
  <c r="S20" i="6" s="1"/>
  <c r="S7" i="1"/>
  <c r="K27" i="6"/>
  <c r="M19" i="6"/>
  <c r="S6" i="1"/>
  <c r="M21" i="6"/>
  <c r="I21" i="6" s="1"/>
  <c r="S21" i="6" s="1"/>
  <c r="S8" i="1"/>
  <c r="M22" i="6"/>
  <c r="I22" i="6" s="1"/>
  <c r="S22" i="6" s="1"/>
  <c r="S9" i="1"/>
  <c r="E3" i="6"/>
  <c r="AY6" i="3"/>
  <c r="R43" i="37"/>
  <c r="C27" i="46"/>
  <c r="R50" i="34"/>
  <c r="C50" i="34" s="1"/>
  <c r="B3" i="34" s="1"/>
  <c r="C39" i="35"/>
  <c r="B3" i="35" s="1"/>
  <c r="B2" i="35" s="1"/>
  <c r="AC7" i="21"/>
  <c r="W7" i="21"/>
  <c r="U7" i="21"/>
  <c r="AB7" i="21"/>
  <c r="S7" i="21"/>
  <c r="AA7" i="21"/>
  <c r="F72" i="39"/>
  <c r="G70" i="39"/>
  <c r="F67" i="40"/>
  <c r="G65" i="40"/>
  <c r="J24" i="15"/>
  <c r="C32" i="15"/>
  <c r="C38" i="15"/>
  <c r="J20" i="44"/>
  <c r="J26" i="44"/>
  <c r="F41" i="15"/>
  <c r="C19" i="44"/>
  <c r="C17" i="15"/>
  <c r="C17" i="68"/>
  <c r="E7" i="67"/>
  <c r="C14" i="68"/>
  <c r="B2" i="34" l="1"/>
  <c r="C10" i="12" s="1"/>
  <c r="C8" i="12"/>
  <c r="F68" i="15"/>
  <c r="C15" i="68"/>
  <c r="C18" i="68"/>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C19" i="68" l="1"/>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26" i="68" l="1"/>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1" i="68"/>
  <c r="F35" i="68"/>
  <c r="M23" i="44"/>
  <c r="F35" i="15"/>
  <c r="C29" i="68" l="1"/>
  <c r="C13" i="68" s="1"/>
  <c r="F63" i="68"/>
  <c r="C62" i="68" s="1"/>
  <c r="C34" i="68"/>
  <c r="J20"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57" i="68" l="1"/>
  <c r="C61" i="68" s="1"/>
  <c r="C59" i="68" s="1"/>
  <c r="C33" i="68"/>
  <c r="C31" i="68" s="1"/>
  <c r="C36" i="68"/>
  <c r="J59" i="68"/>
  <c r="J60" i="68" s="1"/>
  <c r="J19" i="68"/>
  <c r="J17" i="68" s="1"/>
  <c r="J14" i="68"/>
  <c r="J13" i="68" s="1"/>
  <c r="J23" i="68" s="1"/>
  <c r="Q49" i="68"/>
  <c r="C75" i="68"/>
  <c r="C37" i="68"/>
  <c r="C56" i="68"/>
  <c r="C65" i="68" s="1"/>
  <c r="Q70" i="68"/>
  <c r="C28" i="44"/>
  <c r="C31" i="44" s="1"/>
  <c r="C35" i="44" s="1"/>
  <c r="I5" i="6"/>
  <c r="C26" i="15"/>
  <c r="C29" i="15" s="1"/>
  <c r="J59" i="15" s="1"/>
  <c r="J60" i="15" s="1"/>
  <c r="Q49" i="15" s="1"/>
  <c r="C23" i="12"/>
  <c r="C19" i="43"/>
  <c r="C22" i="43" s="1"/>
  <c r="C21" i="43" s="1"/>
  <c r="K67" i="40"/>
  <c r="L65" i="40"/>
  <c r="K72" i="39"/>
  <c r="L70" i="39"/>
  <c r="C11" i="21" l="1"/>
  <c r="I7" i="6"/>
  <c r="C64" i="68"/>
  <c r="J22" i="68"/>
  <c r="J16" i="68" s="1"/>
  <c r="J25" i="68" s="1"/>
  <c r="Q48" i="68"/>
  <c r="C30" i="68"/>
  <c r="C39" i="68" s="1"/>
  <c r="C40"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F11" i="21" l="1"/>
  <c r="H11" i="21"/>
  <c r="J11" i="21"/>
  <c r="C80" i="68"/>
  <c r="C79" i="68" s="1"/>
  <c r="Q69" i="68"/>
  <c r="Q68" i="68" s="1"/>
  <c r="Q67" i="68"/>
  <c r="L57" i="68"/>
  <c r="L60" i="68" s="1"/>
  <c r="L46" i="68" s="1"/>
  <c r="D2" i="68" s="1"/>
  <c r="Q47" i="68"/>
  <c r="Q53" i="68" s="1"/>
  <c r="C43" i="68"/>
  <c r="Q56" i="68"/>
  <c r="Q65" i="68"/>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W11" i="21" l="1"/>
  <c r="AC11" i="21"/>
  <c r="V48" i="21" s="1"/>
  <c r="I48" i="21" s="1"/>
  <c r="S11" i="21"/>
  <c r="AA11" i="21"/>
  <c r="R48" i="21" s="1"/>
  <c r="U11" i="21"/>
  <c r="AB11" i="21"/>
  <c r="T48" i="21" s="1"/>
  <c r="G48" i="21" s="1"/>
  <c r="B2" i="68"/>
  <c r="B3" i="68"/>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3" i="21" l="1"/>
  <c r="H53" i="21" s="1"/>
  <c r="G52" i="21"/>
  <c r="H52" i="21" s="1"/>
  <c r="R49" i="21"/>
  <c r="E48" i="21"/>
  <c r="I52" i="21"/>
  <c r="J52" i="21" s="1"/>
  <c r="I53" i="21"/>
  <c r="J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D10" i="12" s="1"/>
  <c r="D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C35" i="12" l="1"/>
  <c r="C33" i="12" s="1"/>
  <c r="C28" i="12"/>
  <c r="C26" i="12" s="1"/>
  <c r="C31" i="12" s="1"/>
  <c r="C30" i="12" s="1"/>
  <c r="L44" i="9"/>
  <c r="B3" i="40"/>
  <c r="B4" i="40"/>
  <c r="B5" i="40"/>
  <c r="B3" i="39"/>
  <c r="B4" i="39"/>
  <c r="B5" i="39"/>
  <c r="D21" i="9"/>
  <c r="D20" i="9"/>
  <c r="C36" i="12" l="1"/>
  <c r="B2" i="12" s="1"/>
  <c r="B5" i="12" s="1"/>
  <c r="C45" i="9"/>
  <c r="H14" i="66" s="1"/>
  <c r="B7" i="66" s="1"/>
  <c r="C19" i="9"/>
  <c r="B4" i="12" l="1"/>
  <c r="D22" i="9"/>
  <c r="L43" i="9"/>
  <c r="G19" i="9"/>
  <c r="C32" i="9" s="1"/>
  <c r="O38" i="9" s="1"/>
  <c r="K25" i="9" s="1"/>
  <c r="B3" i="12"/>
  <c r="N43" i="9"/>
  <c r="D7" i="66"/>
  <c r="C7" i="66"/>
  <c r="C42" i="9"/>
  <c r="O43" i="9"/>
  <c r="C21" i="9"/>
  <c r="C20" i="9"/>
  <c r="G21" i="9" l="1"/>
  <c r="C34" i="9"/>
  <c r="G20" i="9"/>
  <c r="C35" i="9"/>
  <c r="F42" i="9" s="1"/>
  <c r="C33" i="9"/>
  <c r="N38" i="9" s="1"/>
  <c r="K28" i="9" s="1"/>
  <c r="G22" i="9"/>
  <c r="C44" i="9"/>
  <c r="G14" i="66" s="1"/>
  <c r="B6" i="66" s="1"/>
  <c r="D14" i="66"/>
  <c r="F14" i="66" s="1"/>
  <c r="R5" i="54"/>
  <c r="B48" i="63" s="1"/>
  <c r="M38" i="9"/>
  <c r="K27" i="9" s="1"/>
  <c r="E42" i="9"/>
  <c r="N68" i="9"/>
  <c r="D63" i="9"/>
  <c r="C111" i="9" s="1"/>
  <c r="K26" i="9"/>
  <c r="D45" i="9"/>
  <c r="E45" i="9"/>
  <c r="O40" i="9"/>
  <c r="F45" i="9"/>
  <c r="D42" i="9" l="1"/>
  <c r="Q5" i="54" s="1"/>
  <c r="B47" i="63" s="1"/>
  <c r="C96" i="9"/>
  <c r="C91" i="9" s="1"/>
  <c r="C103" i="9"/>
  <c r="D71" i="9"/>
  <c r="D66" i="9" s="1"/>
  <c r="N72" i="9" s="1"/>
  <c r="C90" i="9"/>
  <c r="D77" i="9"/>
  <c r="N75" i="9" s="1"/>
  <c r="D70" i="9"/>
  <c r="E14" i="66"/>
  <c r="B5" i="66"/>
  <c r="C5" i="66" s="1"/>
  <c r="D6" i="66"/>
  <c r="C6" i="66"/>
  <c r="K31" i="9"/>
  <c r="K32" i="9" s="1"/>
  <c r="R7" i="54"/>
  <c r="B52"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<sst xmlns="http://schemas.openxmlformats.org/spreadsheetml/2006/main" count="7511" uniqueCount="3326">
  <si>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</si>
  <si>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</si>
  <si>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</si>
  <si>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</si>
  <si>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</si>
  <si>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</si>
  <si>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</si>
  <si>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</si>
  <si>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</si>
  <si>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</si>
  <si>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</si>
  <si>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</si>
  <si>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</si>
  <si>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</si>
  <si>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</si>
  <si>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</si>
  <si>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</si>
  <si>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</si>
  <si>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</si>
  <si>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</si>
  <si>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</si>
  <si>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</si>
  <si>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</si>
  <si>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</si>
  <si>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</si>
  <si>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</si>
  <si>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</si>
  <si>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</si>
  <si>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</si>
  <si>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</si>
  <si>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</si>
  <si>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</si>
  <si>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</si>
  <si>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</si>
  <si>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</si>
  <si>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</si>
  <si>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</si>
  <si>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</si>
  <si>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</si>
  <si>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</si>
  <si>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</si>
  <si>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</si>
  <si>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</si>
  <si>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</si>
  <si>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</si>
  <si>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</si>
  <si>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</si>
  <si>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</si>
  <si>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</si>
  <si>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</si>
  <si>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</si>
  <si>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</si>
  <si>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</si>
  <si>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</si>
  <si>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</si>
  <si>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</si>
  <si>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</si>
  <si>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</si>
  <si>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</si>
  <si>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</si>
  <si>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</si>
  <si>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</si>
  <si>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</si>
  <si>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</si>
  <si>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</si>
  <si>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</si>
  <si>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</si>
  <si>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</si>
  <si>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</si>
  <si>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</si>
  <si>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</si>
  <si>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</si>
  <si>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</si>
  <si>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</si>
  <si>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</si>
  <si>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</si>
  <si>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</si>
  <si>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</si>
  <si>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</si>
  <si>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</si>
  <si>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</si>
  <si>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</si>
  <si>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</si>
  <si>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</si>
  <si>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</si>
  <si>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</si>
  <si>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</si>
  <si>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</si>
  <si>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</si>
  <si>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</si>
  <si>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</si>
  <si>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</si>
  <si>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</si>
  <si>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</si>
  <si>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</si>
  <si>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</si>
  <si>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</si>
  <si>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</si>
  <si>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</si>
  <si>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</si>
  <si>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</si>
  <si>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</si>
  <si>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</si>
  <si>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</si>
  <si>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</si>
  <si>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</si>
  <si>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</si>
  <si>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</si>
  <si>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</si>
  <si>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</si>
  <si>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</si>
  <si>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</si>
  <si>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</si>
  <si>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</si>
  <si>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</si>
  <si>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</si>
  <si>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</si>
  <si>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</si>
  <si>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</si>
  <si>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</si>
  <si>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</si>
  <si>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</si>
  <si>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</si>
  <si>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</si>
  <si>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</si>
  <si>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</si>
  <si>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</si>
  <si>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</si>
  <si>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</si>
  <si>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</si>
  <si>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</si>
  <si>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</si>
  <si>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</si>
  <si>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</si>
  <si>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</si>
  <si>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</si>
  <si>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</si>
  <si>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</si>
  <si>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</si>
  <si>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</si>
  <si>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</si>
  <si>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</si>
  <si>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</si>
  <si>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</si>
  <si>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</si>
  <si>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</si>
  <si>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</si>
  <si>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</si>
  <si>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</si>
  <si>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</si>
  <si>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</si>
  <si>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</si>
  <si>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</si>
  <si>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</si>
  <si>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</si>
  <si>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</si>
  <si>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</si>
  <si>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</si>
  <si>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</si>
  <si>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</si>
  <si>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</si>
  <si>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</si>
  <si>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</si>
  <si>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</si>
  <si>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</si>
  <si>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</si>
  <si>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</si>
  <si>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</si>
  <si>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</si>
  <si>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</si>
  <si>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</si>
  <si>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</si>
  <si>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</si>
  <si>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</si>
  <si>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</si>
  <si>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</si>
  <si>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</si>
  <si>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</si>
  <si>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</si>
  <si>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</si>
  <si>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</si>
  <si>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</si>
  <si>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</si>
  <si>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</si>
  <si>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</si>
  <si>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</si>
  <si>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</si>
  <si>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</si>
  <si>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</si>
  <si>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</si>
  <si>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</si>
  <si>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</si>
  <si>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</si>
  <si>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</si>
  <si>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</si>
  <si>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</si>
  <si>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</si>
  <si>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</si>
  <si>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</si>
  <si>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</si>
  <si>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</si>
  <si>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</si>
  <si>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</si>
  <si>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</si>
  <si>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</si>
  <si>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</si>
  <si>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</si>
  <si>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</si>
  <si>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</si>
  <si>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</si>
  <si>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</si>
  <si>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</si>
  <si>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</si>
  <si>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</si>
  <si>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</si>
  <si>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</si>
  <si>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</si>
  <si>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</si>
  <si>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</si>
  <si>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</si>
  <si>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</si>
  <si>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</si>
  <si>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</si>
  <si>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</si>
  <si>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</si>
  <si>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</si>
  <si>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</si>
  <si>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</si>
  <si>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</si>
  <si>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</si>
  <si>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</si>
  <si>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</si>
  <si>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</si>
  <si>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</si>
  <si>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</si>
  <si>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</si>
  <si>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</si>
  <si>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</si>
  <si>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</si>
  <si>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</si>
  <si>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</si>
  <si>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</si>
  <si>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</si>
  <si>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</si>
  <si>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</si>
  <si>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</si>
  <si>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</si>
  <si>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</si>
  <si>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</si>
  <si>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</si>
  <si>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</si>
  <si>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</si>
  <si>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</si>
  <si>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</si>
  <si>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</si>
  <si>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</si>
  <si>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</si>
  <si>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</si>
  <si>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</si>
  <si>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</si>
  <si>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</si>
  <si>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</si>
  <si>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</si>
  <si>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</si>
  <si>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</si>
  <si>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</si>
  <si>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</si>
  <si>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</si>
  <si>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</si>
  <si>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</si>
  <si>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</si>
  <si>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</si>
  <si>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</si>
  <si>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</si>
  <si>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</si>
  <si>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</si>
  <si>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</si>
  <si>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</si>
  <si>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</si>
  <si>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</si>
  <si>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</si>
  <si>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</si>
  <si>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</si>
  <si>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</si>
  <si>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</si>
  <si>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</si>
  <si>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</si>
  <si>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</si>
  <si>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</si>
  <si>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</si>
  <si>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</si>
  <si>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</si>
  <si>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</si>
  <si>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</si>
  <si>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</si>
  <si>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</si>
  <si>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</si>
  <si>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</si>
  <si>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</si>
  <si>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</si>
  <si>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</si>
  <si>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</si>
  <si>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</si>
  <si>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</si>
  <si>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</si>
  <si>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</si>
  <si>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</si>
  <si>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</si>
  <si>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</si>
  <si>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</si>
  <si>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</si>
  <si>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</si>
  <si>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</si>
  <si>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</si>
  <si>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</si>
  <si>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</si>
  <si>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</si>
  <si>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</si>
  <si>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</si>
  <si>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</si>
  <si>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</si>
  <si>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</si>
  <si>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</si>
  <si>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</si>
  <si>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</si>
  <si>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</si>
  <si>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</si>
  <si>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</si>
  <si>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</si>
  <si>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</si>
  <si>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</si>
  <si>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</si>
  <si>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</si>
  <si>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</si>
  <si>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</si>
  <si>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</si>
  <si>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</si>
  <si>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</si>
  <si>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</si>
  <si>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</si>
  <si>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</si>
  <si>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</si>
  <si>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</si>
  <si>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</si>
  <si>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</si>
  <si>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</si>
  <si>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</si>
  <si>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</si>
  <si>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</si>
  <si>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</si>
  <si>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</si>
  <si>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</si>
  <si>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</si>
  <si>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</si>
  <si>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</si>
  <si>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</si>
  <si>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</si>
  <si>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</si>
  <si>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</si>
  <si>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</si>
  <si>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</si>
  <si>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</si>
  <si>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</si>
  <si>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</si>
  <si>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</si>
  <si>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</si>
  <si>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</si>
  <si>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</si>
  <si>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</si>
  <si>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</si>
  <si>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</si>
  <si>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</si>
  <si>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</si>
  <si>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</si>
  <si>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</si>
  <si>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</si>
  <si>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</si>
  <si>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</si>
  <si>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</si>
  <si>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</si>
  <si>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</si>
  <si>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</si>
  <si>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</si>
  <si>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</si>
  <si>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</si>
  <si>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</si>
  <si>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</si>
  <si>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</si>
  <si>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</si>
  <si>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</si>
  <si>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</si>
  <si>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</si>
  <si>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</si>
  <si>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</si>
  <si>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</si>
  <si>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</si>
  <si>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</si>
  <si>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</si>
  <si>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</si>
  <si>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</si>
  <si>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</si>
  <si>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</si>
  <si>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</si>
  <si>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</si>
  <si>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</si>
  <si>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</si>
  <si>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</si>
  <si>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</si>
  <si>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</si>
  <si>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</si>
  <si>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</si>
  <si>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</si>
  <si>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</si>
  <si>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</si>
  <si>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</si>
  <si>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</si>
  <si>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</si>
  <si>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</si>
  <si>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</si>
  <si>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</si>
  <si>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</si>
  <si>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</si>
  <si>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</si>
  <si>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</si>
  <si>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</si>
  <si>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</si>
  <si>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</si>
  <si>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</si>
  <si>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</si>
  <si>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</si>
  <si>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</si>
  <si>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</si>
  <si>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</si>
  <si>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</si>
  <si>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</si>
  <si>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</si>
  <si>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</si>
  <si>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</si>
  <si>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</si>
  <si>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</si>
  <si>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</si>
  <si>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</si>
  <si>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</si>
  <si>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</si>
  <si>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</si>
  <si>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</si>
  <si>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</si>
  <si>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</si>
  <si>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</si>
  <si>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</si>
  <si>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</si>
  <si>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</si>
  <si>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</si>
  <si>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</si>
  <si>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</si>
  <si>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</si>
  <si>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</si>
  <si>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</si>
  <si>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</si>
  <si>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</si>
  <si>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</si>
  <si>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</si>
  <si>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</si>
  <si>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</si>
  <si>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</si>
  <si>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</si>
  <si>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</si>
  <si>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</si>
  <si>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</si>
  <si>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</si>
  <si>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</si>
  <si>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</si>
  <si>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</si>
  <si>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</si>
  <si>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</si>
  <si>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</si>
  <si>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</si>
  <si>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</si>
  <si>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</si>
  <si>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</si>
  <si>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</si>
  <si>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</si>
  <si>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</si>
  <si>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</si>
  <si>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</si>
  <si>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</si>
  <si>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</si>
  <si>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</si>
  <si>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</si>
  <si>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</si>
  <si>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</si>
  <si>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</si>
  <si>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</si>
  <si>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</si>
  <si>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</si>
  <si>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</si>
  <si>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</si>
  <si>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</si>
  <si>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</si>
  <si>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</si>
  <si>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</si>
  <si>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</si>
  <si>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</si>
  <si>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</si>
  <si>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</si>
  <si>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</si>
  <si>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</si>
  <si>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</si>
  <si>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</si>
  <si>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</si>
  <si>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</si>
  <si>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</si>
  <si>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</si>
  <si>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</si>
  <si>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</si>
  <si>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</si>
  <si>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</si>
  <si>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</si>
  <si>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</si>
  <si>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</si>
  <si>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</si>
  <si>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</si>
  <si>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</si>
  <si>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</si>
  <si>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</si>
  <si>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</si>
  <si>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</si>
  <si>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</si>
  <si>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</si>
  <si>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</si>
  <si>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</si>
  <si>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</si>
  <si>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</si>
  <si>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</si>
  <si>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</si>
  <si>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</si>
  <si>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</si>
  <si>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</si>
  <si>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</si>
  <si>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</si>
  <si>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</si>
  <si>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</si>
  <si>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</si>
  <si>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</si>
  <si>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</si>
  <si>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</si>
  <si>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</si>
  <si>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</si>
  <si>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</si>
  <si>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</si>
  <si>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</si>
  <si>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</si>
  <si>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</si>
  <si>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</si>
  <si>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</si>
  <si>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</si>
  <si>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</si>
  <si>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</si>
  <si>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</si>
  <si>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</si>
  <si>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</si>
  <si>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</si>
  <si>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</si>
  <si>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</si>
  <si>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</si>
  <si>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</si>
  <si>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</si>
  <si>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</si>
  <si>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</si>
  <si>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</si>
  <si>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</si>
  <si>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</si>
  <si>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</si>
  <si>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</si>
  <si>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</si>
  <si>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</si>
  <si>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</si>
  <si>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</si>
  <si>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</si>
  <si>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</si>
  <si>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</si>
  <si>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</si>
  <si>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</si>
  <si>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</si>
  <si>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</si>
  <si>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</si>
  <si>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</si>
  <si>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</si>
  <si>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</si>
  <si>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</si>
  <si>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</si>
  <si>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</si>
  <si>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</si>
  <si>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</si>
  <si>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</si>
  <si>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</si>
  <si>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</si>
  <si>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</si>
  <si>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</si>
  <si>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</si>
  <si>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</si>
  <si>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</si>
  <si>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</si>
  <si>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</si>
  <si>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</si>
  <si>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</si>
  <si>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</si>
  <si>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</si>
  <si>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</si>
  <si>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</si>
  <si>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</si>
  <si>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</si>
  <si>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</si>
  <si>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</si>
  <si>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</si>
  <si>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</si>
  <si>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</si>
  <si>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</si>
  <si>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</si>
  <si>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</si>
  <si>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</si>
  <si>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</si>
  <si>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</si>
  <si>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</si>
  <si>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</si>
  <si>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</si>
  <si>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</si>
  <si>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</si>
  <si>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</si>
  <si>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</si>
  <si>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</si>
  <si>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</si>
  <si>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</si>
  <si>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</si>
  <si>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</si>
  <si>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</si>
  <si>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</si>
  <si>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</si>
  <si>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</si>
  <si>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</si>
  <si>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</si>
  <si>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</si>
  <si>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</si>
  <si>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</si>
  <si>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</si>
  <si>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</si>
  <si>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</si>
  <si>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</si>
  <si>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</si>
  <si>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</si>
  <si>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</si>
  <si>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</si>
  <si>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</si>
  <si>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</si>
  <si>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</si>
  <si>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</si>
  <si>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</si>
  <si>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</si>
  <si>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</si>
  <si>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</si>
  <si>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</si>
  <si>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</si>
  <si>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</si>
  <si>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</si>
  <si>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</si>
  <si>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</si>
  <si>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</si>
  <si>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</si>
  <si>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</si>
  <si>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</si>
  <si>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</si>
  <si>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</si>
  <si>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</si>
  <si>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</si>
  <si>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</si>
  <si>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</si>
  <si>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</si>
  <si>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</si>
  <si>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</si>
  <si>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</si>
  <si>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</si>
  <si>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</si>
  <si>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</si>
  <si>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</si>
  <si>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</si>
  <si>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</si>
  <si>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</si>
  <si>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</si>
  <si>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</si>
  <si>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</si>
  <si>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</si>
  <si>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</si>
  <si>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</si>
  <si>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</si>
  <si>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</si>
  <si>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</si>
  <si>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</si>
  <si>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</si>
  <si>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</si>
  <si>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</si>
  <si>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</si>
  <si>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</si>
  <si>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</si>
  <si>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</si>
  <si>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</si>
  <si>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</si>
  <si>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</si>
  <si>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</si>
  <si>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</si>
  <si>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</si>
  <si>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</si>
  <si>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</si>
  <si>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</si>
  <si>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</si>
  <si>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</si>
  <si>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</si>
  <si>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</si>
  <si>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</si>
  <si>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</si>
  <si>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</si>
  <si>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</si>
  <si>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</si>
  <si>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</si>
  <si>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</si>
  <si>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</si>
  <si>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</si>
  <si>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</si>
  <si>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</si>
  <si>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</si>
  <si>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</si>
  <si>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</si>
  <si>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</si>
  <si>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</si>
  <si>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</si>
  <si>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</si>
  <si>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</si>
  <si>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</si>
  <si>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</si>
  <si>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</si>
  <si>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</si>
  <si>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</si>
  <si>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</si>
  <si>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</si>
  <si>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</si>
  <si>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</si>
  <si>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</si>
  <si>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</si>
  <si>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</si>
  <si>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</si>
  <si>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</si>
  <si>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</si>
  <si>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</si>
  <si>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</si>
  <si>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</si>
  <si>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</si>
  <si>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</si>
  <si>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</si>
  <si>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</si>
  <si>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</si>
  <si>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</si>
  <si>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</si>
  <si>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</si>
  <si>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</si>
  <si>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</si>
  <si>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</si>
  <si>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</si>
  <si>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</si>
  <si>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</si>
  <si>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</si>
  <si>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</si>
  <si>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</si>
  <si>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</si>
  <si>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</si>
  <si>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</si>
  <si>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</si>
  <si>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</si>
  <si>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</si>
  <si>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</si>
  <si>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</si>
  <si>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</si>
  <si>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</si>
  <si>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</si>
  <si>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</si>
  <si>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</si>
  <si>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</si>
  <si>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</si>
  <si>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</si>
  <si>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</si>
  <si>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</si>
  <si>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</si>
  <si>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</si>
  <si>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</si>
  <si>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</si>
  <si>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</si>
  <si>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</si>
  <si>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</si>
  <si>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</si>
  <si>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</si>
  <si>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</si>
  <si>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</si>
  <si>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</si>
  <si>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</si>
  <si>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</si>
  <si>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</si>
  <si>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</si>
  <si>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</si>
  <si>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</si>
  <si>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</si>
  <si>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</si>
  <si>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</si>
  <si>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</si>
  <si>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</si>
  <si>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</si>
  <si>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</si>
  <si>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</si>
  <si>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</si>
  <si>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</si>
  <si>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</si>
  <si>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</si>
  <si>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</si>
  <si>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</si>
  <si>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</si>
  <si>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</si>
  <si>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</si>
  <si>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</si>
  <si>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</si>
  <si>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</si>
  <si>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</si>
  <si>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</si>
  <si>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</si>
  <si>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</si>
  <si>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</si>
  <si>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</si>
  <si>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</si>
  <si>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</si>
  <si>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</si>
  <si>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</si>
  <si>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</si>
  <si>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</si>
  <si>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</si>
  <si>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</si>
  <si>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</si>
  <si>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</si>
  <si>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</si>
  <si>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</si>
  <si>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</si>
  <si>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</si>
  <si>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</si>
  <si>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</si>
  <si>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</si>
  <si>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</si>
  <si>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</si>
  <si>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</si>
  <si>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</si>
  <si>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</si>
  <si>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</si>
  <si>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</si>
  <si>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</si>
  <si>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</si>
  <si>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</si>
  <si>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</si>
  <si>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</si>
  <si>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</si>
  <si>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</si>
  <si>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</si>
  <si>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</si>
  <si>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</si>
  <si>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</si>
  <si>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</si>
  <si>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</si>
  <si>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</si>
  <si>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</si>
  <si>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</si>
  <si>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</si>
  <si>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</si>
  <si>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</si>
  <si>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</si>
  <si>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</si>
  <si>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</si>
  <si>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</si>
  <si>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</si>
  <si>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</si>
  <si>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</si>
  <si>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</si>
  <si>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</si>
  <si>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</si>
  <si>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</si>
  <si>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</si>
  <si>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</si>
  <si>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</si>
  <si>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</si>
  <si>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</si>
  <si>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</si>
  <si>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</si>
  <si>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</si>
  <si>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</si>
  <si>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</si>
  <si>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</si>
  <si>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</si>
  <si>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</si>
  <si>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</si>
  <si>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</si>
  <si>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</si>
  <si>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</si>
  <si>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</si>
  <si>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</si>
  <si>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</si>
  <si>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</si>
  <si>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</si>
  <si>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</si>
  <si>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</si>
  <si>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</si>
  <si>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</si>
  <si>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</si>
  <si>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</si>
  <si>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</si>
  <si>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</si>
  <si>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</si>
  <si>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</si>
  <si>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</si>
  <si>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</si>
  <si>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</si>
  <si>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</si>
  <si>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</si>
  <si>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</si>
  <si>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</si>
  <si>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</si>
  <si>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</si>
  <si>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</si>
  <si>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</si>
  <si>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</si>
  <si>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</si>
  <si>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</si>
  <si>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</si>
  <si>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</si>
  <si>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</si>
  <si>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</si>
  <si>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</si>
  <si>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</si>
  <si>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</si>
  <si>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</si>
  <si>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</si>
  <si>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</si>
  <si>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</si>
  <si>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</si>
  <si>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</si>
  <si>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</si>
  <si>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</si>
  <si>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</si>
  <si>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</si>
  <si>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</si>
  <si>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</si>
  <si>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</si>
  <si>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</si>
  <si>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</si>
  <si>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</si>
  <si>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</si>
  <si>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</si>
  <si>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</si>
  <si>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</si>
  <si>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</si>
  <si>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</si>
  <si>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</si>
  <si>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</si>
  <si>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</si>
  <si>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</si>
  <si>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</si>
  <si>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</si>
  <si>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</si>
  <si>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</si>
  <si>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</si>
  <si>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</si>
  <si>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</si>
  <si>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</si>
  <si>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</si>
  <si>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</si>
  <si>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</si>
  <si>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</si>
  <si>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</si>
  <si>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</si>
  <si>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</si>
  <si>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</si>
  <si>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</si>
  <si>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</si>
  <si>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</si>
  <si>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</si>
  <si>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</si>
  <si>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</si>
  <si>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</si>
  <si>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</si>
  <si>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</si>
  <si>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</si>
  <si>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</si>
  <si>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</si>
  <si>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</si>
  <si>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</si>
  <si>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</si>
  <si>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</si>
  <si>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</si>
  <si>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</si>
  <si>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</si>
  <si>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</si>
  <si>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</si>
  <si>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</si>
  <si>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</si>
  <si>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</si>
  <si>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</si>
  <si>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</si>
  <si>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</si>
  <si>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</si>
  <si>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</si>
  <si>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</si>
  <si>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</si>
  <si>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</si>
  <si>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</si>
  <si>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</si>
  <si>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</si>
  <si>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</si>
  <si>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</si>
  <si>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</si>
  <si>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</si>
  <si>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</si>
  <si>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</si>
  <si>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</si>
  <si>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</si>
  <si>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</si>
  <si>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</si>
  <si>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</si>
  <si>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</si>
  <si>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</si>
  <si>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</si>
  <si>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</si>
  <si>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</si>
  <si>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</si>
  <si>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</si>
  <si>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</si>
  <si>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</si>
  <si>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</si>
  <si>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</si>
  <si>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</si>
  <si>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</si>
  <si>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</si>
  <si>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</si>
  <si>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</si>
  <si>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</si>
  <si>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</si>
  <si>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</si>
  <si>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</si>
  <si>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</si>
  <si>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</si>
  <si>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</si>
  <si>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</si>
  <si>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</si>
  <si>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</si>
  <si>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</si>
  <si>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</si>
  <si>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</si>
  <si>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</si>
  <si>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</si>
  <si>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</si>
  <si>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</si>
  <si>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</si>
  <si>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</si>
  <si>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</si>
  <si>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</si>
  <si>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</si>
  <si>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</si>
  <si>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</si>
  <si>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</si>
  <si>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</si>
  <si>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</si>
  <si>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</si>
  <si>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</si>
  <si>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</si>
  <si>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</si>
  <si>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</si>
  <si>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</si>
  <si>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</si>
  <si>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</si>
  <si>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</si>
  <si>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</si>
  <si>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</si>
  <si>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</si>
  <si>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</si>
  <si>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</si>
  <si>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</si>
  <si>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</si>
  <si>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</si>
  <si>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</si>
  <si>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</si>
  <si>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</si>
  <si>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</si>
  <si>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</si>
  <si>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</si>
  <si>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</si>
  <si>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</si>
  <si>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</si>
  <si>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</si>
  <si>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</si>
  <si>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</si>
  <si>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</si>
  <si>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</si>
  <si>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</si>
  <si>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</si>
  <si>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</si>
  <si>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</si>
  <si>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</si>
  <si>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</si>
  <si>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</si>
  <si>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</si>
  <si>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</si>
  <si>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</si>
  <si>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</si>
  <si>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</si>
  <si>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</si>
  <si>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</si>
  <si>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</si>
  <si>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</si>
  <si>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</si>
  <si>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</si>
  <si>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</si>
  <si>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</si>
  <si>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</si>
  <si>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</si>
  <si>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</si>
  <si>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</si>
  <si>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</si>
  <si>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</si>
  <si>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</si>
  <si>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</si>
  <si>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</si>
  <si>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</si>
  <si>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</si>
  <si>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</si>
  <si>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</si>
  <si>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</si>
  <si>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</si>
  <si>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</si>
  <si>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</si>
  <si>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</si>
  <si>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</si>
  <si>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</si>
  <si>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</si>
  <si>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</si>
  <si>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</si>
  <si>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</si>
  <si>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</si>
  <si>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</si>
  <si>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</si>
  <si>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</si>
  <si>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</si>
  <si>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</si>
  <si>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</si>
  <si>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</si>
  <si>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</si>
  <si>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</si>
  <si>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</si>
  <si>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</si>
  <si>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</si>
  <si>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</si>
  <si>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</si>
  <si>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</si>
  <si>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</si>
  <si>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</si>
  <si>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</si>
  <si>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</si>
  <si>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</si>
  <si>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</si>
  <si>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</si>
  <si>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</si>
  <si>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</si>
  <si>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</si>
  <si>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</si>
  <si>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</si>
  <si>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</si>
  <si>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</si>
  <si>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</si>
  <si>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</si>
  <si>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</si>
  <si>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</si>
  <si>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</si>
  <si>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</si>
  <si>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</si>
  <si>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</si>
  <si>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</si>
  <si>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</si>
  <si>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</si>
  <si>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</si>
  <si>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</si>
  <si>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</si>
  <si>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</si>
  <si>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</si>
  <si>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</si>
  <si>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</si>
  <si>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</si>
  <si>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</si>
  <si>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</si>
  <si>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</si>
  <si>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</si>
  <si>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</si>
  <si>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</si>
  <si>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</si>
  <si>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</si>
  <si>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</si>
  <si>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</si>
  <si>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</si>
  <si>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</si>
  <si>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</si>
  <si>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</si>
  <si>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</si>
  <si>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</si>
  <si>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</si>
  <si>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</si>
  <si>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</si>
  <si>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</si>
  <si>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</si>
  <si>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</si>
  <si>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</si>
  <si>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</si>
  <si>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</si>
  <si>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</si>
  <si>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</si>
  <si>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</si>
  <si>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</si>
  <si>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</si>
  <si>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</si>
  <si>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</si>
  <si>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</si>
  <si>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</si>
  <si>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</si>
  <si>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</si>
  <si>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</si>
  <si>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</si>
  <si>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</si>
  <si>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</si>
  <si>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</si>
  <si>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</si>
  <si>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</si>
  <si>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</si>
  <si>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</si>
  <si>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</si>
  <si>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</si>
  <si>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</si>
  <si>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</si>
  <si>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</si>
  <si>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</si>
  <si>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</si>
  <si>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</si>
  <si>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</si>
  <si>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</si>
  <si>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</si>
  <si>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</si>
  <si>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</si>
  <si>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</si>
  <si>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</si>
  <si>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</si>
  <si>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</si>
  <si>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</si>
  <si>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</si>
  <si>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</si>
  <si>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</si>
  <si>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</si>
  <si>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</si>
  <si>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</si>
  <si>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</si>
  <si>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</si>
  <si>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</si>
  <si>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</si>
  <si>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</si>
  <si>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</si>
  <si>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</si>
  <si>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</si>
  <si>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</si>
  <si>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</si>
  <si>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</si>
  <si>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</si>
  <si>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</si>
  <si>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</si>
  <si>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</si>
  <si>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</si>
  <si>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</si>
  <si>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</si>
  <si>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</si>
  <si>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</si>
  <si>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</si>
  <si>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</si>
  <si>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</si>
  <si>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</si>
  <si>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</si>
  <si>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</si>
  <si>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</si>
  <si>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</si>
  <si>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</si>
  <si>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</si>
  <si>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</si>
  <si>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</si>
  <si>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</si>
  <si>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</si>
  <si>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</si>
  <si>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</si>
  <si>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</si>
  <si>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</si>
  <si>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</si>
  <si>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</si>
  <si>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</si>
  <si>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</si>
  <si>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</si>
  <si>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</si>
  <si>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</si>
  <si>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</si>
  <si>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</si>
  <si>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</si>
  <si>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</si>
  <si>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</si>
  <si>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</si>
  <si>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</si>
  <si>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</si>
  <si>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</si>
  <si>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</si>
  <si>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</si>
  <si>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</si>
  <si>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</si>
  <si>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</si>
  <si>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</si>
  <si>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</si>
  <si>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</si>
  <si>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</si>
  <si>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</si>
  <si>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</si>
  <si>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</si>
  <si>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</si>
  <si>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</si>
  <si>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</si>
  <si>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</si>
  <si>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</si>
  <si>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</si>
  <si>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</si>
  <si>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</si>
  <si>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</si>
  <si>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</si>
  <si>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</si>
  <si>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</si>
  <si>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</si>
  <si>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</si>
  <si>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</si>
  <si>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</si>
  <si>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</si>
  <si>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</si>
  <si>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</si>
  <si>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</si>
  <si>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</si>
  <si>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</si>
  <si>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</si>
  <si>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</si>
  <si>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</si>
  <si>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</si>
  <si>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</si>
  <si>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</si>
  <si>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</si>
  <si>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</si>
  <si>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</si>
  <si>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</si>
  <si>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</si>
  <si>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</si>
  <si>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</si>
  <si>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</si>
  <si>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</si>
  <si>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</si>
  <si>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</si>
  <si>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</si>
  <si>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</si>
  <si>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</si>
  <si>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</si>
  <si>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</si>
  <si>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</si>
  <si>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</si>
  <si>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</si>
  <si>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</si>
  <si>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</si>
  <si>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</si>
  <si>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</si>
  <si>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</si>
  <si>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</si>
  <si>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</si>
  <si>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</si>
  <si>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</si>
  <si>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</si>
  <si>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</si>
  <si>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</si>
  <si>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</si>
  <si>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</si>
  <si>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</si>
  <si>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</si>
  <si>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</si>
  <si>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</si>
  <si>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</si>
  <si>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</si>
  <si>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</si>
  <si>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</si>
  <si>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</si>
  <si>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</si>
  <si>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</si>
  <si>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</si>
  <si>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</si>
  <si>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</si>
  <si>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</si>
  <si>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</si>
  <si>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</si>
  <si>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</si>
  <si>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</si>
  <si>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</si>
  <si>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</si>
  <si>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</si>
  <si>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</si>
  <si>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</si>
  <si>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</si>
  <si>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</si>
  <si>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</si>
  <si>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</si>
  <si>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</si>
  <si>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</si>
  <si>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</si>
  <si>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</si>
  <si>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</si>
  <si>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</si>
  <si>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</si>
  <si>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</si>
  <si>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</si>
  <si>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</si>
  <si>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</si>
  <si>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</si>
  <si>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</si>
  <si>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</si>
  <si>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</si>
  <si>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</si>
  <si>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</si>
  <si>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</si>
  <si>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</si>
  <si>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</si>
  <si>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</si>
  <si>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</si>
  <si>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</si>
  <si>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</si>
  <si>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</si>
  <si>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</si>
  <si>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</si>
  <si>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</si>
  <si>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</si>
  <si>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</si>
  <si>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</si>
  <si>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</si>
  <si>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</si>
  <si>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</si>
  <si>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</si>
  <si>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</si>
  <si>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</si>
  <si>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</si>
  <si>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</si>
  <si>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</si>
  <si>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</si>
  <si>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</si>
  <si>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</si>
  <si>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</si>
  <si>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</si>
  <si>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</si>
  <si>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</si>
  <si>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</si>
  <si>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</si>
  <si>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</si>
  <si>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</si>
  <si>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</si>
  <si>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</si>
  <si>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</si>
  <si>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</si>
  <si>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</si>
  <si>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</si>
  <si>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</si>
  <si>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</si>
  <si>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</si>
  <si>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</si>
  <si>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</si>
  <si>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</si>
  <si>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</si>
  <si>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</si>
  <si>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</si>
  <si>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</si>
  <si>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</si>
  <si>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</si>
  <si>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</si>
  <si>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</si>
  <si>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</si>
  <si>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</si>
  <si>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</si>
  <si>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</si>
  <si>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</si>
  <si>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</si>
  <si>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</si>
  <si>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</si>
  <si>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</si>
  <si>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</si>
  <si>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</si>
  <si>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</si>
  <si>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</si>
  <si>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</si>
  <si>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</si>
  <si>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</si>
  <si>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</si>
  <si>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</si>
  <si>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</si>
  <si>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</si>
  <si>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</si>
  <si>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</si>
  <si>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</si>
  <si>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</si>
  <si>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</si>
  <si>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</si>
  <si>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</si>
  <si>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</si>
  <si>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</si>
  <si>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</si>
  <si>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</si>
  <si>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</si>
  <si>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</si>
  <si>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</si>
  <si>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</si>
  <si>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</si>
  <si>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</si>
  <si>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</si>
  <si>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</si>
  <si>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</si>
  <si>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</si>
  <si>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</si>
  <si>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</si>
  <si>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</si>
  <si>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</si>
  <si>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</si>
  <si>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</si>
  <si>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</si>
  <si>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</si>
  <si>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</si>
  <si>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</si>
  <si>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</si>
  <si>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</si>
  <si>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</si>
  <si>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</si>
  <si>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</si>
  <si>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</si>
  <si>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</si>
  <si>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</si>
  <si>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</si>
  <si>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</si>
  <si>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</si>
  <si>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</si>
  <si>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</si>
  <si>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</si>
  <si>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</si>
  <si>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</si>
  <si>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</si>
  <si>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</si>
  <si>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</si>
  <si>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</si>
  <si>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</si>
  <si>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</si>
  <si>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</si>
  <si>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</si>
  <si>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</si>
  <si>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</si>
  <si>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</si>
  <si>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</si>
  <si>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</si>
  <si>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</si>
  <si>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</si>
  <si>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</si>
  <si>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</si>
  <si>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</si>
  <si>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</si>
  <si>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</si>
  <si>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</si>
  <si>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</si>
  <si>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</si>
  <si>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</si>
  <si>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</si>
  <si>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</si>
  <si>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</si>
  <si>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</si>
  <si>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</si>
  <si>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</si>
  <si>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</si>
  <si>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</si>
  <si>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</si>
  <si>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</si>
  <si>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</si>
  <si>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</si>
  <si>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</si>
  <si>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</si>
  <si>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</si>
  <si>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</si>
  <si>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</si>
  <si>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</si>
  <si>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</si>
  <si>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</si>
  <si>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</si>
  <si>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</si>
  <si>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</si>
  <si>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</si>
  <si>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</si>
  <si>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</si>
  <si>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</si>
  <si>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</si>
  <si>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</si>
  <si>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</si>
  <si>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</si>
  <si>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</si>
  <si>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</si>
  <si>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</si>
  <si>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</si>
  <si>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</si>
  <si>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</si>
  <si>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</si>
  <si>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</si>
  <si>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</si>
  <si>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</si>
  <si>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</si>
  <si>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</si>
  <si>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</si>
  <si>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</si>
  <si>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</si>
  <si>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</si>
  <si>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</si>
  <si>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</si>
  <si>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</si>
  <si>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</si>
  <si>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</si>
  <si>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</si>
  <si>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</si>
  <si>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</si>
  <si>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</si>
  <si>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</si>
  <si>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</si>
  <si>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</si>
  <si>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</si>
  <si>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</si>
  <si>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</si>
  <si>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</si>
  <si>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</si>
  <si>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</si>
  <si>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</si>
  <si>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</si>
  <si>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</si>
  <si>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</si>
  <si>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</si>
  <si>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</si>
  <si>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</si>
  <si>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</si>
  <si>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</si>
  <si>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</si>
  <si>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</si>
  <si>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</si>
  <si>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</si>
  <si>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</si>
  <si>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</si>
  <si>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</si>
  <si>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</si>
  <si>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</si>
  <si>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</si>
  <si>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</si>
  <si>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</si>
  <si>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</si>
  <si>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</si>
  <si>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</si>
  <si>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</si>
  <si>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</si>
  <si>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</si>
  <si>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</si>
  <si>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</si>
  <si>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</si>
  <si>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</si>
  <si>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</si>
  <si>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</si>
  <si>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</si>
  <si>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</si>
  <si>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</si>
  <si>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</si>
  <si>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</si>
  <si>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</si>
  <si>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</si>
  <si>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</si>
  <si>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</si>
  <si>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</si>
  <si>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</si>
  <si>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</si>
  <si>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</si>
  <si>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</si>
  <si>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</si>
  <si>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</si>
  <si>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</si>
  <si>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</si>
  <si>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</si>
  <si>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</si>
  <si>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</si>
  <si>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</si>
  <si>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</si>
  <si>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</si>
  <si>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</si>
  <si>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</si>
  <si>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</si>
  <si>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</si>
  <si>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</si>
  <si>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</si>
  <si>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</si>
  <si>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</si>
  <si>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</si>
  <si>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</si>
  <si>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</si>
  <si>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</si>
  <si>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</si>
  <si>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</si>
  <si>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</si>
  <si>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</si>
  <si>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</si>
  <si>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</si>
  <si>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</si>
  <si>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</si>
  <si>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</si>
  <si>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</si>
  <si>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</si>
  <si>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</si>
  <si>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</si>
  <si>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</si>
  <si>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</si>
  <si>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</si>
  <si>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</si>
  <si>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</si>
  <si>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</si>
  <si>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</si>
  <si>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</si>
  <si>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</si>
  <si>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</si>
  <si>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</si>
  <si>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</si>
  <si>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</si>
  <si>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</si>
  <si>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</si>
  <si>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</si>
  <si>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</si>
  <si>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</si>
  <si>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</si>
  <si>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</si>
  <si>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</si>
  <si>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</si>
  <si>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</si>
  <si>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</si>
  <si>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</si>
  <si>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</si>
  <si>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</si>
  <si>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</si>
  <si>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</si>
  <si>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</si>
  <si>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</si>
  <si>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</si>
  <si>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</si>
  <si>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</si>
  <si>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</si>
  <si>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</si>
  <si>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</si>
  <si>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</si>
  <si>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</si>
  <si>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</si>
  <si>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</si>
  <si>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</si>
  <si>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</si>
  <si>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</si>
  <si>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</si>
  <si>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</si>
  <si>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</si>
  <si>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</si>
  <si>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</si>
  <si>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</si>
  <si>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</si>
  <si>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</si>
  <si>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</si>
  <si>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</si>
  <si>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</si>
  <si>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</si>
  <si>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</si>
  <si>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</si>
  <si>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</si>
  <si>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</si>
  <si>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</si>
  <si>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</si>
  <si>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</si>
  <si>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</si>
  <si>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</si>
  <si>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</si>
  <si>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</si>
  <si>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</si>
  <si>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</si>
  <si>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</si>
  <si>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</si>
  <si>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</si>
  <si>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</si>
  <si>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</si>
  <si>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</si>
  <si>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</si>
  <si>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</si>
  <si>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</si>
  <si>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</si>
  <si>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</si>
  <si>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</si>
  <si>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</si>
  <si>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</si>
  <si>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</si>
  <si>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</si>
  <si>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</si>
  <si>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</si>
  <si>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</si>
  <si>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</si>
  <si>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</si>
  <si>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</si>
  <si>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</si>
  <si>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</si>
  <si>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</si>
  <si>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</si>
  <si>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</si>
  <si>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</si>
  <si>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</si>
  <si>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</si>
  <si>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</si>
  <si>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</si>
  <si>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</si>
  <si>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</si>
  <si>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</si>
  <si>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</si>
  <si>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</si>
  <si>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</si>
  <si>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</si>
  <si>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</si>
  <si>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</si>
  <si>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</si>
  <si>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</si>
  <si>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</si>
  <si>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</si>
  <si>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</si>
  <si>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</si>
  <si>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</si>
  <si>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</si>
  <si>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</si>
  <si>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</si>
  <si>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</si>
  <si>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</si>
  <si>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</si>
  <si>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</si>
  <si>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</si>
  <si>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</si>
  <si>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</si>
  <si>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</si>
  <si>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</si>
  <si>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</si>
  <si>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</si>
  <si>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</si>
  <si>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</si>
  <si>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</si>
  <si>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</si>
  <si>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</si>
  <si>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</si>
  <si>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</si>
  <si>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</si>
  <si>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</si>
  <si>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</si>
  <si>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</si>
  <si>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</si>
  <si>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</si>
  <si>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</si>
  <si>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</si>
  <si>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</si>
  <si>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</si>
  <si>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</si>
  <si>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</si>
  <si>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</si>
  <si>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</si>
  <si>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</si>
  <si>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</si>
  <si>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</si>
  <si>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</si>
  <si>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</si>
  <si>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</si>
  <si>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</si>
  <si>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</si>
  <si>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</si>
  <si>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</si>
  <si>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</si>
  <si>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</si>
  <si>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</si>
  <si>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</si>
  <si>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</si>
  <si>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</si>
  <si>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</si>
  <si>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</si>
  <si>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</si>
  <si>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</si>
  <si>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</si>
  <si>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</si>
  <si>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</si>
  <si>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</si>
  <si>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</si>
  <si>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</si>
  <si>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</si>
  <si>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</si>
  <si>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</si>
  <si>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</si>
  <si>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</si>
  <si>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</si>
  <si>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</si>
  <si>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</si>
  <si>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</si>
  <si>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</si>
  <si>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</si>
  <si>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</si>
  <si>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</si>
  <si>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</si>
  <si>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</si>
  <si>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</si>
  <si>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</si>
  <si>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</si>
  <si>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</si>
  <si>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</si>
  <si>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</si>
  <si>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</si>
  <si>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</si>
  <si>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</si>
  <si>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</si>
  <si>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</si>
  <si>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</si>
  <si>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</si>
  <si>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</si>
  <si>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</si>
  <si>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</si>
  <si>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</si>
  <si>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</si>
  <si>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</si>
  <si>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</si>
  <si>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</si>
  <si>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</si>
  <si>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</si>
  <si>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</si>
  <si>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</si>
  <si>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</si>
  <si>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</si>
  <si>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</si>
  <si>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</si>
  <si>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</si>
  <si>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</si>
  <si>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</si>
  <si>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</si>
  <si>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</si>
  <si>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</si>
  <si>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</si>
  <si>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</si>
  <si>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</si>
  <si>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</si>
  <si>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</si>
  <si>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</si>
  <si>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</si>
  <si>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</si>
  <si>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</si>
  <si>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</si>
  <si>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</si>
  <si>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</si>
  <si>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</si>
  <si>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</si>
  <si>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</si>
  <si>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</si>
  <si>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</si>
  <si>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</si>
  <si>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</si>
  <si>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</si>
  <si>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</si>
  <si>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</si>
  <si>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</si>
  <si>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</si>
  <si>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</si>
  <si>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</si>
  <si>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</si>
  <si>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</si>
  <si>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</si>
  <si>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</si>
  <si>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</si>
  <si>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</si>
  <si>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</si>
  <si>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</si>
  <si>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</si>
  <si>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</si>
  <si>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</si>
  <si>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</si>
  <si>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</si>
  <si>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</si>
  <si>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</si>
  <si>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</si>
  <si>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</si>
  <si>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</si>
  <si>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</si>
  <si>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</si>
  <si>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</si>
  <si>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</si>
  <si>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</si>
  <si>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</si>
  <si>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</si>
  <si>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</si>
  <si>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</si>
  <si>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</si>
  <si>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</si>
  <si>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</si>
  <si>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</si>
  <si>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</si>
  <si>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</si>
  <si>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</si>
  <si>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</si>
  <si>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</si>
  <si>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</si>
  <si>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</si>
  <si>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</si>
  <si>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</si>
  <si>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</si>
  <si>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</si>
  <si>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</si>
  <si>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</si>
  <si>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</si>
  <si>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</si>
  <si>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</si>
  <si>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</si>
  <si>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</si>
  <si>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</si>
  <si>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</si>
  <si>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</si>
  <si>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</si>
  <si>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</si>
  <si>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</si>
  <si>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</si>
  <si>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</si>
  <si>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</si>
  <si>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</si>
  <si>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</si>
  <si>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</si>
  <si>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</si>
  <si>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</si>
  <si>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</si>
  <si>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</si>
  <si>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</si>
  <si>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</si>
  <si>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</si>
  <si>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</si>
  <si>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</si>
  <si>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</si>
  <si>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</si>
  <si>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</si>
  <si>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</si>
  <si>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</si>
  <si>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</si>
  <si>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</si>
  <si>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</si>
  <si>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</si>
  <si>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</si>
  <si>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</si>
  <si>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</si>
  <si>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</si>
  <si>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</si>
  <si>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</si>
  <si>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</si>
  <si>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</si>
  <si>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</si>
  <si>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</si>
  <si>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</si>
  <si>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</si>
  <si>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</si>
  <si>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</si>
  <si>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</si>
  <si>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</si>
  <si>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</si>
  <si>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</si>
  <si>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</si>
  <si>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</si>
  <si>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</si>
  <si>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</si>
  <si>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</si>
  <si>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</si>
  <si>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</si>
  <si>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</si>
  <si>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</si>
  <si>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</si>
  <si>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</si>
  <si>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</si>
  <si>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</si>
  <si>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</si>
  <si>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</si>
  <si>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</si>
  <si>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</si>
  <si>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</si>
  <si>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</si>
  <si>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</si>
  <si>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</si>
  <si>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</si>
  <si>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</si>
  <si>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</si>
  <si>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</si>
  <si>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</si>
  <si>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</si>
  <si>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</si>
  <si>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</si>
  <si>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</si>
  <si>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</si>
  <si>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</si>
  <si>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</si>
  <si>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</si>
  <si>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</si>
  <si>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</si>
  <si>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</si>
  <si>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</si>
  <si>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</si>
  <si>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</si>
  <si>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</si>
  <si>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</si>
  <si>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</si>
  <si>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</si>
  <si>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</si>
  <si>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</si>
  <si>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</si>
  <si>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</si>
  <si>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</si>
  <si>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</si>
  <si>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</si>
  <si>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</si>
  <si>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</si>
  <si>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</si>
  <si>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</si>
  <si>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</si>
  <si>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</si>
  <si>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</si>
  <si>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</si>
  <si>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</si>
  <si>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</si>
  <si>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</si>
  <si>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</si>
  <si>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</si>
  <si>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</si>
  <si>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</si>
  <si>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</si>
  <si>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</si>
  <si>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</si>
  <si>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</si>
  <si>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</si>
  <si>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</si>
  <si>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</si>
  <si>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</si>
  <si>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</si>
  <si>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</si>
  <si>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</si>
  <si>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</si>
  <si>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</si>
  <si>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</si>
  <si>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</si>
  <si>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</si>
  <si>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</si>
  <si>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</si>
  <si>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</si>
  <si>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</si>
  <si>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</si>
  <si>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</si>
  <si>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</si>
  <si>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</si>
  <si>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</si>
  <si>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</si>
  <si>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</si>
  <si>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</si>
  <si>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</si>
  <si>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</si>
  <si>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</si>
  <si>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</si>
  <si>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</si>
  <si>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</si>
  <si>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</si>
  <si>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</si>
  <si>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</si>
  <si>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</si>
  <si>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</si>
  <si>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</si>
  <si>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</si>
  <si>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</si>
  <si>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</si>
  <si>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</si>
  <si>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</si>
  <si>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</si>
  <si>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</si>
  <si>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</si>
  <si>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</si>
  <si>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</si>
  <si>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</si>
  <si>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</si>
  <si>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</si>
  <si>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</si>
  <si>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</si>
  <si>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</si>
  <si>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</si>
  <si>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</si>
  <si>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</si>
  <si>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</si>
  <si>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</si>
  <si>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</si>
  <si>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</si>
  <si>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</si>
  <si>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</si>
  <si>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</si>
  <si>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</si>
  <si>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</si>
  <si>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</si>
  <si>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</si>
  <si>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</si>
  <si>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</si>
  <si>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</si>
  <si>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</si>
  <si>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</si>
  <si>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</si>
  <si>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</si>
  <si>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</si>
  <si>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</si>
  <si>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</si>
  <si>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</si>
  <si>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</si>
  <si>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</si>
  <si>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</si>
  <si>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</si>
  <si>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</si>
  <si>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</si>
  <si>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</si>
  <si>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</si>
  <si>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</si>
  <si>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</si>
  <si>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</si>
  <si>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</si>
  <si>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</si>
  <si>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</si>
  <si>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</si>
  <si>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</si>
  <si>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</si>
  <si>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</si>
  <si>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</si>
  <si>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</si>
  <si>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</si>
  <si>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</si>
  <si>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</si>
  <si>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</si>
  <si>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</si>
  <si>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</si>
  <si>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</si>
  <si>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</si>
  <si>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</si>
  <si>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</si>
  <si>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</si>
  <si>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</si>
  <si>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</si>
  <si>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</si>
  <si>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</si>
  <si>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</si>
  <si>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</si>
  <si>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</si>
  <si>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</si>
  <si>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</si>
  <si>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</si>
  <si>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</si>
  <si>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</si>
  <si>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</si>
  <si>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</si>
  <si>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</si>
  <si>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</si>
  <si>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</si>
  <si>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</si>
  <si>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</si>
  <si>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</si>
  <si>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</si>
  <si>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</si>
  <si>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</si>
  <si>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</si>
  <si>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</si>
  <si>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</si>
  <si>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</si>
  <si>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</si>
  <si>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</si>
  <si>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</si>
  <si>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</si>
  <si>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</si>
  <si>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</si>
  <si>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</si>
  <si>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</si>
  <si>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</si>
  <si>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</si>
  <si>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</si>
  <si>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</si>
  <si>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</si>
  <si>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</si>
  <si>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</si>
  <si>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</si>
  <si>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</si>
  <si>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</si>
  <si>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</si>
  <si>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</si>
  <si>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</si>
  <si>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</si>
  <si>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</si>
  <si>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</si>
  <si>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</si>
  <si>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</si>
  <si>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</si>
  <si>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</si>
  <si>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</si>
  <si>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</si>
  <si>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</si>
  <si>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</si>
  <si>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</si>
  <si>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</si>
  <si>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</si>
  <si>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</si>
  <si>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</si>
  <si>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</si>
  <si>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</si>
  <si>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</si>
  <si>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</si>
  <si>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</si>
  <si>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</si>
  <si>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</si>
  <si>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</si>
  <si>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</si>
  <si>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</si>
  <si>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</si>
  <si>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</si>
  <si>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</si>
  <si>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</si>
  <si>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</si>
  <si>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</si>
  <si>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</si>
  <si>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</si>
  <si>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</si>
  <si>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</si>
  <si>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</si>
  <si>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</si>
  <si>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</si>
  <si>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</si>
  <si>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</si>
  <si>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</si>
  <si>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</si>
  <si>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</si>
  <si>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</si>
  <si>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</si>
  <si>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</si>
  <si>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</si>
  <si>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</si>
  <si>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</si>
  <si>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</si>
  <si>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</si>
  <si>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</si>
  <si>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</si>
  <si>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</si>
  <si>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</si>
  <si>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</si>
  <si>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</si>
  <si>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</si>
  <si>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</si>
  <si>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</si>
  <si>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</si>
  <si>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</si>
  <si>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</si>
  <si>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</si>
  <si>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</si>
  <si>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</si>
  <si>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</si>
  <si>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</si>
  <si>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</si>
  <si>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</si>
  <si>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</si>
  <si>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</si>
  <si>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</si>
  <si>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</si>
  <si>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</si>
  <si>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</si>
  <si>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</si>
  <si>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</si>
  <si>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</si>
  <si>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</si>
  <si>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</si>
  <si>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</si>
  <si>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</si>
  <si>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</si>
  <si>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</si>
  <si>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</si>
  <si>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</si>
  <si>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</si>
  <si>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</si>
  <si>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</si>
  <si>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</si>
  <si>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</si>
  <si>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</si>
  <si>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</si>
  <si>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</si>
  <si>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</si>
  <si>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</si>
  <si>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</si>
  <si>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</si>
  <si>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</si>
  <si>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</si>
  <si>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</si>
  <si>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</si>
  <si>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</si>
  <si>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</si>
  <si>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</si>
  <si>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</si>
  <si>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</si>
  <si>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</si>
  <si>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</si>
  <si>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</si>
  <si>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</si>
  <si>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</si>
  <si>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</si>
  <si>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</si>
  <si>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</si>
  <si>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</si>
  <si>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</si>
  <si>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</si>
  <si>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</si>
  <si>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</si>
  <si>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</si>
  <si>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</si>
  <si>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</si>
  <si>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</si>
  <si>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</si>
  <si>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</si>
  <si>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</si>
  <si>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</si>
  <si>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</si>
  <si>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</si>
  <si>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</si>
  <si>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</si>
  <si>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</si>
  <si>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</si>
  <si>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</si>
  <si>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</si>
  <si>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</si>
  <si>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</si>
  <si>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</si>
  <si>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</si>
  <si>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</si>
  <si>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</si>
  <si>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</si>
  <si>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</si>
  <si>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</si>
  <si>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</si>
  <si>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</si>
  <si>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</si>
  <si>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</si>
  <si>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</si>
  <si>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</si>
  <si>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</si>
  <si>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</si>
  <si>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</si>
  <si>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</si>
  <si>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</si>
  <si>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</si>
  <si>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</si>
  <si>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</si>
  <si>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</si>
  <si>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</si>
  <si>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</si>
  <si>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</si>
  <si>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</si>
  <si>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</si>
  <si>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</si>
  <si>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</si>
  <si>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</si>
  <si>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</si>
  <si>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</si>
  <si>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</si>
  <si>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</si>
  <si>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</si>
  <si>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</si>
  <si>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</si>
  <si>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</si>
  <si>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</si>
  <si>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</si>
  <si>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</si>
  <si>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</si>
  <si>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</si>
  <si>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</si>
  <si>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</si>
  <si>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</si>
  <si>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</si>
  <si>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</si>
  <si>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</si>
  <si>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</si>
  <si>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</si>
  <si>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</si>
  <si>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</si>
  <si>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</si>
  <si>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</si>
  <si>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</si>
  <si>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</si>
  <si>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</si>
  <si>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</si>
  <si>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</si>
  <si>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</si>
  <si>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</si>
  <si>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</si>
  <si>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</si>
  <si>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</si>
  <si>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</si>
  <si>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</si>
  <si>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</si>
  <si>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</si>
  <si>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</si>
  <si>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</si>
  <si>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</si>
  <si>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</si>
  <si>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</si>
  <si>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</si>
  <si>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</si>
  <si>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</si>
  <si>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</si>
  <si>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</si>
  <si>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</si>
  <si>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</si>
  <si>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</si>
  <si>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</si>
  <si>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</si>
  <si>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</si>
  <si>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</si>
  <si>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</si>
  <si>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</si>
  <si>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</si>
  <si>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</si>
  <si>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</si>
  <si>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</si>
  <si>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</si>
  <si>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</si>
  <si>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</si>
  <si>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</si>
  <si>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</si>
  <si>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</si>
  <si>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</si>
  <si>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</si>
  <si>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</si>
  <si>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</si>
  <si>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</si>
  <si>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</si>
  <si>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</si>
  <si>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</si>
  <si>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</si>
  <si>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</si>
  <si>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</si>
  <si>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</si>
  <si>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</si>
  <si>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</si>
  <si>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</si>
  <si>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</si>
  <si>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</si>
  <si>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</si>
  <si>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</si>
  <si>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</si>
  <si>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</si>
  <si>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</si>
  <si>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</si>
  <si>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</si>
  <si>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</si>
  <si>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</si>
  <si>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</si>
  <si>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</si>
  <si>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</si>
  <si>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</si>
  <si>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</si>
  <si>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</si>
  <si>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</si>
  <si>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</si>
  <si>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</si>
  <si>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</si>
  <si>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</si>
  <si>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</si>
  <si>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</si>
  <si>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</si>
  <si>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</si>
  <si>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</si>
  <si>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</si>
  <si>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</si>
  <si>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</si>
  <si>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</si>
  <si>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</si>
  <si>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</si>
  <si>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</si>
  <si>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</si>
  <si>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</si>
  <si>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</si>
  <si>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</si>
  <si>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</si>
  <si>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</si>
  <si>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</si>
  <si>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</si>
  <si>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</si>
  <si>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</si>
  <si>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</si>
  <si>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</si>
  <si>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</si>
  <si>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</si>
  <si>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</si>
  <si>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</si>
  <si>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</si>
  <si>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</si>
  <si>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</si>
  <si>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</si>
  <si>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</si>
  <si>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</si>
  <si>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</si>
  <si>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</si>
  <si>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</si>
  <si>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</si>
  <si>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</si>
  <si>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</si>
  <si>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</si>
  <si>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</si>
  <si>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</si>
  <si>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</si>
  <si>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</si>
  <si>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</si>
  <si>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</si>
  <si>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</si>
  <si>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</si>
  <si>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</si>
  <si>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</si>
  <si>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</si>
  <si>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</si>
  <si>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</si>
  <si>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</si>
  <si>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</si>
  <si>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</si>
  <si>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</si>
  <si>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</si>
  <si>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</si>
  <si>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</si>
  <si>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</si>
  <si>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</si>
  <si>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</si>
  <si>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</si>
  <si>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</si>
  <si>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</si>
  <si>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</si>
  <si>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</si>
  <si>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</si>
  <si>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</si>
  <si>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</si>
  <si>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</si>
  <si>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</si>
  <si>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</si>
  <si>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</si>
  <si>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</si>
  <si>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</si>
  <si>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</si>
  <si>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</si>
  <si>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</si>
  <si>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</si>
  <si>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</si>
  <si>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</si>
  <si>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</si>
  <si>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</si>
  <si>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</si>
  <si>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</si>
  <si>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</si>
  <si>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</si>
  <si>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</si>
  <si>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</si>
  <si>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</si>
  <si>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</si>
  <si>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</si>
  <si>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</si>
  <si>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</si>
  <si>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</si>
  <si>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</si>
  <si>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</si>
  <si>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</si>
  <si>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</si>
  <si>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</si>
  <si>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</si>
  <si>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</si>
  <si>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</si>
  <si>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</si>
  <si>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</si>
  <si>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</si>
  <si>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</si>
  <si>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</si>
  <si>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</si>
  <si>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</si>
  <si>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</si>
  <si>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</si>
  <si>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</si>
  <si>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</si>
  <si>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</si>
  <si>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</si>
  <si>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</si>
  <si>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</si>
  <si>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</si>
  <si>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</si>
  <si>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</si>
  <si>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</si>
  <si>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</si>
  <si>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</si>
  <si>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</si>
  <si>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</si>
  <si>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</si>
  <si>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</si>
  <si>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</si>
  <si>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</si>
  <si>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</si>
  <si>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</si>
  <si>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</si>
  <si>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</si>
  <si>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</si>
  <si>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</si>
  <si>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</si>
  <si>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</si>
  <si>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</si>
  <si>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</si>
  <si>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</si>
  <si>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</si>
  <si>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</si>
  <si>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</si>
  <si>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</si>
  <si>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</si>
  <si>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</si>
  <si>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</si>
  <si>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</si>
  <si>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</si>
  <si>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</si>
  <si>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</si>
  <si>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</si>
  <si>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</si>
  <si>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</si>
  <si>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</si>
  <si>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</si>
  <si>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</si>
  <si>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</si>
  <si>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</si>
  <si>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</si>
  <si>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</si>
  <si>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</si>
  <si>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</si>
  <si>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</si>
  <si>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</si>
  <si>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</si>
  <si>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</si>
  <si>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</si>
  <si>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</si>
  <si>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</si>
  <si>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</si>
  <si>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</si>
  <si>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</si>
  <si>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</si>
  <si>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</si>
  <si>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</si>
  <si>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</si>
  <si>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</si>
  <si>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</si>
  <si>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</si>
  <si>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</si>
  <si>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</si>
  <si>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</si>
  <si>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</si>
  <si>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</si>
  <si>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</si>
  <si>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</si>
  <si>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</si>
  <si>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</si>
  <si>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</si>
  <si>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</si>
  <si>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</si>
  <si>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</si>
  <si>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</si>
  <si>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</si>
  <si>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</si>
  <si>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</si>
  <si>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</si>
  <si>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</si>
  <si>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</si>
  <si>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</si>
  <si>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</si>
  <si>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</si>
  <si>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</si>
  <si>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</si>
  <si>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</si>
  <si>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</si>
  <si>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</si>
  <si>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</si>
  <si>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</si>
  <si>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</si>
  <si>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</si>
  <si>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</si>
  <si>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</si>
  <si>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</si>
  <si>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</si>
  <si>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</si>
  <si>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</si>
  <si>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</si>
  <si>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</si>
  <si>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</si>
  <si>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</si>
  <si>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</si>
  <si>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</si>
  <si>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</si>
  <si>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</si>
  <si>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</si>
  <si>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</si>
  <si>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</si>
  <si>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</si>
  <si>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</si>
  <si>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</si>
  <si>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</si>
  <si>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</si>
  <si>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</si>
  <si>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</si>
  <si>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</si>
  <si>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</si>
  <si>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</si>
  <si>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</si>
  <si>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</si>
  <si>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</si>
  <si>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</si>
  <si>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</si>
  <si>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</si>
  <si>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</si>
  <si>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</si>
  <si>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</si>
  <si>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</si>
  <si>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</si>
  <si>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</si>
  <si>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</si>
  <si>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</si>
  <si>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</si>
  <si>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</si>
  <si>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</si>
  <si>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</si>
  <si>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</si>
  <si>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</si>
  <si>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</si>
  <si>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</si>
  <si>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</si>
  <si>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</si>
  <si>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</si>
  <si>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</si>
  <si>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</si>
  <si>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</si>
  <si>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</si>
  <si>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</si>
  <si>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</si>
  <si>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</si>
  <si>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</si>
  <si>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</si>
  <si>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</si>
  <si>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</si>
  <si>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</si>
  <si>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</si>
  <si>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</si>
  <si>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</si>
  <si>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</si>
  <si>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</si>
  <si>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</si>
  <si>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</si>
  <si>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</si>
  <si>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</si>
  <si>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</si>
  <si>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</si>
  <si>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</si>
  <si>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</si>
  <si>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</si>
  <si>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</si>
  <si>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</si>
  <si>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</si>
  <si>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</si>
  <si>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</si>
  <si>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</si>
  <si>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</si>
  <si>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</si>
  <si>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</si>
  <si>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</si>
  <si>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</si>
  <si>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</si>
  <si>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</si>
  <si>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</si>
  <si>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</si>
  <si>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</si>
  <si>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</si>
  <si>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</si>
  <si>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</si>
  <si>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</si>
  <si>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</si>
  <si>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</si>
  <si>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</si>
  <si>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</si>
  <si>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</si>
  <si>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</si>
  <si>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</si>
  <si>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</si>
  <si>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</si>
  <si>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</si>
  <si>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</si>
  <si>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</si>
  <si>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</si>
  <si>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</si>
  <si>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</si>
  <si>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</si>
  <si>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</si>
  <si>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</si>
  <si>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</si>
  <si>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</si>
  <si>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</si>
  <si>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</si>
  <si>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</si>
  <si>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</si>
  <si>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</si>
  <si>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</si>
  <si>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</si>
  <si>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</si>
  <si>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</si>
  <si>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</si>
  <si>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</si>
  <si>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</si>
  <si>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</si>
  <si>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</si>
  <si>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</si>
  <si>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</si>
  <si>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</si>
  <si>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</si>
  <si>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</si>
  <si>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</si>
  <si>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</si>
  <si>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</si>
  <si>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</si>
  <si>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</si>
  <si>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</si>
  <si>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</si>
  <si>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</si>
  <si>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</si>
  <si>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</si>
  <si>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</si>
  <si>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</si>
  <si>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</si>
  <si>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</si>
  <si>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</si>
  <si>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</si>
  <si>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</si>
  <si>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</si>
  <si>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</si>
  <si>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</si>
  <si>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</si>
  <si>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</si>
  <si>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</si>
  <si>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</si>
  <si>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</si>
  <si>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</si>
  <si>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</si>
  <si>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</si>
  <si>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</si>
  <si>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</si>
  <si>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</si>
  <si>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</si>
  <si>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</si>
  <si>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</si>
  <si>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</si>
  <si>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</si>
  <si>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</si>
  <si>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</si>
  <si>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</si>
  <si>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</si>
  <si>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</si>
  <si>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</si>
  <si>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</si>
  <si>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</si>
  <si>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</si>
  <si>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</si>
  <si>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</si>
  <si>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</si>
  <si>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</si>
  <si>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</si>
  <si>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</si>
  <si>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</si>
  <si>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</si>
  <si>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</si>
  <si>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</si>
  <si>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</si>
  <si>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</si>
  <si>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</si>
  <si>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</si>
  <si>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</si>
  <si>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</si>
  <si>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</si>
  <si>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</si>
  <si>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</si>
  <si>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</si>
  <si>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</si>
  <si>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</si>
  <si>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</si>
  <si>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</si>
  <si>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</si>
  <si>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</si>
  <si>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</si>
  <si>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</si>
  <si>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</si>
  <si>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</si>
  <si>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</si>
  <si>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</si>
  <si>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</si>
  <si>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</si>
  <si>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</si>
  <si>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</si>
  <si>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</si>
  <si>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</si>
  <si>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</si>
  <si>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</si>
  <si>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</si>
  <si>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</si>
  <si>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</si>
  <si>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</si>
  <si>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</si>
  <si>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</si>
  <si>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</si>
  <si>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</si>
  <si>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</si>
  <si>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</si>
  <si>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</si>
  <si>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</si>
  <si>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</si>
  <si>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</si>
  <si>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</si>
  <si>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</si>
  <si>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</si>
  <si>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</si>
  <si>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</si>
  <si>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</si>
  <si>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</si>
  <si>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</si>
  <si>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</si>
  <si>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</si>
  <si>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</si>
  <si>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</si>
  <si>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</si>
  <si>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</si>
  <si>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</si>
  <si>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</si>
  <si>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</si>
  <si>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</si>
  <si>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</si>
  <si>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</si>
  <si>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</si>
  <si>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</si>
  <si>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</si>
  <si>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</si>
  <si>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</si>
  <si>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</si>
  <si>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</si>
  <si>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</si>
  <si>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</si>
  <si>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</si>
  <si>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</si>
  <si>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</si>
  <si>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</si>
  <si>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</si>
  <si>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</si>
  <si>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</si>
  <si>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</si>
  <si>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</si>
  <si>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</si>
  <si>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</si>
  <si>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</si>
  <si>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</si>
  <si>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</si>
  <si>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</si>
  <si>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</si>
  <si>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</si>
  <si>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</si>
  <si>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</si>
  <si>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</si>
  <si>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</si>
  <si>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</si>
  <si>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</si>
  <si>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</si>
  <si>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</si>
  <si>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</si>
  <si>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</si>
  <si>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</si>
  <si>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</si>
  <si>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</si>
  <si>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</si>
  <si>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</si>
  <si>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</si>
  <si>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</si>
  <si>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</si>
  <si>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</si>
  <si>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</si>
  <si>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</si>
  <si>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</si>
  <si>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</si>
  <si>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</si>
  <si>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</si>
  <si>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</si>
  <si>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</si>
  <si>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</si>
  <si>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</si>
  <si>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</si>
  <si>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</si>
  <si>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</si>
  <si>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</si>
  <si>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</si>
  <si>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</si>
  <si>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</si>
  <si>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</si>
  <si>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</si>
  <si>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</si>
  <si>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</si>
  <si>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</si>
  <si>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</si>
  <si>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</si>
  <si>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</si>
  <si>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</si>
  <si>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</si>
  <si>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</si>
  <si>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</si>
  <si>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</si>
  <si>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</si>
  <si>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</si>
  <si>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</si>
  <si>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</si>
  <si>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</si>
  <si>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</si>
  <si>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</si>
  <si>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</si>
  <si>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</si>
  <si>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</si>
  <si>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</si>
  <si>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</si>
  <si>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</si>
  <si>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</si>
  <si>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</si>
  <si>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</si>
  <si>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</si>
  <si>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</si>
  <si>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</si>
  <si>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</si>
  <si>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</si>
  <si>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</si>
  <si>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</si>
  <si>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</si>
  <si>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</si>
  <si>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</si>
  <si>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</si>
  <si>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</si>
  <si>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</si>
  <si>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</si>
  <si>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</si>
  <si>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</si>
  <si>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</si>
  <si>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</si>
  <si>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</si>
  <si>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</si>
  <si>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</si>
  <si>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</si>
  <si>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</si>
  <si>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</si>
  <si>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</si>
  <si>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</si>
  <si>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</si>
  <si>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</si>
  <si>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</si>
  <si>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</si>
  <si>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</si>
  <si>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</si>
  <si>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</si>
  <si>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</si>
  <si>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</si>
  <si>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</si>
  <si>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</si>
  <si>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</si>
  <si>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</si>
  <si>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</si>
  <si>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</si>
  <si>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</si>
  <si>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</si>
  <si>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</si>
  <si>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</si>
  <si>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</si>
  <si>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</si>
  <si>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</si>
  <si>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</si>
  <si>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</si>
  <si>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</si>
  <si>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</si>
  <si>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</si>
  <si>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</si>
  <si>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</si>
  <si>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</si>
  <si>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</si>
  <si>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</si>
  <si>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挂牌信息</t>
    <phoneticPr fontId="233" type="noConversion"/>
  </si>
  <si>
    <t>P2017(109)</t>
    <phoneticPr fontId="233" type="noConversion"/>
  </si>
  <si>
    <t>合计</t>
    <phoneticPr fontId="233" type="noConversion"/>
  </si>
  <si>
    <t>用地面积</t>
    <phoneticPr fontId="233" type="noConversion"/>
  </si>
  <si>
    <t>住宅</t>
    <phoneticPr fontId="233" type="noConversion"/>
  </si>
  <si>
    <t>办公</t>
    <phoneticPr fontId="233" type="noConversion"/>
  </si>
  <si>
    <t>商业</t>
    <phoneticPr fontId="233" type="noConversion"/>
  </si>
  <si>
    <t>幼儿园</t>
    <phoneticPr fontId="233" type="noConversion"/>
  </si>
  <si>
    <t>产权调换房</t>
    <phoneticPr fontId="233" type="noConversion"/>
  </si>
  <si>
    <t>公租房</t>
    <phoneticPr fontId="233" type="noConversion"/>
  </si>
  <si>
    <t>公园绿地面积</t>
    <phoneticPr fontId="233" type="noConversion"/>
  </si>
  <si>
    <t>防护绿地</t>
    <phoneticPr fontId="233" type="noConversion"/>
  </si>
  <si>
    <t>湖北长江联合置地有限公司</t>
    <phoneticPr fontId="3" type="noConversion"/>
  </si>
  <si>
    <t>中诚信托有限责任公司</t>
    <phoneticPr fontId="3" type="noConversion"/>
  </si>
  <si>
    <t>2018-1-0036</t>
    <phoneticPr fontId="6" type="noConversion"/>
  </si>
  <si>
    <t>抵押</t>
  </si>
  <si>
    <t>抵押价格</t>
  </si>
  <si>
    <t>其他：</t>
  </si>
  <si>
    <t>湖北省武汉市</t>
    <phoneticPr fontId="3" type="noConversion"/>
  </si>
  <si>
    <t>江岸区澳门路与解放大道交汇处</t>
  </si>
  <si>
    <t>企业</t>
  </si>
  <si>
    <t>湖北长江联合置地有限公司</t>
  </si>
  <si>
    <t>商业、住宅</t>
  </si>
  <si>
    <t>出让</t>
  </si>
  <si>
    <t>一致</t>
  </si>
  <si>
    <t>否</t>
  </si>
  <si>
    <t>地上</t>
  </si>
  <si>
    <t>平层住宅</t>
  </si>
  <si>
    <t>办公楼</t>
  </si>
  <si>
    <t>独立商业</t>
  </si>
  <si>
    <t>武汉一级</t>
  </si>
  <si>
    <t>武汉一级</t>
    <phoneticPr fontId="3" type="noConversion"/>
  </si>
  <si>
    <t>楼层</t>
  </si>
  <si>
    <t>系数</t>
  </si>
  <si>
    <t>平均</t>
  </si>
  <si>
    <t>不动产收益法</t>
  </si>
  <si>
    <t>土地（套用方法）</t>
  </si>
  <si>
    <t>钢混</t>
  </si>
  <si>
    <t>钢</t>
  </si>
  <si>
    <t>项目全部</t>
  </si>
  <si>
    <t>土地</t>
  </si>
  <si>
    <t>剩余法-待开发</t>
  </si>
  <si>
    <t>比较法-住宅、综合</t>
  </si>
  <si>
    <t>P2016(055)</t>
  </si>
  <si>
    <t>P2016(151)</t>
  </si>
  <si>
    <t>P2016（064）</t>
  </si>
  <si>
    <t>江汉区复兴村路以南</t>
  </si>
  <si>
    <t>江汉区青年路与雪松路交汇处</t>
  </si>
  <si>
    <t>滨江大道与拦江路</t>
  </si>
  <si>
    <t>正常</t>
  </si>
  <si>
    <t>住宅、商业</t>
  </si>
  <si>
    <t>70、40</t>
  </si>
  <si>
    <t>70</t>
  </si>
  <si>
    <t>较好</t>
  </si>
  <si>
    <t>一般</t>
  </si>
  <si>
    <t>六通</t>
  </si>
  <si>
    <t>双面临街</t>
  </si>
  <si>
    <t>是否临江</t>
    <phoneticPr fontId="3" type="noConversion"/>
  </si>
  <si>
    <t>是</t>
    <phoneticPr fontId="3" type="noConversion"/>
  </si>
  <si>
    <t>否</t>
    <phoneticPr fontId="3" type="noConversion"/>
  </si>
  <si>
    <t>较适宜</t>
  </si>
  <si>
    <t>较适宜</t>
    <phoneticPr fontId="26" type="noConversion"/>
  </si>
  <si>
    <t>六通</t>
    <phoneticPr fontId="26" type="noConversion"/>
  </si>
  <si>
    <t>较好</t>
    <phoneticPr fontId="26" type="noConversion"/>
  </si>
  <si>
    <t>否</t>
    <phoneticPr fontId="26" type="noConversion"/>
  </si>
  <si>
    <t>是</t>
    <phoneticPr fontId="26" type="noConversion"/>
  </si>
  <si>
    <t>快速路</t>
    <phoneticPr fontId="26" type="noConversion"/>
  </si>
  <si>
    <t>主干道</t>
  </si>
  <si>
    <t>主干道</t>
    <phoneticPr fontId="26" type="noConversion"/>
  </si>
  <si>
    <t>次干道</t>
  </si>
  <si>
    <t>次干道</t>
    <phoneticPr fontId="26" type="noConversion"/>
  </si>
  <si>
    <t>住宅、商业</t>
    <phoneticPr fontId="3" type="noConversion"/>
  </si>
  <si>
    <t>住宅</t>
    <phoneticPr fontId="3" type="noConversion"/>
  </si>
  <si>
    <t>单面临街</t>
  </si>
  <si>
    <t>较规则</t>
  </si>
  <si>
    <t>较规则</t>
    <phoneticPr fontId="26" type="noConversion"/>
  </si>
  <si>
    <t>其他省市系数</t>
  </si>
  <si>
    <t>楼面地价</t>
  </si>
  <si>
    <t>售价</t>
  </si>
  <si>
    <t>阳光城·央座</t>
  </si>
  <si>
    <t>万科金域时代</t>
  </si>
  <si>
    <t>越秀国际金融汇</t>
  </si>
  <si>
    <t>江汉区建设大道与香港路交汇处</t>
  </si>
  <si>
    <t>江汉区香港路与台北路交汇处</t>
  </si>
  <si>
    <t>江汉区精武路1号</t>
  </si>
  <si>
    <t>住宅</t>
    <phoneticPr fontId="3" type="noConversion"/>
  </si>
  <si>
    <t>住宅</t>
    <phoneticPr fontId="3" type="noConversion"/>
  </si>
  <si>
    <t>住宅</t>
    <phoneticPr fontId="3" type="noConversion"/>
  </si>
  <si>
    <t>60-70（含）</t>
  </si>
  <si>
    <t>50-60（含）</t>
  </si>
  <si>
    <t>主干道</t>
    <phoneticPr fontId="21" type="noConversion"/>
  </si>
  <si>
    <t>高板</t>
  </si>
  <si>
    <t>高板</t>
    <phoneticPr fontId="21" type="noConversion"/>
  </si>
  <si>
    <t>塔楼</t>
  </si>
  <si>
    <t>塔楼</t>
    <phoneticPr fontId="21" type="noConversion"/>
  </si>
  <si>
    <t>钢混</t>
    <phoneticPr fontId="3" type="noConversion"/>
  </si>
  <si>
    <t>高档</t>
    <phoneticPr fontId="3" type="noConversion"/>
  </si>
  <si>
    <t>精装</t>
    <phoneticPr fontId="3" type="noConversion"/>
  </si>
  <si>
    <t>专业</t>
    <phoneticPr fontId="3" type="noConversion"/>
  </si>
  <si>
    <t>六通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</si>
  <si>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</si>
  <si>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</si>
  <si>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</si>
  <si>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</si>
  <si>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</si>
  <si>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高档</t>
  </si>
  <si>
    <t>精装</t>
  </si>
  <si>
    <t>专业</t>
  </si>
  <si>
    <t>平层</t>
  </si>
  <si>
    <t>普装</t>
  </si>
  <si>
    <t>估价对象名称</t>
  </si>
  <si>
    <t>ICC武汉环贸中心</t>
  </si>
  <si>
    <t>万达尊</t>
  </si>
  <si>
    <t>新世界中心</t>
  </si>
  <si>
    <t>江汉区长江大道与建设大道交汇处</t>
  </si>
  <si>
    <t>武昌区中北路171号</t>
  </si>
  <si>
    <t>江汉区解放大道634号</t>
  </si>
  <si>
    <r>
      <rPr>
        <sz val="11"/>
        <color indexed="8"/>
        <rFont val="仿宋_GB2312"/>
        <family val="3"/>
        <charset val="134"/>
      </rPr>
      <t>正常</t>
    </r>
    <phoneticPr fontId="3" type="noConversion"/>
  </si>
  <si>
    <t>办公</t>
    <phoneticPr fontId="3" type="noConversion"/>
  </si>
  <si>
    <t>30-40（含）</t>
  </si>
  <si>
    <t>高层</t>
  </si>
  <si>
    <t>甲级</t>
  </si>
  <si>
    <t>标准</t>
  </si>
  <si>
    <t>毛坯</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</si>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</sst>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0" fillId="6" borderId="2" xfId="0" applyFill="1" applyBorder="1">
      <alignment vertical="center"/>
    </xf>
    <xf numFmtId="0" fontId="0" fillId="9" borderId="2" xfId="0" applyFill="1" applyBorder="1">
      <alignment vertical="center"/>
    </xf>
    <xf numFmtId="0" fontId="144" fillId="0" borderId="5"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6" fillId="6" borderId="0" xfId="0" applyFont="1" applyFill="1" applyAlignment="1" applyProtection="1">
      <alignment vertical="center"/>
      <protection locked="0"/>
    </xf>
    <xf numFmtId="184" fontId="285" fillId="17" borderId="2" xfId="0" applyNumberFormat="1" applyFont="1" applyFill="1" applyBorder="1" applyAlignment="1" applyProtection="1">
      <alignment horizontal="center" vertical="center" shrinkToFit="1"/>
      <protection locked="0"/>
    </xf>
    <xf numFmtId="182" fontId="85" fillId="17" borderId="25"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3" fontId="149" fillId="8" borderId="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8595;&#38376;&#36335;&#65289;&#22303;&#22320;2017122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面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不动产比较法-住宅"/>
      <sheetName val="不动产比较法-办公"/>
      <sheetName val="比较法-工业"/>
      <sheetName val="基准地价"/>
      <sheetName val="修正"/>
      <sheetName val="区片价"/>
      <sheetName val="容积率修正"/>
      <sheetName val="因素修正幅度"/>
      <sheetName val="基准地价（汇总）"/>
      <sheetName val="地价"/>
      <sheetName val="收益还原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C11">
            <v>9.4</v>
          </cell>
        </row>
        <row r="33">
          <cell r="C33">
            <v>180000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2984</v>
      </c>
      <c r="B1" s="3182"/>
      <c r="C1" s="3183"/>
      <c r="D1" s="3184"/>
      <c r="E1" s="3185" t="s">
        <v>2985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2986</v>
      </c>
      <c r="B2" s="3194" t="e">
        <f ca="1">ROUND(D2/10000,0)</f>
        <v>#DIV/0!</v>
      </c>
      <c r="C2" s="3195" t="s">
        <v>2987</v>
      </c>
      <c r="D2" s="3196" t="e">
        <f ca="1">C40+J29+L46</f>
        <v>#DIV/0!</v>
      </c>
      <c r="E2" s="3197" t="s">
        <v>2988</v>
      </c>
      <c r="F2" s="3198"/>
      <c r="G2" s="3199"/>
      <c r="H2" s="3200"/>
      <c r="I2" s="3200"/>
      <c r="J2" s="3200"/>
      <c r="K2" s="3201"/>
      <c r="L2" s="3200"/>
      <c r="M2" s="3200"/>
    </row>
    <row r="3" spans="1:37" ht="18" customHeight="1" thickBot="1">
      <c r="A3" s="3204" t="s">
        <v>2989</v>
      </c>
      <c r="B3" s="3205">
        <f ca="1">IF(ISERROR(D2/F43),0,ROUND(D2/F43,0))</f>
        <v>0</v>
      </c>
      <c r="C3" s="3195" t="s">
        <v>2990</v>
      </c>
      <c r="D3" s="3195"/>
      <c r="E3" s="3197"/>
      <c r="F3" s="3198"/>
      <c r="G3" s="3199"/>
      <c r="H3" s="3206" t="s">
        <v>2991</v>
      </c>
      <c r="I3" s="3200"/>
      <c r="J3" s="3200"/>
      <c r="K3" s="3201"/>
      <c r="L3" s="3200"/>
      <c r="M3" s="3200"/>
    </row>
    <row r="4" spans="1:37" ht="18" customHeight="1">
      <c r="A4" s="3207" t="s">
        <v>2992</v>
      </c>
      <c r="B4" s="3208" t="s">
        <v>2993</v>
      </c>
      <c r="C4" s="3208" t="s">
        <v>2994</v>
      </c>
      <c r="D4" s="3208" t="s">
        <v>2995</v>
      </c>
      <c r="E4" s="3209" t="s">
        <v>2996</v>
      </c>
      <c r="F4" s="3210"/>
      <c r="G4" s="3211"/>
      <c r="H4" s="3207" t="s">
        <v>2997</v>
      </c>
      <c r="I4" s="3208" t="s">
        <v>2998</v>
      </c>
      <c r="J4" s="3208" t="s">
        <v>2999</v>
      </c>
      <c r="K4" s="3208" t="s">
        <v>3000</v>
      </c>
      <c r="L4" s="3209" t="s">
        <v>2996</v>
      </c>
      <c r="M4" s="3210"/>
    </row>
    <row r="5" spans="1:37" ht="18" customHeight="1">
      <c r="A5" s="3212">
        <v>1</v>
      </c>
      <c r="B5" s="3213" t="s">
        <v>3001</v>
      </c>
      <c r="C5" s="3214">
        <f ca="1">C6+C10+C12</f>
        <v>0</v>
      </c>
      <c r="D5" s="3215" t="s">
        <v>3002</v>
      </c>
      <c r="E5" s="3216"/>
      <c r="F5" s="3217"/>
      <c r="G5" s="3211"/>
      <c r="H5" s="3212">
        <v>1</v>
      </c>
      <c r="I5" s="3213" t="s">
        <v>3001</v>
      </c>
      <c r="J5" s="3214">
        <f ca="1">J6+J10+J12</f>
        <v>0</v>
      </c>
      <c r="K5" s="3215" t="s">
        <v>3002</v>
      </c>
      <c r="L5" s="3216"/>
      <c r="M5" s="3217"/>
    </row>
    <row r="6" spans="1:37" ht="18" customHeight="1">
      <c r="A6" s="3218" t="s">
        <v>3003</v>
      </c>
      <c r="B6" s="3494" t="s">
        <v>3004</v>
      </c>
      <c r="C6" s="3219">
        <f ca="1">ROUND(F6*F8*F7*(1-F9),0)</f>
        <v>0</v>
      </c>
      <c r="D6" s="3220" t="s">
        <v>3005</v>
      </c>
      <c r="E6" s="3221" t="s">
        <v>3006</v>
      </c>
      <c r="F6" s="3222">
        <f ca="1">INDIRECT("'数据-取费表'!u"&amp;$G$1)</f>
        <v>0</v>
      </c>
      <c r="G6" s="3211"/>
      <c r="H6" s="3218" t="s">
        <v>3003</v>
      </c>
      <c r="I6" s="3494" t="s">
        <v>3004</v>
      </c>
      <c r="J6" s="3223">
        <f ca="1">ROUND(M6*M8*M7*(1-M9),0)</f>
        <v>0</v>
      </c>
      <c r="K6" s="3224" t="s">
        <v>3007</v>
      </c>
      <c r="L6" s="3221" t="s">
        <v>3006</v>
      </c>
      <c r="M6" s="3222">
        <f ca="1">INDIRECT("'数据-取费表'!z"&amp;$G$1)</f>
        <v>0</v>
      </c>
    </row>
    <row r="7" spans="1:37" ht="18" customHeight="1">
      <c r="A7" s="3225"/>
      <c r="B7" s="3495"/>
      <c r="C7" s="3226"/>
      <c r="D7" s="3227"/>
      <c r="E7" s="3228" t="s">
        <v>3008</v>
      </c>
      <c r="F7" s="3222">
        <f ca="1">IF(INDIRECT("'数据-取费表'!ah"&amp;$G$1)="",INDIRECT("'数据-取费表'!k"&amp;$G$1),INDIRECT("'数据-取费表'!ah"&amp;$G$1))</f>
        <v>70000</v>
      </c>
      <c r="G7" s="3211"/>
      <c r="H7" s="3229"/>
      <c r="I7" s="3495"/>
      <c r="J7" s="3230"/>
      <c r="K7" s="3227"/>
      <c r="L7" s="3221" t="s">
        <v>3008</v>
      </c>
      <c r="M7" s="3222">
        <f ca="1">F7</f>
        <v>70000</v>
      </c>
    </row>
    <row r="8" spans="1:37" ht="18" customHeight="1">
      <c r="A8" s="3229"/>
      <c r="B8" s="3495"/>
      <c r="C8" s="3230"/>
      <c r="D8" s="3227"/>
      <c r="E8" s="3221" t="s">
        <v>3009</v>
      </c>
      <c r="F8" s="3222">
        <f ca="1">INDIRECT("'数据-取费表'!ai"&amp;$G$1)</f>
        <v>0</v>
      </c>
      <c r="G8" s="3211"/>
      <c r="H8" s="3229"/>
      <c r="I8" s="3495"/>
      <c r="J8" s="3230"/>
      <c r="K8" s="3227"/>
      <c r="L8" s="3221" t="s">
        <v>3009</v>
      </c>
      <c r="M8" s="3222">
        <f ca="1">INDIRECT("'数据-取费表'!ai"&amp;$G$1)</f>
        <v>0</v>
      </c>
    </row>
    <row r="9" spans="1:37" ht="18" customHeight="1">
      <c r="A9" s="3229"/>
      <c r="B9" s="3496"/>
      <c r="C9" s="3230"/>
      <c r="D9" s="3227"/>
      <c r="E9" s="3221" t="s">
        <v>3010</v>
      </c>
      <c r="F9" s="3231">
        <f ca="1">INDIRECT("'数据-取费表'!w"&amp;$G$1)</f>
        <v>0</v>
      </c>
      <c r="G9" s="3211"/>
      <c r="H9" s="3229"/>
      <c r="I9" s="3496"/>
      <c r="J9" s="3230"/>
      <c r="K9" s="3227"/>
      <c r="L9" s="3232" t="s">
        <v>3010</v>
      </c>
      <c r="M9" s="3233">
        <f ca="1">INDIRECT("'数据-取费表'!ab"&amp;$G$1)</f>
        <v>0</v>
      </c>
    </row>
    <row r="10" spans="1:37" ht="18" customHeight="1">
      <c r="A10" s="3218" t="s">
        <v>3011</v>
      </c>
      <c r="B10" s="3234" t="s">
        <v>3012</v>
      </c>
      <c r="C10" s="3235">
        <f>ROUND(IF(F10="押一",F6*F8*F7/12*F11,IF(F10="押二",F6*F8*F7/12*2*F11,IF(F10="押三",F6*F8*F7/12*3*F11,C11*F11))),0)</f>
        <v>0</v>
      </c>
      <c r="D10" s="3236" t="s">
        <v>3013</v>
      </c>
      <c r="E10" s="3232" t="s">
        <v>3014</v>
      </c>
      <c r="F10" s="3237"/>
      <c r="G10" s="3211"/>
      <c r="H10" s="3218" t="s">
        <v>3011</v>
      </c>
      <c r="I10" s="3234" t="s">
        <v>3012</v>
      </c>
      <c r="J10" s="3223">
        <f>ROUND(IF(M10="押一",M6*M8*M7/12*M11,IF(M10="押二",M6*M8*M7/12*2*M11,IF(M10="押三",M6*M8*M7/12*3*M11,J11*M11))),0)</f>
        <v>0</v>
      </c>
      <c r="K10" s="3238" t="s">
        <v>3015</v>
      </c>
      <c r="L10" s="3232" t="s">
        <v>3014</v>
      </c>
      <c r="M10" s="3237"/>
    </row>
    <row r="11" spans="1:37" ht="18" customHeight="1">
      <c r="A11" s="3239"/>
      <c r="B11" s="3240" t="s">
        <v>3016</v>
      </c>
      <c r="C11" s="3241"/>
      <c r="D11" s="3227"/>
      <c r="E11" s="3232" t="s">
        <v>3017</v>
      </c>
      <c r="F11" s="3233">
        <f>'[1]数据-取费表'!B39</f>
        <v>0</v>
      </c>
      <c r="G11" s="3211"/>
      <c r="H11" s="3242"/>
      <c r="I11" s="3240" t="s">
        <v>3018</v>
      </c>
      <c r="J11" s="3241"/>
      <c r="K11" s="3243"/>
      <c r="L11" s="3232" t="s">
        <v>3017</v>
      </c>
      <c r="M11" s="3244">
        <f>'[1]数据-取费表'!B39</f>
        <v>0</v>
      </c>
    </row>
    <row r="12" spans="1:37" ht="18" customHeight="1" thickBot="1">
      <c r="A12" s="3245" t="s">
        <v>3019</v>
      </c>
      <c r="B12" s="3246" t="s">
        <v>3020</v>
      </c>
      <c r="C12" s="3247"/>
      <c r="D12" s="3248"/>
      <c r="E12" s="3249"/>
      <c r="F12" s="3250"/>
      <c r="G12" s="3211"/>
      <c r="H12" s="3245" t="s">
        <v>3019</v>
      </c>
      <c r="I12" s="3246" t="s">
        <v>3020</v>
      </c>
      <c r="J12" s="3247"/>
      <c r="K12" s="3251"/>
      <c r="L12" s="3249"/>
      <c r="M12" s="3252"/>
    </row>
    <row r="13" spans="1:37" ht="18" customHeight="1" thickTop="1">
      <c r="A13" s="3253">
        <v>2</v>
      </c>
      <c r="B13" s="3254" t="s">
        <v>3021</v>
      </c>
      <c r="C13" s="3255">
        <f ca="1">ROUND(C29*F13,0)</f>
        <v>323400000</v>
      </c>
      <c r="D13" s="3256" t="s">
        <v>3022</v>
      </c>
      <c r="E13" s="3256" t="s">
        <v>3023</v>
      </c>
      <c r="F13" s="3257">
        <f ca="1">INDIRECT("'数据-取费表'!y"&amp;$G$1)</f>
        <v>1</v>
      </c>
      <c r="G13" s="3211"/>
      <c r="H13" s="3253">
        <v>2</v>
      </c>
      <c r="I13" s="3254" t="s">
        <v>3021</v>
      </c>
      <c r="J13" s="3258">
        <f ca="1">ROUND(J14*J15,0)</f>
        <v>0</v>
      </c>
      <c r="K13" s="3259" t="s">
        <v>3022</v>
      </c>
      <c r="L13" s="3260"/>
      <c r="M13" s="3261"/>
    </row>
    <row r="14" spans="1:37" ht="18" customHeight="1">
      <c r="A14" s="3262" t="s">
        <v>3024</v>
      </c>
      <c r="B14" s="3221" t="s">
        <v>3025</v>
      </c>
      <c r="C14" s="3263">
        <f ca="1">ROUND(INDIRECT("'数据-取费表'!l"&amp;$G$1)*F43+'[1]数据-取费表'!L14*INDIRECT("'数据-取费表'!S"&amp;$G$1),0)</f>
        <v>294000000</v>
      </c>
      <c r="D14" s="3264" t="s">
        <v>3026</v>
      </c>
      <c r="E14" s="3265"/>
      <c r="F14" s="3266"/>
      <c r="G14" s="3211"/>
      <c r="H14" s="3262" t="s">
        <v>3027</v>
      </c>
      <c r="I14" s="3221" t="s">
        <v>3028</v>
      </c>
      <c r="J14" s="3267">
        <f ca="1">C29</f>
        <v>323400000</v>
      </c>
      <c r="K14" s="3268"/>
      <c r="L14" s="3269"/>
      <c r="M14" s="3270"/>
    </row>
    <row r="15" spans="1:37" s="3279" customFormat="1" ht="18" customHeight="1" thickBot="1">
      <c r="A15" s="3262" t="s">
        <v>3029</v>
      </c>
      <c r="B15" s="3221" t="s">
        <v>3030</v>
      </c>
      <c r="C15" s="3267">
        <f ca="1">ROUND(C14*F15,0)</f>
        <v>0</v>
      </c>
      <c r="D15" s="3271" t="s">
        <v>3031</v>
      </c>
      <c r="E15" s="3271" t="s">
        <v>3032</v>
      </c>
      <c r="F15" s="3272">
        <f>'[1]数据-取费表'!B33</f>
        <v>0</v>
      </c>
      <c r="G15" s="3273"/>
      <c r="H15" s="3274" t="s">
        <v>3011</v>
      </c>
      <c r="I15" s="3249" t="s">
        <v>3023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3033</v>
      </c>
      <c r="B16" s="3221" t="s">
        <v>3034</v>
      </c>
      <c r="C16" s="3267">
        <f ca="1">ROUND(INDIRECT("'数据-取费表'!l"&amp;$G$1)*F43*F16,0)</f>
        <v>0</v>
      </c>
      <c r="D16" s="3221" t="s">
        <v>3035</v>
      </c>
      <c r="E16" s="3221" t="s">
        <v>3036</v>
      </c>
      <c r="F16" s="3280">
        <f ca="1">IF(INDIRECT("'数据-取费表'!c"&amp;$G$1)="住宅",'[1]数据-取费表'!B34,0)</f>
        <v>0</v>
      </c>
      <c r="G16" s="3211"/>
      <c r="H16" s="3253" t="s">
        <v>3037</v>
      </c>
      <c r="I16" s="3254" t="s">
        <v>3038</v>
      </c>
      <c r="J16" s="3255">
        <f ca="1">ROUND(J17+J22+J23+J24,0)</f>
        <v>2716560</v>
      </c>
      <c r="K16" s="3259" t="s">
        <v>3039</v>
      </c>
      <c r="L16" s="3281"/>
      <c r="M16" s="3217"/>
    </row>
    <row r="17" spans="1:37" s="3279" customFormat="1" ht="18" customHeight="1">
      <c r="A17" s="3262" t="s">
        <v>3040</v>
      </c>
      <c r="B17" s="3221" t="s">
        <v>3041</v>
      </c>
      <c r="C17" s="3267">
        <f ca="1">ROUND(F17*(F43+INDIRECT("'数据-取费表'!S"&amp;$G$1)),0)</f>
        <v>0</v>
      </c>
      <c r="D17" s="3221" t="s">
        <v>3042</v>
      </c>
      <c r="E17" s="3221" t="s">
        <v>3043</v>
      </c>
      <c r="F17" s="3282">
        <f>'[1]数据-取费表'!B35</f>
        <v>0</v>
      </c>
      <c r="G17" s="3273"/>
      <c r="H17" s="3262" t="s">
        <v>3003</v>
      </c>
      <c r="I17" s="3221" t="s">
        <v>3044</v>
      </c>
      <c r="J17" s="3267">
        <f ca="1">ROUND(IF([1]项目基本情况!B11="自然人",J5*M17,J18+J19+J20),0)</f>
        <v>2716560</v>
      </c>
      <c r="K17" s="3264" t="s">
        <v>3045</v>
      </c>
      <c r="L17" s="3283" t="s">
        <v>3046</v>
      </c>
      <c r="M17" s="3284">
        <f ca="1">IF([1]项目基本情况!B11="企业","",IF(INDIRECT("'数据-取费表'!c"&amp;$G$1)="住宅",5%,IF(M6*M7*M8/12/(1+'[1]数据-取费表'!C42)&gt;20000,12%,7%)))</f>
        <v>7.0000000000000007E-2</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3047</v>
      </c>
      <c r="B18" s="3221" t="s">
        <v>3048</v>
      </c>
      <c r="C18" s="3267">
        <f ca="1">ROUND(C14*F18,0)</f>
        <v>0</v>
      </c>
      <c r="D18" s="3221" t="s">
        <v>3031</v>
      </c>
      <c r="E18" s="3221" t="s">
        <v>3032</v>
      </c>
      <c r="F18" s="3280">
        <f>'[1]数据-取费表'!B36</f>
        <v>0</v>
      </c>
      <c r="G18" s="3273"/>
      <c r="H18" s="3262" t="s">
        <v>3024</v>
      </c>
      <c r="I18" s="3221" t="s">
        <v>3049</v>
      </c>
      <c r="J18" s="3267">
        <f ca="1">ROUND(J5*M18/(1+'[1]数据-取费表'!C42),0)</f>
        <v>0</v>
      </c>
      <c r="K18" s="3283" t="s">
        <v>3050</v>
      </c>
      <c r="L18" s="3221" t="s">
        <v>3036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3027</v>
      </c>
      <c r="B19" s="3221" t="s">
        <v>3051</v>
      </c>
      <c r="C19" s="3267">
        <f ca="1">SUM(C14:C18)</f>
        <v>294000000</v>
      </c>
      <c r="D19" s="3285" t="s">
        <v>3052</v>
      </c>
      <c r="E19" s="3286"/>
      <c r="F19" s="3282"/>
      <c r="G19" s="3211"/>
      <c r="H19" s="3262" t="s">
        <v>3029</v>
      </c>
      <c r="I19" s="3221" t="s">
        <v>3053</v>
      </c>
      <c r="J19" s="3267">
        <f ca="1">IF(K19="按租金收入计税",ROUND(J5*M19,0),ROUND(C29*M19*0.7,0))</f>
        <v>2716560</v>
      </c>
      <c r="K19" s="3287" t="s">
        <v>3054</v>
      </c>
      <c r="L19" s="3221" t="s">
        <v>3032</v>
      </c>
      <c r="M19" s="3280">
        <f>IF(K19="按租金收入计税",'[1]数据-取费表'!B51,'[1]数据-取费表'!B50)</f>
        <v>1.2E-2</v>
      </c>
    </row>
    <row r="20" spans="1:37" s="3279" customFormat="1" ht="18" customHeight="1">
      <c r="A20" s="3262" t="s">
        <v>3011</v>
      </c>
      <c r="B20" s="3221" t="s">
        <v>3055</v>
      </c>
      <c r="C20" s="3267">
        <f ca="1">ROUND(C19*F20,0)</f>
        <v>0</v>
      </c>
      <c r="D20" s="3288" t="s">
        <v>3056</v>
      </c>
      <c r="E20" s="3221" t="s">
        <v>3032</v>
      </c>
      <c r="F20" s="3280">
        <f>'[1]数据-取费表'!B37</f>
        <v>0</v>
      </c>
      <c r="G20" s="3273"/>
      <c r="H20" s="3262" t="s">
        <v>3033</v>
      </c>
      <c r="I20" s="3220" t="s">
        <v>3057</v>
      </c>
      <c r="J20" s="3289">
        <f ca="1">ROUND(M20*M21,0)</f>
        <v>0</v>
      </c>
      <c r="K20" s="3290" t="s">
        <v>3058</v>
      </c>
      <c r="L20" s="3221" t="s">
        <v>3059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3019</v>
      </c>
      <c r="B21" s="3221" t="s">
        <v>3060</v>
      </c>
      <c r="C21" s="3267" t="s">
        <v>3061</v>
      </c>
      <c r="D21" s="3288" t="s">
        <v>3062</v>
      </c>
      <c r="E21" s="3221" t="s">
        <v>3063</v>
      </c>
      <c r="F21" s="3280">
        <f>'[1]数据-取费表'!B38</f>
        <v>0</v>
      </c>
      <c r="G21" s="3273"/>
      <c r="H21" s="3292"/>
      <c r="I21" s="3293"/>
      <c r="J21" s="3294"/>
      <c r="K21" s="3295"/>
      <c r="L21" s="3221" t="s">
        <v>3064</v>
      </c>
      <c r="M21" s="3222">
        <f ca="1">INDIRECT("'数据-取费表'!r"&amp;$G$1)</f>
        <v>7444.24</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3065</v>
      </c>
      <c r="B22" s="3221" t="s">
        <v>3066</v>
      </c>
      <c r="C22" s="3267"/>
      <c r="D22" s="3285" t="str">
        <f>IF(F23&lt;=1,"单利计息。","复利计息。")&amp;"建造成本、管理费用、销售费用产生的利息。"</f>
        <v>单利计息。建造成本、管理费用、销售费用产生的利息。</v>
      </c>
      <c r="E22" s="3286"/>
      <c r="F22" s="3282"/>
      <c r="G22" s="3211"/>
      <c r="H22" s="3262" t="s">
        <v>3011</v>
      </c>
      <c r="I22" s="3221" t="s">
        <v>3067</v>
      </c>
      <c r="J22" s="3267">
        <f ca="1">ROUND(J14*M22,0)</f>
        <v>0</v>
      </c>
      <c r="K22" s="3283" t="s">
        <v>3068</v>
      </c>
      <c r="L22" s="3221" t="s">
        <v>3032</v>
      </c>
      <c r="M22" s="3296">
        <f ca="1">INDIRECT("'数据-取费表'!Ak"&amp;$G$1)</f>
        <v>0</v>
      </c>
    </row>
    <row r="23" spans="1:37" s="3279" customFormat="1" ht="18" customHeight="1">
      <c r="A23" s="3262" t="s">
        <v>3024</v>
      </c>
      <c r="B23" s="3221" t="s">
        <v>3069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3070</v>
      </c>
      <c r="F23" s="3291">
        <f>'[1]数据-取费表'!B20</f>
        <v>0</v>
      </c>
      <c r="G23" s="3273"/>
      <c r="H23" s="3262" t="s">
        <v>3019</v>
      </c>
      <c r="I23" s="3221" t="s">
        <v>3071</v>
      </c>
      <c r="J23" s="3267">
        <f ca="1">ROUND(J13*M23,0)</f>
        <v>0</v>
      </c>
      <c r="K23" s="3283" t="s">
        <v>3072</v>
      </c>
      <c r="L23" s="3221" t="s">
        <v>3032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3073</v>
      </c>
      <c r="B24" s="3221" t="s">
        <v>3074</v>
      </c>
      <c r="C24" s="3267">
        <f>ROUND(IF('[1]数据-取费表'!B22&lt;=1,F21*F24*F23/2,F21*(POWER((1+F24),F23/2)-1)),4)</f>
        <v>0</v>
      </c>
      <c r="D24" s="3297" t="str">
        <f>IF(F23&lt;=1,"销售费用×利率×(建设周期÷2)","销售费用×((1+利率)^(建设周期÷2)-1)")</f>
        <v>销售费用×利率×(建设周期÷2)</v>
      </c>
      <c r="E24" s="3221" t="s">
        <v>3075</v>
      </c>
      <c r="F24" s="3299">
        <f>'[1]数据-取费表'!B40</f>
        <v>0</v>
      </c>
      <c r="G24" s="3273"/>
      <c r="H24" s="3274" t="s">
        <v>3065</v>
      </c>
      <c r="I24" s="3249" t="s">
        <v>3055</v>
      </c>
      <c r="J24" s="3300">
        <f ca="1">ROUND(J5*M24,0)</f>
        <v>0</v>
      </c>
      <c r="K24" s="3301" t="s">
        <v>3076</v>
      </c>
      <c r="L24" s="3249" t="s">
        <v>3032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3077</v>
      </c>
      <c r="B25" s="3221" t="s">
        <v>3078</v>
      </c>
      <c r="C25" s="3267"/>
      <c r="D25" s="3285" t="s">
        <v>3079</v>
      </c>
      <c r="E25" s="3286"/>
      <c r="F25" s="3282"/>
      <c r="G25" s="3211"/>
      <c r="H25" s="3253" t="s">
        <v>3080</v>
      </c>
      <c r="I25" s="3302" t="s">
        <v>3081</v>
      </c>
      <c r="J25" s="3255">
        <f ca="1">J5-J16</f>
        <v>-2716560</v>
      </c>
      <c r="K25" s="3303" t="s">
        <v>3082</v>
      </c>
      <c r="L25" s="3304"/>
      <c r="M25" s="3305"/>
    </row>
    <row r="26" spans="1:37" ht="18" customHeight="1">
      <c r="A26" s="3262" t="s">
        <v>3024</v>
      </c>
      <c r="B26" s="3221" t="s">
        <v>3083</v>
      </c>
      <c r="C26" s="3267">
        <f ca="1">ROUND((C19+C20)*F26,0)</f>
        <v>29400000</v>
      </c>
      <c r="D26" s="3288" t="s">
        <v>3084</v>
      </c>
      <c r="E26" s="3232" t="s">
        <v>3085</v>
      </c>
      <c r="F26" s="3231">
        <f ca="1">INDIRECT("'数据-取费表'!q"&amp;$G$1)</f>
        <v>0.1</v>
      </c>
      <c r="G26" s="3211"/>
      <c r="H26" s="3212" t="s">
        <v>3086</v>
      </c>
      <c r="I26" s="3213" t="s">
        <v>3087</v>
      </c>
      <c r="J26" s="3223">
        <f ca="1">IF(J5&lt;&gt;0,ROUND(J25*(1-((1+M28)/(1+M26))^M27)/(M26-M28),0),0)</f>
        <v>0</v>
      </c>
      <c r="K26" s="3290" t="s">
        <v>3088</v>
      </c>
      <c r="L26" s="3221" t="s">
        <v>3089</v>
      </c>
      <c r="M26" s="3231">
        <f ca="1">INDIRECT("'数据-取费表'!I"&amp;$G$1)</f>
        <v>0.05</v>
      </c>
    </row>
    <row r="27" spans="1:37" ht="18" customHeight="1">
      <c r="A27" s="3262" t="s">
        <v>3073</v>
      </c>
      <c r="B27" s="3221" t="s">
        <v>3090</v>
      </c>
      <c r="C27" s="3267">
        <f ca="1">ROUND(F21*F26,4)</f>
        <v>0</v>
      </c>
      <c r="D27" s="3288" t="s">
        <v>3091</v>
      </c>
      <c r="E27" s="3271"/>
      <c r="F27" s="3272"/>
      <c r="G27" s="3211"/>
      <c r="H27" s="3229"/>
      <c r="I27" s="3306"/>
      <c r="J27" s="3230"/>
      <c r="K27" s="3307" t="s">
        <v>3092</v>
      </c>
      <c r="L27" s="3221" t="s">
        <v>3093</v>
      </c>
      <c r="M27" s="3308">
        <f ca="1">INDIRECT("'数据-取费表'!ag"&amp;$G$1)</f>
        <v>0</v>
      </c>
    </row>
    <row r="28" spans="1:37" s="3279" customFormat="1" ht="18" customHeight="1">
      <c r="A28" s="3262" t="s">
        <v>3094</v>
      </c>
      <c r="B28" s="3221" t="s">
        <v>3095</v>
      </c>
      <c r="C28" s="3267">
        <f>ROUND(F28/(1+'[1]数据-取费表'!C42),4)</f>
        <v>0</v>
      </c>
      <c r="D28" s="3288" t="s">
        <v>3096</v>
      </c>
      <c r="E28" s="3221" t="s">
        <v>3032</v>
      </c>
      <c r="F28" s="3280">
        <f>'[1]数据-取费表'!B41</f>
        <v>0</v>
      </c>
      <c r="G28" s="3273"/>
      <c r="H28" s="3239"/>
      <c r="I28" s="3309"/>
      <c r="J28" s="3255"/>
      <c r="K28" s="3295"/>
      <c r="L28" s="3221" t="s">
        <v>3097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3098</v>
      </c>
      <c r="B29" s="3249" t="s">
        <v>3099</v>
      </c>
      <c r="C29" s="3300">
        <f ca="1">ROUND((C19+C20+C23+C26)/(1-F21-C24-C27-C28),0)</f>
        <v>323400000</v>
      </c>
      <c r="D29" s="3301"/>
      <c r="E29" s="3249"/>
      <c r="F29" s="3310"/>
      <c r="G29" s="3273"/>
      <c r="H29" s="3311" t="s">
        <v>3100</v>
      </c>
      <c r="I29" s="3312" t="s">
        <v>3101</v>
      </c>
      <c r="J29" s="3313">
        <f ca="1">ROUND(J26/(1+F40)^F41,0)</f>
        <v>0</v>
      </c>
      <c r="K29" s="3314" t="s">
        <v>3102</v>
      </c>
      <c r="L29" s="3315"/>
      <c r="M29" s="3316">
        <f ca="1">INDIRECT("'数据-取费表'!k"&amp;$G$1)</f>
        <v>70000</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3103</v>
      </c>
      <c r="B30" s="3254" t="s">
        <v>3038</v>
      </c>
      <c r="C30" s="3255">
        <f ca="1">ROUND(C31+C36+C37+C38,0)</f>
        <v>2716560</v>
      </c>
      <c r="D30" s="3259" t="s">
        <v>3039</v>
      </c>
      <c r="E30" s="3281"/>
      <c r="F30" s="3217"/>
      <c r="G30" s="3211"/>
      <c r="H30" s="3317"/>
      <c r="I30" s="3318"/>
      <c r="J30" s="3319"/>
      <c r="K30" s="3243"/>
      <c r="L30" s="3320"/>
      <c r="M30" s="3321"/>
    </row>
    <row r="31" spans="1:37" ht="18" customHeight="1">
      <c r="A31" s="3262" t="s">
        <v>3003</v>
      </c>
      <c r="B31" s="3221" t="s">
        <v>3044</v>
      </c>
      <c r="C31" s="3267">
        <f ca="1">ROUND(IF([1]项目基本情况!B11="自然人",C5*F31,C32+C33+C34),0)</f>
        <v>2716560</v>
      </c>
      <c r="D31" s="3264" t="s">
        <v>3045</v>
      </c>
      <c r="E31" s="3283" t="s">
        <v>3046</v>
      </c>
      <c r="F31" s="3284">
        <f ca="1">IF([1]项目基本情况!B11="企业","",IF(INDIRECT("'数据-取费表'!c"&amp;$G$1)="住宅",5%,IF(F6*F7*F8/12/(1+'[1]数据-取费表'!C42)&gt;20000,12%,7%)))</f>
        <v>7.0000000000000007E-2</v>
      </c>
      <c r="G31" s="3211"/>
      <c r="H31" s="3317"/>
      <c r="I31" s="3318"/>
      <c r="J31" s="3319"/>
      <c r="K31" s="3243"/>
      <c r="L31" s="3320"/>
      <c r="M31" s="3321"/>
    </row>
    <row r="32" spans="1:37" ht="18" customHeight="1">
      <c r="A32" s="3262" t="s">
        <v>3024</v>
      </c>
      <c r="B32" s="3221" t="s">
        <v>3104</v>
      </c>
      <c r="C32" s="3267">
        <f ca="1">IF([1]项目基本情况!B11="自然人","——",ROUND(C5*F32/(1+'[1]数据-取费表'!C42),0))</f>
        <v>0</v>
      </c>
      <c r="D32" s="3283" t="s">
        <v>3105</v>
      </c>
      <c r="E32" s="3221" t="s">
        <v>3032</v>
      </c>
      <c r="F32" s="3299">
        <f>'[1]数据-取费表'!B41</f>
        <v>0</v>
      </c>
      <c r="G32" s="3211"/>
      <c r="H32" s="3317"/>
      <c r="I32" s="3318"/>
      <c r="J32" s="3319"/>
      <c r="K32" s="3243"/>
      <c r="L32" s="3320"/>
      <c r="M32" s="3321"/>
    </row>
    <row r="33" spans="1:18" ht="18" customHeight="1">
      <c r="A33" s="3262" t="s">
        <v>3073</v>
      </c>
      <c r="B33" s="3221" t="s">
        <v>3053</v>
      </c>
      <c r="C33" s="3267">
        <f ca="1">IF([1]项目基本情况!B11="自然人","——",IF(D33="按租金收入计税",ROUND(C5*F33,0),IF(D33="按房产原值计税",ROUND(C29*F33*0.7,0),INDIRECT("'数据-取费表'!Aj"&amp;$G$1))))</f>
        <v>2716560</v>
      </c>
      <c r="D33" s="3287" t="s">
        <v>3054</v>
      </c>
      <c r="E33" s="3221" t="s">
        <v>3032</v>
      </c>
      <c r="F33" s="3280">
        <f>IF(D33="按票据","——",IF(D33="按租金收入计税",'[1]数据-取费表'!B51,'[1]数据-取费表'!B50))</f>
        <v>1.2E-2</v>
      </c>
      <c r="G33" s="3211"/>
      <c r="H33" s="3322"/>
      <c r="I33" s="3323"/>
      <c r="J33" s="3324"/>
      <c r="K33" s="3325"/>
      <c r="L33" s="3322"/>
      <c r="M33" s="3322"/>
    </row>
    <row r="34" spans="1:18" ht="18" customHeight="1">
      <c r="A34" s="3218" t="s">
        <v>3033</v>
      </c>
      <c r="B34" s="3220" t="s">
        <v>3057</v>
      </c>
      <c r="C34" s="3289">
        <f ca="1">IF([1]项目基本情况!B11="自然人","——",ROUND(F34*F35,))</f>
        <v>0</v>
      </c>
      <c r="D34" s="3290" t="s">
        <v>3058</v>
      </c>
      <c r="E34" s="3221" t="s">
        <v>3059</v>
      </c>
      <c r="F34" s="3291">
        <f>'[1]数据-取费表'!B52</f>
        <v>0</v>
      </c>
      <c r="G34" s="3211"/>
      <c r="H34" s="3317"/>
      <c r="I34" s="3323"/>
      <c r="J34" s="3324"/>
      <c r="K34" s="3326"/>
      <c r="L34" s="3327"/>
      <c r="M34" s="3327"/>
    </row>
    <row r="35" spans="1:18" ht="18" customHeight="1">
      <c r="A35" s="3328"/>
      <c r="B35" s="3329"/>
      <c r="C35" s="3294"/>
      <c r="D35" s="3295"/>
      <c r="E35" s="3221" t="s">
        <v>3064</v>
      </c>
      <c r="F35" s="3222">
        <f ca="1">INDIRECT("'数据-取费表'!r"&amp;$G$1)</f>
        <v>7444.24</v>
      </c>
      <c r="G35" s="3211"/>
      <c r="H35" s="3317"/>
      <c r="I35" s="3323"/>
      <c r="J35" s="3324"/>
      <c r="K35" s="3325"/>
      <c r="L35" s="3322"/>
      <c r="M35" s="3322"/>
    </row>
    <row r="36" spans="1:18" ht="18" customHeight="1">
      <c r="A36" s="3330" t="s">
        <v>3011</v>
      </c>
      <c r="B36" s="3221" t="s">
        <v>3067</v>
      </c>
      <c r="C36" s="3267">
        <f ca="1">ROUND(C29*F36,0)</f>
        <v>0</v>
      </c>
      <c r="D36" s="3283" t="s">
        <v>3106</v>
      </c>
      <c r="E36" s="3221" t="s">
        <v>3032</v>
      </c>
      <c r="F36" s="3296">
        <f ca="1">INDIRECT("'数据-取费表'!Ak"&amp;$G$1)</f>
        <v>0</v>
      </c>
      <c r="G36" s="3211"/>
      <c r="H36" s="3322"/>
      <c r="I36" s="3323"/>
      <c r="J36" s="3324"/>
      <c r="K36" s="3331"/>
      <c r="L36" s="3322"/>
      <c r="M36" s="3322"/>
    </row>
    <row r="37" spans="1:18" ht="18" customHeight="1">
      <c r="A37" s="3262" t="s">
        <v>3019</v>
      </c>
      <c r="B37" s="3221" t="s">
        <v>3071</v>
      </c>
      <c r="C37" s="3267">
        <f ca="1">ROUND(C13*F37,0)</f>
        <v>0</v>
      </c>
      <c r="D37" s="3283" t="s">
        <v>3072</v>
      </c>
      <c r="E37" s="3221" t="s">
        <v>3032</v>
      </c>
      <c r="F37" s="3298">
        <f ca="1">INDIRECT("'数据-取费表'!Al"&amp;$G$1)</f>
        <v>0</v>
      </c>
      <c r="G37" s="3211"/>
      <c r="H37" s="3322"/>
      <c r="I37" s="3323"/>
      <c r="J37" s="3324"/>
      <c r="K37" s="3331"/>
      <c r="L37" s="3322"/>
      <c r="M37" s="3322"/>
    </row>
    <row r="38" spans="1:18" ht="18" customHeight="1" thickBot="1">
      <c r="A38" s="3274" t="s">
        <v>3065</v>
      </c>
      <c r="B38" s="3249" t="s">
        <v>3055</v>
      </c>
      <c r="C38" s="3300">
        <f ca="1">ROUND(C5*F38,1)</f>
        <v>0</v>
      </c>
      <c r="D38" s="3301" t="s">
        <v>3076</v>
      </c>
      <c r="E38" s="3249" t="s">
        <v>3032</v>
      </c>
      <c r="F38" s="3250">
        <f ca="1">INDIRECT("'数据-取费表'!Am"&amp;$G$1)</f>
        <v>0</v>
      </c>
      <c r="G38" s="3211"/>
      <c r="H38" s="3322"/>
      <c r="I38" s="3323"/>
      <c r="J38" s="3324"/>
      <c r="K38" s="3332"/>
      <c r="L38" s="3322"/>
      <c r="M38" s="3322"/>
    </row>
    <row r="39" spans="1:18" ht="24.6" customHeight="1" thickTop="1">
      <c r="A39" s="3253" t="s">
        <v>3080</v>
      </c>
      <c r="B39" s="3302" t="s">
        <v>3081</v>
      </c>
      <c r="C39" s="3255">
        <f ca="1">C5-C30</f>
        <v>-2716560</v>
      </c>
      <c r="D39" s="3303" t="s">
        <v>3082</v>
      </c>
      <c r="E39" s="3304"/>
      <c r="F39" s="3305"/>
      <c r="G39" s="3211"/>
      <c r="H39" s="3322"/>
      <c r="I39" s="3323"/>
      <c r="J39" s="3324"/>
      <c r="K39" s="3332"/>
      <c r="L39" s="3322"/>
      <c r="M39" s="3322"/>
    </row>
    <row r="40" spans="1:18" ht="18" customHeight="1">
      <c r="A40" s="3212" t="s">
        <v>3086</v>
      </c>
      <c r="B40" s="3213" t="s">
        <v>3107</v>
      </c>
      <c r="C40" s="3223">
        <f ca="1">ROUND(C39*(1-((1+F42)/(1+F40))^F41)/(F40-F42),0)</f>
        <v>0</v>
      </c>
      <c r="D40" s="3290" t="s">
        <v>3088</v>
      </c>
      <c r="E40" s="3221" t="s">
        <v>3089</v>
      </c>
      <c r="F40" s="3231">
        <f ca="1">INDIRECT("'数据-取费表'!I"&amp;$G$1)</f>
        <v>0.05</v>
      </c>
      <c r="G40" s="3211"/>
      <c r="H40" s="3333"/>
      <c r="I40" s="3323"/>
      <c r="J40" s="3324"/>
      <c r="K40" s="3332"/>
      <c r="L40" s="3333"/>
      <c r="M40" s="3333"/>
    </row>
    <row r="41" spans="1:18" ht="18" customHeight="1">
      <c r="A41" s="3229"/>
      <c r="B41" s="3306"/>
      <c r="C41" s="3230"/>
      <c r="D41" s="3307" t="s">
        <v>3092</v>
      </c>
      <c r="E41" s="3221" t="s">
        <v>3093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3097</v>
      </c>
      <c r="F42" s="3231">
        <f ca="1">INDIRECT("'数据-取费表'!v"&amp;$G$1)</f>
        <v>0</v>
      </c>
      <c r="G42" s="3211"/>
      <c r="H42" s="3334"/>
      <c r="I42" s="3323"/>
      <c r="J42" s="3324"/>
      <c r="K42" s="3331"/>
      <c r="L42" s="3334"/>
      <c r="M42" s="3334"/>
    </row>
    <row r="43" spans="1:18" ht="18" customHeight="1" thickBot="1">
      <c r="A43" s="3311" t="s">
        <v>3100</v>
      </c>
      <c r="B43" s="3312" t="s">
        <v>3108</v>
      </c>
      <c r="C43" s="3313">
        <f ca="1">ROUND(C40/F43,0)</f>
        <v>0</v>
      </c>
      <c r="D43" s="3314" t="s">
        <v>3109</v>
      </c>
      <c r="E43" s="3315" t="s">
        <v>3110</v>
      </c>
      <c r="F43" s="3316">
        <f ca="1">INDIRECT("'数据-取费表'!k"&amp;$G$1)</f>
        <v>70000</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3111</v>
      </c>
      <c r="E45" s="3335"/>
      <c r="F45" s="3335"/>
      <c r="O45" s="3340" t="s">
        <v>3112</v>
      </c>
      <c r="P45" s="3333"/>
      <c r="Q45" s="3333"/>
      <c r="R45" s="3333"/>
    </row>
    <row r="46" spans="1:18" s="3202" customFormat="1" ht="13.5" thickBot="1">
      <c r="A46" s="3341" t="s">
        <v>3113</v>
      </c>
      <c r="C46" s="3342">
        <f ca="1">ROUND(C45/10000,0)</f>
        <v>0</v>
      </c>
      <c r="D46" s="3343" t="str">
        <f>C2</f>
        <v>万元</v>
      </c>
      <c r="I46" s="3344" t="s">
        <v>3114</v>
      </c>
      <c r="J46" s="3345"/>
      <c r="K46" s="3346"/>
      <c r="L46" s="3347" t="e">
        <f ca="1">IF(M47="住宅",0,IF(L48&gt;J51,L60,J60))</f>
        <v>#DIV/0!</v>
      </c>
      <c r="O46" s="3348" t="s">
        <v>3115</v>
      </c>
      <c r="P46" s="3349" t="s">
        <v>3116</v>
      </c>
      <c r="Q46" s="3350" t="s">
        <v>3117</v>
      </c>
      <c r="R46" s="3350" t="s">
        <v>3118</v>
      </c>
    </row>
    <row r="47" spans="1:18" s="3202" customFormat="1" ht="13.5" thickBot="1">
      <c r="A47" s="3351" t="s">
        <v>2997</v>
      </c>
      <c r="B47" s="3352" t="s">
        <v>2998</v>
      </c>
      <c r="C47" s="3352" t="s">
        <v>2999</v>
      </c>
      <c r="D47" s="3352" t="s">
        <v>3000</v>
      </c>
      <c r="E47" s="3353" t="s">
        <v>2996</v>
      </c>
      <c r="F47" s="3354"/>
      <c r="G47" s="3355"/>
      <c r="I47" s="3356" t="s">
        <v>3119</v>
      </c>
      <c r="J47" s="3357"/>
      <c r="K47" s="3358" t="s">
        <v>3120</v>
      </c>
      <c r="L47" s="3359">
        <f ca="1">INDIRECT("'数据-取费表'!d"&amp;$G$1)</f>
        <v>40</v>
      </c>
      <c r="M47" s="3360" t="str">
        <f>IF(ISNUMBER(FIND("住宅",C1)),"住宅","非住宅")</f>
        <v>非住宅</v>
      </c>
      <c r="O47" s="3361" t="s">
        <v>2384</v>
      </c>
      <c r="P47" s="3362" t="s">
        <v>3121</v>
      </c>
      <c r="Q47" s="3363">
        <f ca="1">C40+J29</f>
        <v>0</v>
      </c>
      <c r="R47" s="3363" t="s">
        <v>3122</v>
      </c>
    </row>
    <row r="48" spans="1:18" s="3202" customFormat="1" ht="28.5" thickBot="1">
      <c r="A48" s="3364" t="s">
        <v>3123</v>
      </c>
      <c r="B48" s="3213" t="s">
        <v>3001</v>
      </c>
      <c r="C48" s="3365">
        <f ca="1">C49+C53+C55</f>
        <v>0</v>
      </c>
      <c r="D48" s="3366"/>
      <c r="E48" s="3367"/>
      <c r="F48" s="3368"/>
      <c r="G48" s="3355"/>
      <c r="H48" s="3369"/>
      <c r="I48" s="3370" t="s">
        <v>3124</v>
      </c>
      <c r="J48" s="3371"/>
      <c r="K48" s="3372" t="s">
        <v>3125</v>
      </c>
      <c r="L48" s="3373">
        <f ca="1">INDIRECT("'数据-取费表'!f"&amp;$G$1)</f>
        <v>39.89</v>
      </c>
      <c r="O48" s="3361" t="s">
        <v>2386</v>
      </c>
      <c r="P48" s="3362" t="s">
        <v>3126</v>
      </c>
      <c r="Q48" s="3363" t="str">
        <f ca="1">J60</f>
        <v>0</v>
      </c>
      <c r="R48" s="3363" t="s">
        <v>3127</v>
      </c>
    </row>
    <row r="49" spans="1:18" s="3202" customFormat="1" ht="13.5" thickBot="1">
      <c r="A49" s="3374" t="s">
        <v>3128</v>
      </c>
      <c r="B49" s="3375" t="s">
        <v>3129</v>
      </c>
      <c r="C49" s="3376">
        <f ca="1">ROUND(F49*F51*F50*(1-F52),0)</f>
        <v>0</v>
      </c>
      <c r="D49" s="3377" t="s">
        <v>3130</v>
      </c>
      <c r="E49" s="3378" t="s">
        <v>3131</v>
      </c>
      <c r="F49" s="3379"/>
      <c r="G49" s="3380"/>
      <c r="H49" s="3369"/>
      <c r="I49" s="3370" t="s">
        <v>3132</v>
      </c>
      <c r="J49" s="3381"/>
      <c r="K49" s="3372" t="s">
        <v>3133</v>
      </c>
      <c r="L49" s="3382"/>
      <c r="O49" s="3383" t="s">
        <v>2388</v>
      </c>
      <c r="P49" s="3362" t="s">
        <v>3134</v>
      </c>
      <c r="Q49" s="3363">
        <f ca="1">C29</f>
        <v>323400000</v>
      </c>
      <c r="R49" s="3363" t="s">
        <v>3122</v>
      </c>
    </row>
    <row r="50" spans="1:18" s="3202" customFormat="1" ht="13.5" thickBot="1">
      <c r="A50" s="3384"/>
      <c r="B50" s="3385"/>
      <c r="C50" s="3386"/>
      <c r="D50" s="3387"/>
      <c r="E50" s="3388" t="s">
        <v>3008</v>
      </c>
      <c r="F50" s="3389">
        <f ca="1">F7</f>
        <v>70000</v>
      </c>
      <c r="H50" s="3369"/>
      <c r="I50" s="3370" t="s">
        <v>3135</v>
      </c>
      <c r="J50" s="3390">
        <f>SUMPRODUCT((I63:I65=J47)*(J62:L62=J48)*(J63:L65))</f>
        <v>0</v>
      </c>
      <c r="K50" s="3372" t="s">
        <v>3136</v>
      </c>
      <c r="L50" s="3382"/>
      <c r="M50" s="3391"/>
      <c r="O50" s="3383" t="s">
        <v>2389</v>
      </c>
      <c r="P50" s="3362" t="s">
        <v>3137</v>
      </c>
      <c r="Q50" s="3392" t="e">
        <f ca="1">J58</f>
        <v>#VALUE!</v>
      </c>
      <c r="R50" s="3363"/>
    </row>
    <row r="51" spans="1:18" s="3202" customFormat="1" ht="13.5" thickBot="1">
      <c r="A51" s="3393"/>
      <c r="B51" s="3385"/>
      <c r="C51" s="3386"/>
      <c r="D51" s="3387"/>
      <c r="E51" s="3394" t="s">
        <v>3009</v>
      </c>
      <c r="F51" s="3222">
        <f ca="1">F8</f>
        <v>0</v>
      </c>
      <c r="I51" s="3395" t="s">
        <v>3138</v>
      </c>
      <c r="J51" s="3396">
        <f>IF(J49="",J50,J49+J50-YEAR('[1]数据-取费表'!B2))</f>
        <v>0</v>
      </c>
      <c r="K51" s="3397" t="s">
        <v>3139</v>
      </c>
      <c r="L51" s="3398">
        <f ca="1">ROUND(-PV(INDIRECT("'数据-取费表'!h"&amp;$G$1),L48,(C39-C13*C76),0),0)</f>
        <v>-597171773</v>
      </c>
      <c r="M51" s="3399"/>
      <c r="O51" s="3383" t="s">
        <v>2391</v>
      </c>
      <c r="P51" s="3362" t="s">
        <v>3140</v>
      </c>
      <c r="Q51" s="3392">
        <f>J52</f>
        <v>0</v>
      </c>
      <c r="R51" s="3363"/>
    </row>
    <row r="52" spans="1:18" s="3202" customFormat="1" ht="13.5" thickBot="1">
      <c r="A52" s="3393"/>
      <c r="B52" s="3385"/>
      <c r="C52" s="3386"/>
      <c r="D52" s="3387"/>
      <c r="E52" s="3394" t="s">
        <v>3010</v>
      </c>
      <c r="F52" s="3400"/>
      <c r="I52" s="3401" t="s">
        <v>3141</v>
      </c>
      <c r="J52" s="3402"/>
      <c r="K52" s="3401" t="s">
        <v>3142</v>
      </c>
      <c r="L52" s="3402"/>
      <c r="O52" s="3383" t="s">
        <v>2393</v>
      </c>
      <c r="P52" s="3362" t="s">
        <v>3143</v>
      </c>
      <c r="Q52" s="3363" t="b">
        <f>J53</f>
        <v>0</v>
      </c>
      <c r="R52" s="3363" t="s">
        <v>3144</v>
      </c>
    </row>
    <row r="53" spans="1:18" s="3202" customFormat="1" ht="30.75" customHeight="1" thickBot="1">
      <c r="A53" s="3403" t="s">
        <v>3145</v>
      </c>
      <c r="B53" s="3288" t="s">
        <v>3012</v>
      </c>
      <c r="C53" s="3235">
        <f>ROUND(IF(F53="押一",F49*F51*F50/12*F11,IF(F53="押二",F49*F51*F50/12*2*F11,IF(F53="押三",F49*F51*F50/12*3*F11,C54*F11))),0)</f>
        <v>0</v>
      </c>
      <c r="D53" s="3236" t="s">
        <v>3146</v>
      </c>
      <c r="E53" s="3232" t="s">
        <v>3014</v>
      </c>
      <c r="F53" s="3237"/>
      <c r="I53" s="3404" t="s">
        <v>3147</v>
      </c>
      <c r="J53" s="3405" t="b">
        <f>IF(M47="住宅",J51,IF(D1="——",MIN(J51,L48),IF(D1="在建（套用方法）",MIN(J51,L48-'[1]数据-取费表'!B24),IF(D1="土地（套用方法）",MIN(J51,L48-'[1]数据-取费表'!B20)))))</f>
        <v>0</v>
      </c>
      <c r="K53" s="3497" t="s">
        <v>3148</v>
      </c>
      <c r="L53" s="3498"/>
      <c r="O53" s="3361" t="s">
        <v>2396</v>
      </c>
      <c r="P53" s="3362" t="s">
        <v>3149</v>
      </c>
      <c r="Q53" s="3363">
        <f ca="1">Q47+Q48</f>
        <v>0</v>
      </c>
      <c r="R53" s="3363" t="s">
        <v>2397</v>
      </c>
    </row>
    <row r="54" spans="1:18" s="3202" customFormat="1" ht="13.5" thickBot="1">
      <c r="A54" s="3374"/>
      <c r="B54" s="3406" t="s">
        <v>3018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3150</v>
      </c>
      <c r="P54" s="3333"/>
      <c r="Q54" s="3333"/>
      <c r="R54" s="3333"/>
    </row>
    <row r="55" spans="1:18" s="3202" customFormat="1" ht="13.5" thickBot="1">
      <c r="A55" s="3245" t="s">
        <v>3019</v>
      </c>
      <c r="B55" s="3246" t="s">
        <v>3020</v>
      </c>
      <c r="C55" s="3247"/>
      <c r="D55" s="3236"/>
      <c r="E55" s="3407"/>
      <c r="F55" s="3408"/>
      <c r="I55" s="3411" t="s">
        <v>3151</v>
      </c>
      <c r="J55" s="3412" t="e">
        <f ca="1">ROUND(IF(J47="钢混",J57/J50,1-(1-2%)*(J50-J57)/J50),3)</f>
        <v>#VALUE!</v>
      </c>
      <c r="K55" s="3413" t="s">
        <v>3152</v>
      </c>
      <c r="L55" s="3414"/>
      <c r="O55" s="3348" t="s">
        <v>3115</v>
      </c>
      <c r="P55" s="3349" t="s">
        <v>3116</v>
      </c>
      <c r="Q55" s="3350" t="s">
        <v>3117</v>
      </c>
      <c r="R55" s="3350" t="s">
        <v>3118</v>
      </c>
    </row>
    <row r="56" spans="1:18" s="3202" customFormat="1" ht="36" customHeight="1" thickTop="1" thickBot="1">
      <c r="A56" s="3415">
        <v>2</v>
      </c>
      <c r="B56" s="3416" t="s">
        <v>3021</v>
      </c>
      <c r="C56" s="3417">
        <f ca="1">C13</f>
        <v>323400000</v>
      </c>
      <c r="D56" s="3418"/>
      <c r="E56" s="3419"/>
      <c r="F56" s="3408"/>
      <c r="I56" s="3420" t="s">
        <v>3153</v>
      </c>
      <c r="J56" s="3421"/>
      <c r="K56" s="3370" t="s">
        <v>3154</v>
      </c>
      <c r="L56" s="3373">
        <f ca="1">IF(L48&lt;J51,"——",L48-J51)</f>
        <v>39.89</v>
      </c>
      <c r="O56" s="3361" t="s">
        <v>2384</v>
      </c>
      <c r="P56" s="3362" t="s">
        <v>3121</v>
      </c>
      <c r="Q56" s="3363">
        <f ca="1">C40+J29</f>
        <v>0</v>
      </c>
      <c r="R56" s="3363" t="s">
        <v>3122</v>
      </c>
    </row>
    <row r="57" spans="1:18" s="3202" customFormat="1" ht="24.75" thickBot="1">
      <c r="A57" s="3422"/>
      <c r="B57" s="3423" t="s">
        <v>3099</v>
      </c>
      <c r="C57" s="3424">
        <f ca="1">C29</f>
        <v>323400000</v>
      </c>
      <c r="D57" s="3425"/>
      <c r="E57" s="3426"/>
      <c r="F57" s="3427"/>
      <c r="I57" s="3428" t="s">
        <v>3155</v>
      </c>
      <c r="J57" s="3429" t="str">
        <f ca="1">IF(OR(M47="住宅",J51&lt;L48,J56="是"),"——",J51-L48)</f>
        <v>——</v>
      </c>
      <c r="K57" s="3370" t="s">
        <v>3156</v>
      </c>
      <c r="L57" s="3373">
        <f ca="1">IF(L48&lt;J51,"——",IF(L55="比较法",L49,IF(L55="基准地价",L50,L51)))</f>
        <v>-597171773</v>
      </c>
      <c r="O57" s="3361" t="s">
        <v>2386</v>
      </c>
      <c r="P57" s="3362" t="s">
        <v>3157</v>
      </c>
      <c r="Q57" s="3363" t="e">
        <f ca="1">L60</f>
        <v>#DIV/0!</v>
      </c>
      <c r="R57" s="3363" t="s">
        <v>3158</v>
      </c>
    </row>
    <row r="58" spans="1:18" s="3202" customFormat="1" ht="24.75" thickBot="1">
      <c r="A58" s="3430" t="s">
        <v>3103</v>
      </c>
      <c r="B58" s="3416" t="s">
        <v>3038</v>
      </c>
      <c r="C58" s="3235">
        <f ca="1">ROUND(C59+C64+C65+C66,0)</f>
        <v>2716560</v>
      </c>
      <c r="D58" s="3431" t="s">
        <v>3039</v>
      </c>
      <c r="E58" s="3432"/>
      <c r="F58" s="3368"/>
      <c r="I58" s="3428" t="s">
        <v>3159</v>
      </c>
      <c r="J58" s="3433" t="e">
        <f ca="1">IF(J55&lt;0.4,0.4,J55)</f>
        <v>#VALUE!</v>
      </c>
      <c r="K58" s="3397" t="s">
        <v>3160</v>
      </c>
      <c r="L58" s="3373" t="e">
        <f ca="1">ROUND(POWER(1+L52,L47-L48)*(POWER(1+L52,L48)-1)/(POWER(1+L52,L47)-1),4)</f>
        <v>#DIV/0!</v>
      </c>
      <c r="O58" s="3383" t="s">
        <v>2388</v>
      </c>
      <c r="P58" s="3362" t="s">
        <v>3161</v>
      </c>
      <c r="Q58" s="3363">
        <f>IF(L55="比较法",L49,IF(L55="基准地价",L50,0))</f>
        <v>0</v>
      </c>
      <c r="R58" s="3363" t="s">
        <v>3122</v>
      </c>
    </row>
    <row r="59" spans="1:18" s="3202" customFormat="1" ht="24.75" thickBot="1">
      <c r="A59" s="3262" t="s">
        <v>3003</v>
      </c>
      <c r="B59" s="3423" t="s">
        <v>3044</v>
      </c>
      <c r="C59" s="3267">
        <f ca="1">ROUND(IF([1]项目基本情况!B11="自然人",C48*F59,C60+C61+C62),0)</f>
        <v>2716560</v>
      </c>
      <c r="D59" s="3434" t="s">
        <v>3045</v>
      </c>
      <c r="E59" s="3435" t="s">
        <v>3046</v>
      </c>
      <c r="F59" s="3284">
        <f ca="1">IF([1]项目基本情况!B11="企业","",IF(INDIRECT("'数据-取费表'!c"&amp;$G$1)="住宅",5%,IF(F49*F50*F51/12/(1+'[1]数据-取费表'!C42)&gt;20000,12%,7%)))</f>
        <v>7.0000000000000007E-2</v>
      </c>
      <c r="I59" s="3428" t="s">
        <v>3162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3163</v>
      </c>
      <c r="Q59" s="3392">
        <f>L52</f>
        <v>0</v>
      </c>
      <c r="R59" s="3363"/>
    </row>
    <row r="60" spans="1:18" s="3202" customFormat="1" ht="16.5" thickBot="1">
      <c r="A60" s="3262" t="s">
        <v>3024</v>
      </c>
      <c r="B60" s="3423" t="s">
        <v>3104</v>
      </c>
      <c r="C60" s="3267">
        <f ca="1">IF([1]项目基本情况!B11="自然人","——",ROUND(C48*F60/(1+'[1]数据-取费表'!C42),0))</f>
        <v>0</v>
      </c>
      <c r="D60" s="3435" t="s">
        <v>3105</v>
      </c>
      <c r="E60" s="3423" t="s">
        <v>3032</v>
      </c>
      <c r="F60" s="3299">
        <f t="shared" ref="F60:F66" si="0">F32</f>
        <v>0</v>
      </c>
      <c r="I60" s="3436" t="s">
        <v>3164</v>
      </c>
      <c r="J60" s="3437" t="str">
        <f ca="1">IF(OR(M47="住宅",J51&lt;L48,J56="是"),"0",ROUND(J59/(1+J52)^J53,0))</f>
        <v>0</v>
      </c>
      <c r="K60" s="3438" t="s">
        <v>3165</v>
      </c>
      <c r="L60" s="3437" t="e">
        <f ca="1">IF(OR(M47="住宅",L48&lt;J51),0,ROUND(L57*(L58/L59-1),0))</f>
        <v>#DIV/0!</v>
      </c>
      <c r="O60" s="3383" t="s">
        <v>2391</v>
      </c>
      <c r="P60" s="3362" t="s">
        <v>3166</v>
      </c>
      <c r="Q60" s="3363" t="e">
        <f ca="1">L58</f>
        <v>#DIV/0!</v>
      </c>
      <c r="R60" s="3363" t="s">
        <v>3167</v>
      </c>
    </row>
    <row r="61" spans="1:18" s="3202" customFormat="1" ht="13.5" thickBot="1">
      <c r="A61" s="3262" t="s">
        <v>3168</v>
      </c>
      <c r="B61" s="3423" t="s">
        <v>3053</v>
      </c>
      <c r="C61" s="3267">
        <f ca="1">IF([1]项目基本情况!B11="自然人","——",IF(D61="按租金收入计税",ROUND(C48*F61,0),IF(D61="按房产原值计税",ROUND(C57*F61*0.7,0),INDIRECT("'数据-取费表'!Aj"&amp;$G$1))))</f>
        <v>2716560</v>
      </c>
      <c r="D61" s="3287" t="s">
        <v>3054</v>
      </c>
      <c r="E61" s="3423" t="s">
        <v>3032</v>
      </c>
      <c r="F61" s="3280">
        <f t="shared" si="0"/>
        <v>1.2E-2</v>
      </c>
      <c r="I61" s="3439"/>
      <c r="J61" s="3439"/>
      <c r="K61" s="3439"/>
      <c r="L61" s="3439"/>
      <c r="O61" s="3383" t="s">
        <v>2393</v>
      </c>
      <c r="P61" s="3362" t="str">
        <f>K59</f>
        <v>建设期及建筑物耐用年限下的土地年期修正系数Kn</v>
      </c>
      <c r="Q61" s="3363" t="e">
        <f ca="1">L59</f>
        <v>#DIV/0!</v>
      </c>
      <c r="R61" s="3363" t="s">
        <v>3169</v>
      </c>
    </row>
    <row r="62" spans="1:18" s="3202" customFormat="1" ht="13.5" thickBot="1">
      <c r="A62" s="3262" t="s">
        <v>3170</v>
      </c>
      <c r="B62" s="3440" t="s">
        <v>3057</v>
      </c>
      <c r="C62" s="3289">
        <f ca="1">IF([1]项目基本情况!B11="自然人","——",ROUND(F62*F63,0))</f>
        <v>0</v>
      </c>
      <c r="D62" s="3441" t="s">
        <v>3058</v>
      </c>
      <c r="E62" s="3423" t="s">
        <v>3059</v>
      </c>
      <c r="F62" s="3291">
        <f t="shared" si="0"/>
        <v>0</v>
      </c>
      <c r="I62" s="3442" t="s">
        <v>3171</v>
      </c>
      <c r="J62" s="3443" t="s">
        <v>3172</v>
      </c>
      <c r="K62" s="3443" t="s">
        <v>3173</v>
      </c>
      <c r="L62" s="3443" t="s">
        <v>3174</v>
      </c>
      <c r="M62" s="3444" t="s">
        <v>3175</v>
      </c>
      <c r="O62" s="3361" t="s">
        <v>2396</v>
      </c>
      <c r="P62" s="3362" t="s">
        <v>3149</v>
      </c>
      <c r="Q62" s="3363" t="e">
        <f ca="1">Q56+Q57</f>
        <v>#DIV/0!</v>
      </c>
      <c r="R62" s="3363" t="s">
        <v>2397</v>
      </c>
    </row>
    <row r="63" spans="1:18" s="3202" customFormat="1" ht="13.5" thickBot="1">
      <c r="A63" s="3292"/>
      <c r="B63" s="3445"/>
      <c r="C63" s="3294"/>
      <c r="D63" s="3446"/>
      <c r="E63" s="3423" t="s">
        <v>3064</v>
      </c>
      <c r="F63" s="3222">
        <f t="shared" ca="1" si="0"/>
        <v>7444.24</v>
      </c>
      <c r="I63" s="3442" t="s">
        <v>3176</v>
      </c>
      <c r="J63" s="3443">
        <v>70</v>
      </c>
      <c r="K63" s="3443">
        <v>50</v>
      </c>
      <c r="L63" s="3443">
        <v>80</v>
      </c>
      <c r="M63" s="3447">
        <v>0.02</v>
      </c>
      <c r="O63" s="3340" t="s">
        <v>3177</v>
      </c>
      <c r="P63" s="3333"/>
      <c r="Q63" s="3333"/>
      <c r="R63" s="3333"/>
    </row>
    <row r="64" spans="1:18" s="3202" customFormat="1" ht="13.5" thickBot="1">
      <c r="A64" s="3262" t="s">
        <v>3011</v>
      </c>
      <c r="B64" s="3423" t="s">
        <v>3067</v>
      </c>
      <c r="C64" s="3267">
        <f ca="1">ROUND(C57*F64,0)</f>
        <v>0</v>
      </c>
      <c r="D64" s="3435" t="s">
        <v>3106</v>
      </c>
      <c r="E64" s="3423" t="s">
        <v>3032</v>
      </c>
      <c r="F64" s="3296">
        <f t="shared" ca="1" si="0"/>
        <v>0</v>
      </c>
      <c r="I64" s="3442" t="s">
        <v>3178</v>
      </c>
      <c r="J64" s="3443">
        <v>50</v>
      </c>
      <c r="K64" s="3443">
        <v>35</v>
      </c>
      <c r="L64" s="3443">
        <v>60</v>
      </c>
      <c r="M64" s="3444">
        <v>0</v>
      </c>
      <c r="O64" s="3348" t="s">
        <v>3115</v>
      </c>
      <c r="P64" s="3349" t="s">
        <v>3116</v>
      </c>
      <c r="Q64" s="3350" t="s">
        <v>3117</v>
      </c>
      <c r="R64" s="3350" t="s">
        <v>3118</v>
      </c>
    </row>
    <row r="65" spans="1:18" s="3202" customFormat="1" ht="13.5" thickBot="1">
      <c r="A65" s="3262" t="s">
        <v>3179</v>
      </c>
      <c r="B65" s="3423" t="s">
        <v>3071</v>
      </c>
      <c r="C65" s="3267">
        <f ca="1">ROUND(C56*F65,0)</f>
        <v>0</v>
      </c>
      <c r="D65" s="3435" t="s">
        <v>3072</v>
      </c>
      <c r="E65" s="3423" t="s">
        <v>3032</v>
      </c>
      <c r="F65" s="3298">
        <f t="shared" ca="1" si="0"/>
        <v>0</v>
      </c>
      <c r="I65" s="3442" t="s">
        <v>3180</v>
      </c>
      <c r="J65" s="3443">
        <v>40</v>
      </c>
      <c r="K65" s="3443">
        <v>30</v>
      </c>
      <c r="L65" s="3443">
        <v>50</v>
      </c>
      <c r="M65" s="3447">
        <v>0.02</v>
      </c>
      <c r="O65" s="3361" t="s">
        <v>2384</v>
      </c>
      <c r="P65" s="3362" t="s">
        <v>3121</v>
      </c>
      <c r="Q65" s="3363">
        <f ca="1">C40+J29</f>
        <v>0</v>
      </c>
      <c r="R65" s="3363" t="s">
        <v>3122</v>
      </c>
    </row>
    <row r="66" spans="1:18" s="3202" customFormat="1" ht="16.5" thickBot="1">
      <c r="A66" s="3262" t="s">
        <v>3181</v>
      </c>
      <c r="B66" s="3423" t="s">
        <v>3055</v>
      </c>
      <c r="C66" s="3267">
        <f ca="1">ROUND(C48*F66,0)</f>
        <v>0</v>
      </c>
      <c r="D66" s="3435" t="s">
        <v>3076</v>
      </c>
      <c r="E66" s="3423" t="s">
        <v>3032</v>
      </c>
      <c r="F66" s="3231">
        <f t="shared" ca="1" si="0"/>
        <v>0</v>
      </c>
      <c r="O66" s="3361" t="s">
        <v>2386</v>
      </c>
      <c r="P66" s="3362" t="s">
        <v>3157</v>
      </c>
      <c r="Q66" s="3363" t="e">
        <f ca="1">L60</f>
        <v>#DIV/0!</v>
      </c>
      <c r="R66" s="3363" t="s">
        <v>3182</v>
      </c>
    </row>
    <row r="67" spans="1:18" s="3202" customFormat="1" ht="16.5" thickBot="1">
      <c r="A67" s="3415" t="s">
        <v>3080</v>
      </c>
      <c r="B67" s="3448" t="s">
        <v>3081</v>
      </c>
      <c r="C67" s="3235">
        <f ca="1">C48-C58</f>
        <v>-2716560</v>
      </c>
      <c r="D67" s="3434" t="s">
        <v>3082</v>
      </c>
      <c r="E67" s="3449"/>
      <c r="F67" s="3450"/>
      <c r="O67" s="3383" t="s">
        <v>2388</v>
      </c>
      <c r="P67" s="3362" t="s">
        <v>3161</v>
      </c>
      <c r="Q67" s="3451">
        <f ca="1">L51</f>
        <v>-597171773</v>
      </c>
      <c r="R67" s="3363" t="s">
        <v>3183</v>
      </c>
    </row>
    <row r="68" spans="1:18" s="3202" customFormat="1" ht="16.5" thickBot="1">
      <c r="A68" s="3452" t="s">
        <v>3086</v>
      </c>
      <c r="B68" s="3453" t="s">
        <v>3107</v>
      </c>
      <c r="C68" s="3223">
        <f ca="1">ROUND(C67*(1-((1+F70)/(1+F68))^F69)/(F68-F70),0)</f>
        <v>0</v>
      </c>
      <c r="D68" s="3441" t="s">
        <v>3088</v>
      </c>
      <c r="E68" s="3423" t="s">
        <v>3089</v>
      </c>
      <c r="F68" s="3231">
        <f ca="1">F40</f>
        <v>0.05</v>
      </c>
      <c r="O68" s="3383" t="s">
        <v>2389</v>
      </c>
      <c r="P68" s="3454" t="s">
        <v>3184</v>
      </c>
      <c r="Q68" s="3363">
        <f ca="1">ROUND(Q69-Q70*Q71,0)</f>
        <v>-30205560</v>
      </c>
      <c r="R68" s="3363" t="s">
        <v>3185</v>
      </c>
    </row>
    <row r="69" spans="1:18" s="3202" customFormat="1" ht="13.5" thickBot="1">
      <c r="A69" s="3455"/>
      <c r="B69" s="3456"/>
      <c r="C69" s="3230"/>
      <c r="D69" s="3457" t="s">
        <v>3092</v>
      </c>
      <c r="E69" s="3423" t="s">
        <v>3093</v>
      </c>
      <c r="F69" s="3308">
        <f ca="1">F41</f>
        <v>0</v>
      </c>
      <c r="O69" s="3383" t="s">
        <v>2404</v>
      </c>
      <c r="P69" s="3454" t="s">
        <v>3186</v>
      </c>
      <c r="Q69" s="3363">
        <f ca="1">C39</f>
        <v>-2716560</v>
      </c>
      <c r="R69" s="3363" t="s">
        <v>3122</v>
      </c>
    </row>
    <row r="70" spans="1:18" s="3202" customFormat="1" ht="13.5" thickBot="1">
      <c r="A70" s="3458"/>
      <c r="B70" s="3459"/>
      <c r="C70" s="3255"/>
      <c r="D70" s="3446"/>
      <c r="E70" s="3423" t="s">
        <v>3097</v>
      </c>
      <c r="F70" s="3400">
        <f ca="1">F42</f>
        <v>0</v>
      </c>
      <c r="O70" s="3383" t="s">
        <v>2406</v>
      </c>
      <c r="P70" s="3454" t="s">
        <v>3187</v>
      </c>
      <c r="Q70" s="3363">
        <f ca="1">C13</f>
        <v>323400000</v>
      </c>
      <c r="R70" s="3363" t="s">
        <v>3122</v>
      </c>
    </row>
    <row r="71" spans="1:18" s="3202" customFormat="1" ht="13.5" thickBot="1">
      <c r="A71" s="3460" t="s">
        <v>3100</v>
      </c>
      <c r="B71" s="3461" t="s">
        <v>3108</v>
      </c>
      <c r="C71" s="3313">
        <f ca="1">ROUND(C68/F71,0)</f>
        <v>0</v>
      </c>
      <c r="D71" s="3462" t="s">
        <v>3109</v>
      </c>
      <c r="E71" s="3463" t="s">
        <v>3110</v>
      </c>
      <c r="F71" s="3316">
        <f ca="1">F43</f>
        <v>70000</v>
      </c>
      <c r="O71" s="3383" t="s">
        <v>2408</v>
      </c>
      <c r="P71" s="3454" t="s">
        <v>3188</v>
      </c>
      <c r="Q71" s="3392">
        <f ca="1">C76</f>
        <v>8.5000000000000006E-2</v>
      </c>
      <c r="R71" s="3363"/>
    </row>
    <row r="72" spans="1:18" s="3202" customFormat="1" ht="13.5" thickBot="1">
      <c r="B72" s="3464"/>
      <c r="C72" s="3464"/>
      <c r="O72" s="3383" t="s">
        <v>2391</v>
      </c>
      <c r="P72" s="3362" t="s">
        <v>3163</v>
      </c>
      <c r="Q72" s="3392">
        <f>L52</f>
        <v>0</v>
      </c>
      <c r="R72" s="3363"/>
    </row>
    <row r="73" spans="1:18" ht="16.5" thickBot="1">
      <c r="A73" s="3202"/>
      <c r="B73" s="3464"/>
      <c r="C73" s="3464"/>
      <c r="D73" s="3202"/>
      <c r="E73" s="3202"/>
      <c r="F73" s="3202"/>
      <c r="O73" s="3383" t="s">
        <v>2393</v>
      </c>
      <c r="P73" s="3362" t="s">
        <v>3166</v>
      </c>
      <c r="Q73" s="3363" t="e">
        <f ca="1">L58</f>
        <v>#DIV/0!</v>
      </c>
      <c r="R73" s="3363" t="s">
        <v>3167</v>
      </c>
    </row>
    <row r="74" spans="1:18" ht="13.5" thickBot="1">
      <c r="A74" s="3202"/>
      <c r="B74" s="3466" t="s">
        <v>3189</v>
      </c>
      <c r="C74" s="3467"/>
      <c r="D74" s="3202"/>
      <c r="E74" s="3202"/>
      <c r="F74" s="3202"/>
      <c r="O74" s="3383" t="s">
        <v>3190</v>
      </c>
      <c r="P74" s="3362" t="str">
        <f>K59</f>
        <v>建设期及建筑物耐用年限下的土地年期修正系数Kn</v>
      </c>
      <c r="Q74" s="3363" t="e">
        <f ca="1">L59</f>
        <v>#DIV/0!</v>
      </c>
      <c r="R74" s="3363" t="s">
        <v>3169</v>
      </c>
    </row>
    <row r="75" spans="1:18" ht="13.5" thickBot="1">
      <c r="A75" s="3202"/>
      <c r="B75" s="3468" t="s">
        <v>3191</v>
      </c>
      <c r="C75" s="3469">
        <f ca="1">ROUND(C13*C76,0)</f>
        <v>27489000</v>
      </c>
      <c r="D75" s="3202"/>
      <c r="E75" s="3202"/>
      <c r="F75" s="3202"/>
      <c r="K75" s="3337"/>
      <c r="L75" s="3202"/>
      <c r="O75" s="3361" t="s">
        <v>2396</v>
      </c>
      <c r="P75" s="3362" t="s">
        <v>3149</v>
      </c>
      <c r="Q75" s="3363" t="e">
        <f ca="1">Q65+Q66</f>
        <v>#DIV/0!</v>
      </c>
      <c r="R75" s="3363" t="s">
        <v>2397</v>
      </c>
    </row>
    <row r="76" spans="1:18">
      <c r="B76" s="3470" t="s">
        <v>3192</v>
      </c>
      <c r="C76" s="3471">
        <f ca="1">INDIRECT("'数据-取费表'!j"&amp;$G$1)</f>
        <v>8.5000000000000006E-2</v>
      </c>
      <c r="I76" s="3202"/>
      <c r="J76" s="3202"/>
      <c r="K76" s="3337"/>
      <c r="L76" s="3202"/>
    </row>
    <row r="77" spans="1:18">
      <c r="B77" s="3472" t="s">
        <v>3193</v>
      </c>
      <c r="C77" s="3473"/>
      <c r="I77" s="3202"/>
      <c r="J77" s="3202"/>
      <c r="K77" s="3337"/>
      <c r="L77" s="3202"/>
    </row>
    <row r="78" spans="1:18">
      <c r="B78" s="3474" t="s">
        <v>3194</v>
      </c>
      <c r="C78" s="3475"/>
    </row>
    <row r="79" spans="1:18">
      <c r="B79" s="3468" t="s">
        <v>3195</v>
      </c>
      <c r="C79" s="3476">
        <f ca="1">1-C80</f>
        <v>11.119</v>
      </c>
    </row>
    <row r="80" spans="1:18">
      <c r="B80" s="3468" t="s">
        <v>3196</v>
      </c>
      <c r="C80" s="3476">
        <f ca="1">ROUND(C75/C39,3)</f>
        <v>-10.119</v>
      </c>
    </row>
    <row r="81" spans="2:3">
      <c r="B81" s="3474" t="s">
        <v>3197</v>
      </c>
      <c r="C81" s="3424"/>
    </row>
    <row r="82" spans="2:3">
      <c r="B82" s="3466" t="s">
        <v>3198</v>
      </c>
      <c r="C82" s="3477" t="e">
        <f ca="1">1-C83</f>
        <v>#DIV/0!</v>
      </c>
    </row>
    <row r="83" spans="2:3">
      <c r="B83" s="3466" t="s">
        <v>3199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J13" sqref="J13"/>
    </sheetView>
  </sheetViews>
  <sheetFormatPr defaultRowHeight="13.5"/>
  <cols>
    <col min="3" max="3" width="16.375" customWidth="1"/>
    <col min="4" max="4" width="13.625" customWidth="1"/>
    <col min="5" max="5" width="14" customWidth="1"/>
  </cols>
  <sheetData>
    <row r="1" spans="1:5">
      <c r="A1" s="3479" t="s">
        <v>3201</v>
      </c>
      <c r="B1" s="3479"/>
      <c r="C1" s="3479" t="s">
        <v>3202</v>
      </c>
      <c r="D1" s="3479" t="s">
        <v>3203</v>
      </c>
      <c r="E1" s="3480"/>
    </row>
    <row r="2" spans="1:5">
      <c r="A2" s="3479" t="s">
        <v>3204</v>
      </c>
      <c r="B2" s="3480"/>
      <c r="C2" s="3480">
        <v>19142.32</v>
      </c>
      <c r="D2" s="3480">
        <f>B2+C2</f>
        <v>19142.32</v>
      </c>
      <c r="E2" s="3479" t="s">
        <v>3204</v>
      </c>
    </row>
    <row r="3" spans="1:5">
      <c r="A3" s="3479" t="s">
        <v>3205</v>
      </c>
      <c r="B3" s="3480"/>
      <c r="C3" s="3480">
        <v>80000</v>
      </c>
      <c r="D3" s="3480">
        <f t="shared" ref="D3:D8" si="0">B3+C3</f>
        <v>80000</v>
      </c>
      <c r="E3" s="3479" t="s">
        <v>3205</v>
      </c>
    </row>
    <row r="4" spans="1:5">
      <c r="A4" s="3479" t="s">
        <v>3206</v>
      </c>
      <c r="B4" s="3480"/>
      <c r="C4" s="3480">
        <v>70000</v>
      </c>
      <c r="D4" s="3480">
        <f t="shared" si="0"/>
        <v>70000</v>
      </c>
      <c r="E4" s="3479" t="s">
        <v>3206</v>
      </c>
    </row>
    <row r="5" spans="1:5">
      <c r="A5" s="3479" t="s">
        <v>3207</v>
      </c>
      <c r="B5" s="3480"/>
      <c r="C5" s="3480">
        <v>30000</v>
      </c>
      <c r="D5" s="3480">
        <f t="shared" si="0"/>
        <v>30000</v>
      </c>
      <c r="E5" s="3479" t="s">
        <v>3207</v>
      </c>
    </row>
    <row r="6" spans="1:5">
      <c r="A6" s="3479" t="s">
        <v>3208</v>
      </c>
      <c r="B6" s="3481"/>
      <c r="C6" s="3480"/>
      <c r="D6" s="3480">
        <f t="shared" si="0"/>
        <v>0</v>
      </c>
      <c r="E6" s="3479" t="s">
        <v>3208</v>
      </c>
    </row>
    <row r="7" spans="1:5">
      <c r="A7" s="3479" t="s">
        <v>3209</v>
      </c>
      <c r="B7" s="3480"/>
      <c r="C7" s="3480"/>
      <c r="D7" s="3480">
        <f t="shared" si="0"/>
        <v>0</v>
      </c>
      <c r="E7" s="3479" t="s">
        <v>3209</v>
      </c>
    </row>
    <row r="8" spans="1:5">
      <c r="A8" s="3479" t="s">
        <v>3210</v>
      </c>
      <c r="B8" s="3480"/>
      <c r="C8" s="3480"/>
      <c r="D8" s="3480">
        <f t="shared" si="0"/>
        <v>0</v>
      </c>
      <c r="E8" s="3479" t="s">
        <v>3210</v>
      </c>
    </row>
    <row r="9" spans="1:5">
      <c r="A9" s="3479" t="s">
        <v>3211</v>
      </c>
      <c r="B9" s="3480"/>
      <c r="C9" s="3482">
        <v>1934</v>
      </c>
      <c r="D9" s="3480"/>
      <c r="E9" s="3480"/>
    </row>
    <row r="10" spans="1:5">
      <c r="A10" s="3479" t="s">
        <v>3212</v>
      </c>
      <c r="B10" s="3480"/>
      <c r="C10" s="3482">
        <v>350</v>
      </c>
      <c r="D10" s="3480"/>
      <c r="E10" s="3480"/>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B39" sqref="AB39:AB4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2966</v>
      </c>
      <c r="C18" s="1555"/>
    </row>
    <row r="19" spans="1:3">
      <c r="A19" s="8" t="s">
        <v>120</v>
      </c>
      <c r="B19" s="3144" t="s">
        <v>2974</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长江联合置地有限公司拟使用湖北省武汉市江岸区澳门路与解放大道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26"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c r="D53" s="1769"/>
      <c r="E53" s="1769"/>
    </row>
    <row r="54" spans="1:5">
      <c r="A54" s="3526"/>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26"/>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26"/>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26"/>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5" width="13.6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42" t="str">
        <f>IF(B10="北京市","北京市",C10)&amp;F10&amp;B16&amp;"国有建设用地使用权"&amp;B9&amp;"预评估"</f>
        <v>湖北省武汉市江岸区澳门路与解放大道交汇处出让国有建设用地使用权抵押价格预评估</v>
      </c>
      <c r="C1" s="3543"/>
      <c r="D1" s="3543"/>
      <c r="E1" s="3543"/>
      <c r="F1" s="3543"/>
      <c r="G1" s="3543"/>
      <c r="H1" s="3543"/>
      <c r="I1" s="3544"/>
      <c r="J1" s="1694"/>
      <c r="K1" s="2480" t="str">
        <f>IF(B10="北京市","北京市",C10)&amp;F10&amp;B16&amp;"国有建设用地使用权"&amp;B9</f>
        <v>湖北省武汉市江岸区澳门路与解放大道交汇处出让国有建设用地使用权抵押价格</v>
      </c>
      <c r="L1" s="1723"/>
      <c r="M1" s="1723"/>
      <c r="N1" s="1694"/>
      <c r="O1" s="1695"/>
      <c r="P1" s="1694"/>
      <c r="Q1" s="1694"/>
      <c r="R1" s="1694"/>
      <c r="S1" s="1694"/>
      <c r="T1" s="1694"/>
      <c r="U1" s="1694"/>
    </row>
    <row r="2" spans="1:21">
      <c r="A2" s="1660" t="s">
        <v>1942</v>
      </c>
      <c r="B2" s="1842" t="s">
        <v>3215</v>
      </c>
      <c r="D2" s="1694"/>
      <c r="E2" s="1694"/>
      <c r="F2" s="1694"/>
      <c r="G2" s="1694"/>
      <c r="H2" s="1660"/>
      <c r="I2" s="1695"/>
      <c r="J2" s="1694"/>
      <c r="K2" s="2480" t="str">
        <f>IF(B10="北京市","北京市",C10)&amp;F10&amp;B16&amp;"国有建设用地使用权"</f>
        <v>湖北省武汉市江岸区澳门路与解放大道交汇处出让国有建设用地使用权</v>
      </c>
      <c r="L2" s="1723"/>
      <c r="M2" s="1723"/>
      <c r="N2" s="1694"/>
      <c r="O2" s="1695"/>
      <c r="P2" s="1694"/>
      <c r="Q2" s="1694"/>
      <c r="R2" s="1694"/>
      <c r="S2" s="1694"/>
      <c r="T2" s="1694"/>
      <c r="U2" s="1694"/>
    </row>
    <row r="3" spans="1:21">
      <c r="A3" s="1661" t="s">
        <v>1943</v>
      </c>
      <c r="B3" s="1662">
        <v>43117</v>
      </c>
      <c r="C3" s="1663" t="s">
        <v>1999</v>
      </c>
      <c r="D3" s="1662">
        <v>43117</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t="s">
        <v>3213</v>
      </c>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t="s">
        <v>3214</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t="str">
        <f>B5</f>
        <v>湖北长江联合置地有限公司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3216</v>
      </c>
      <c r="C8" s="1671"/>
      <c r="D8" s="3548" t="s">
        <v>1948</v>
      </c>
      <c r="E8" s="1844" t="s">
        <v>3217</v>
      </c>
      <c r="F8" s="1672"/>
      <c r="G8" s="1660"/>
      <c r="H8" s="1660"/>
      <c r="I8" s="1707"/>
      <c r="J8" s="1694"/>
      <c r="K8" s="1774"/>
      <c r="L8" s="1723"/>
      <c r="M8" s="1723"/>
      <c r="N8" s="1694"/>
      <c r="O8" s="1695"/>
      <c r="P8" s="1694"/>
      <c r="Q8" s="1694"/>
      <c r="R8" s="1694"/>
      <c r="S8" s="1694"/>
      <c r="T8" s="1694"/>
      <c r="U8" s="1694"/>
    </row>
    <row r="9" spans="1:21" ht="15" thickBot="1">
      <c r="A9" s="1673" t="s">
        <v>1947</v>
      </c>
      <c r="B9" s="1674" t="s">
        <v>3217</v>
      </c>
      <c r="C9" s="1675"/>
      <c r="D9" s="3549"/>
      <c r="E9" s="1674" t="s">
        <v>2861</v>
      </c>
      <c r="F9" s="1747"/>
      <c r="G9" s="1742"/>
      <c r="H9" s="1742"/>
      <c r="I9" s="1743"/>
      <c r="J9" s="1694"/>
      <c r="K9" s="1774"/>
      <c r="L9" s="1723"/>
      <c r="M9" s="1723"/>
      <c r="N9" s="1694"/>
      <c r="O9" s="1695"/>
      <c r="P9" s="1694"/>
      <c r="Q9" s="1694"/>
      <c r="R9" s="1694"/>
      <c r="S9" s="1694"/>
      <c r="T9" s="1694"/>
      <c r="U9" s="1694"/>
    </row>
    <row r="10" spans="1:21" ht="15" thickTop="1">
      <c r="A10" s="1744" t="s">
        <v>2003</v>
      </c>
      <c r="B10" s="1719" t="s">
        <v>3218</v>
      </c>
      <c r="C10" s="1676" t="s">
        <v>3219</v>
      </c>
      <c r="D10" s="1667"/>
      <c r="E10" s="1677" t="s">
        <v>1950</v>
      </c>
      <c r="F10" s="1678" t="s">
        <v>3220</v>
      </c>
      <c r="G10" s="1745"/>
      <c r="H10" s="1746"/>
      <c r="I10" s="1667"/>
      <c r="J10" s="1694"/>
      <c r="K10" s="1774"/>
      <c r="L10" s="1723"/>
      <c r="M10" s="1723"/>
      <c r="N10" s="1694"/>
      <c r="O10" s="1695"/>
      <c r="P10" s="1694"/>
      <c r="Q10" s="1694"/>
      <c r="R10" s="1694"/>
      <c r="S10" s="1694"/>
      <c r="T10" s="1694"/>
      <c r="U10" s="1694"/>
    </row>
    <row r="11" spans="1:21" ht="28.5">
      <c r="A11" s="1697" t="s">
        <v>2004</v>
      </c>
      <c r="B11" s="1698" t="s">
        <v>3221</v>
      </c>
      <c r="C11" s="1679" t="s">
        <v>3222</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45" t="s">
        <v>3223</v>
      </c>
      <c r="C12" s="3546"/>
      <c r="D12" s="3547"/>
      <c r="E12" s="1699" t="s">
        <v>2065</v>
      </c>
      <c r="F12" s="3563" t="s">
        <v>2897</v>
      </c>
      <c r="G12" s="3564"/>
      <c r="H12" s="3564"/>
      <c r="I12" s="3565"/>
      <c r="J12" s="1694"/>
      <c r="K12" s="1774"/>
      <c r="L12" s="1723"/>
      <c r="M12" s="1723"/>
      <c r="N12" s="1694"/>
      <c r="O12" s="1695"/>
      <c r="P12" s="1694"/>
      <c r="Q12" s="1694"/>
      <c r="R12" s="1694"/>
      <c r="S12" s="1694"/>
      <c r="T12" s="1694"/>
      <c r="U12" s="1694"/>
    </row>
    <row r="13" spans="1:21">
      <c r="A13" s="1687" t="s">
        <v>2063</v>
      </c>
      <c r="B13" s="3545" t="s">
        <v>3223</v>
      </c>
      <c r="C13" s="3546"/>
      <c r="D13" s="3547"/>
      <c r="E13" s="1699" t="s">
        <v>2065</v>
      </c>
      <c r="F13" s="3563" t="s">
        <v>2898</v>
      </c>
      <c r="G13" s="3564"/>
      <c r="H13" s="3564"/>
      <c r="I13" s="3565"/>
      <c r="J13" s="1694"/>
      <c r="K13" s="1774"/>
      <c r="L13" s="1723"/>
      <c r="M13" s="1723"/>
      <c r="N13" s="1694"/>
      <c r="O13" s="1695"/>
      <c r="P13" s="1694"/>
      <c r="Q13" s="1694"/>
      <c r="R13" s="1694"/>
      <c r="S13" s="1694"/>
      <c r="T13" s="1694"/>
      <c r="U13" s="1694"/>
    </row>
    <row r="14" spans="1:21">
      <c r="A14" s="1661" t="s">
        <v>2066</v>
      </c>
      <c r="B14" s="1699"/>
      <c r="C14" s="1845" t="s">
        <v>3225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3224</v>
      </c>
      <c r="C16" s="1699" t="s">
        <v>1952</v>
      </c>
      <c r="D16" s="2672" t="s">
        <v>1953</v>
      </c>
      <c r="E16" s="1722" t="s">
        <v>3200</v>
      </c>
      <c r="F16" s="1722"/>
      <c r="G16" s="1722"/>
      <c r="H16" s="1722"/>
      <c r="I16" s="1686" t="s">
        <v>1958</v>
      </c>
      <c r="J16" s="1694"/>
      <c r="K16" s="2481" t="str">
        <f>IF(D17="","",D16&amp;TEXT(D17,"yyyy年m月d日;;"))</f>
        <v>住宅2087年11月30日</v>
      </c>
      <c r="L16" s="1699" t="str">
        <f>IF(OR(K16="",M16=""),"","、")</f>
        <v>、</v>
      </c>
      <c r="M16" s="2481" t="str">
        <f>IF(E17="","",E16&amp;TEXT(E17,"yyyy年m月d日;;"))</f>
        <v>商业2057年11月30日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492">
        <v>68636</v>
      </c>
      <c r="E17" s="3492">
        <v>57679</v>
      </c>
      <c r="F17" s="1700"/>
      <c r="G17" s="1700"/>
      <c r="H17" s="1700"/>
      <c r="I17" s="1700"/>
      <c r="J17" s="1694"/>
      <c r="K17" s="2480" t="str">
        <f>CONCATENATE(K16,L16,M16,N16,O16,P16,Q16,R16,S16,T16,,U16)</f>
        <v>住宅2087年11月30日、商业2057年11月30日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69.91</v>
      </c>
      <c r="E19" s="1685">
        <f>IF(B16="出让",IF(E17="","",ROUNDDOWN(MIN((E17-$D$3)/365,E18),2)),E18)</f>
        <v>39.89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60"/>
      <c r="E20" s="3561"/>
      <c r="F20" s="3561"/>
      <c r="G20" s="3561"/>
      <c r="H20" s="3561"/>
      <c r="I20" s="3562"/>
      <c r="J20" s="1694"/>
      <c r="K20" s="1774"/>
      <c r="L20" s="1723"/>
      <c r="M20" s="1723"/>
      <c r="N20" s="1694"/>
      <c r="O20" s="1695"/>
      <c r="P20" s="1694"/>
      <c r="Q20" s="1694"/>
      <c r="R20" s="1694"/>
      <c r="S20" s="1694"/>
      <c r="T20" s="1694"/>
      <c r="U20" s="1694"/>
    </row>
    <row r="21" spans="1:21">
      <c r="A21" s="1763" t="s">
        <v>1962</v>
      </c>
      <c r="B21" s="1764" t="s">
        <v>1963</v>
      </c>
      <c r="C21" s="1759">
        <f>'数据-汇总表'!E3</f>
        <v>180000</v>
      </c>
      <c r="D21" s="1760" t="s">
        <v>1964</v>
      </c>
      <c r="E21" s="3550" t="s">
        <v>2002</v>
      </c>
      <c r="F21" s="3551"/>
      <c r="G21" s="3551"/>
      <c r="H21" s="3551"/>
      <c r="I21" s="3552"/>
      <c r="J21" s="1694"/>
      <c r="K21" s="1774"/>
      <c r="L21" s="1723"/>
      <c r="M21" s="1723"/>
      <c r="N21" s="1694"/>
      <c r="O21" s="1695"/>
      <c r="P21" s="1694"/>
      <c r="Q21" s="1694"/>
      <c r="R21" s="1694"/>
      <c r="S21" s="1694"/>
      <c r="T21" s="1694"/>
      <c r="U21" s="1694"/>
    </row>
    <row r="22" spans="1:21">
      <c r="A22" s="2663" t="s">
        <v>953</v>
      </c>
      <c r="B22" s="1661" t="s">
        <v>1965</v>
      </c>
      <c r="C22" s="1686">
        <f>'数据-汇总表'!D3</f>
        <v>19142.32</v>
      </c>
      <c r="D22" s="1687" t="s">
        <v>1964</v>
      </c>
      <c r="E22" s="3550" t="s">
        <v>2899</v>
      </c>
      <c r="F22" s="3551"/>
      <c r="G22" s="3551"/>
      <c r="H22" s="3551"/>
      <c r="I22" s="3552"/>
      <c r="J22" s="1694"/>
      <c r="K22" s="1774"/>
      <c r="L22" s="1723"/>
      <c r="M22" s="1723"/>
      <c r="N22" s="1694"/>
      <c r="O22" s="1695"/>
      <c r="P22" s="1694"/>
      <c r="Q22" s="1694"/>
      <c r="R22" s="1694"/>
      <c r="S22" s="1694"/>
      <c r="T22" s="1694"/>
      <c r="U22" s="1694"/>
    </row>
    <row r="23" spans="1:21" ht="29.25" thickBot="1">
      <c r="A23" s="1765" t="s">
        <v>1966</v>
      </c>
      <c r="B23" s="1701" t="s">
        <v>1967</v>
      </c>
      <c r="C23" s="1702" t="s">
        <v>3226</v>
      </c>
      <c r="D23" s="1703" t="s">
        <v>1968</v>
      </c>
      <c r="E23" s="1704" t="s">
        <v>3226</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53" t="s">
        <v>1970</v>
      </c>
      <c r="C24" s="3554"/>
      <c r="D24" s="3555" t="s">
        <v>1971</v>
      </c>
      <c r="E24" s="3556"/>
      <c r="F24" s="1708" t="s">
        <v>1972</v>
      </c>
      <c r="G24" s="1694"/>
      <c r="H24" s="1694"/>
      <c r="I24" s="1707"/>
      <c r="J24" s="1694"/>
      <c r="K24" s="3541"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4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4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27" t="s">
        <v>2005</v>
      </c>
      <c r="B31" s="1764" t="s">
        <v>2006</v>
      </c>
      <c r="C31" s="3566"/>
      <c r="D31" s="3567"/>
      <c r="E31" s="1694"/>
      <c r="F31" s="1694"/>
      <c r="G31" s="1694"/>
      <c r="H31" s="1694"/>
      <c r="I31" s="1707"/>
      <c r="J31" s="1694"/>
      <c r="K31" s="2483"/>
      <c r="L31" s="1694"/>
      <c r="M31" s="1694"/>
      <c r="N31" s="1694"/>
      <c r="O31" s="1694"/>
      <c r="P31" s="1694"/>
      <c r="Q31" s="1694"/>
      <c r="R31" s="1694"/>
      <c r="S31" s="1694"/>
      <c r="T31" s="1694"/>
      <c r="U31" s="1694"/>
    </row>
    <row r="32" spans="1:21">
      <c r="A32" s="3527"/>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27"/>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28"/>
      <c r="B34" s="1661" t="s">
        <v>2009</v>
      </c>
      <c r="C34" s="3529"/>
      <c r="D34" s="3530"/>
      <c r="E34" s="1694"/>
      <c r="F34" s="1694"/>
      <c r="G34" s="1694"/>
      <c r="H34" s="1694"/>
      <c r="I34" s="1707"/>
      <c r="J34" s="1694"/>
      <c r="K34" s="2483"/>
      <c r="L34" s="1694"/>
      <c r="M34" s="1694"/>
      <c r="N34" s="1694"/>
      <c r="O34" s="1694"/>
      <c r="P34" s="1694"/>
      <c r="Q34" s="1694"/>
      <c r="R34" s="1694"/>
      <c r="S34" s="1694"/>
      <c r="T34" s="1694"/>
      <c r="U34" s="1694"/>
    </row>
    <row r="35" spans="1:21">
      <c r="A35" s="3531" t="s">
        <v>848</v>
      </c>
      <c r="B35" s="1722"/>
      <c r="C35" s="1776" t="str">
        <f>IF(B35="场地平整","——","具体情况：")</f>
        <v>具体情况：</v>
      </c>
      <c r="D35" s="3533"/>
      <c r="E35" s="3534"/>
      <c r="F35" s="3534"/>
      <c r="G35" s="3534"/>
      <c r="H35" s="3534"/>
      <c r="I35" s="3535"/>
      <c r="J35" s="1694"/>
      <c r="K35" s="1775"/>
      <c r="L35" s="1723"/>
      <c r="M35" s="1723"/>
      <c r="N35" s="1694"/>
      <c r="O35" s="1695"/>
      <c r="P35" s="1694"/>
      <c r="Q35" s="1694"/>
      <c r="R35" s="1694"/>
      <c r="S35" s="1694"/>
      <c r="T35" s="1694"/>
      <c r="U35" s="1694"/>
    </row>
    <row r="36" spans="1:21">
      <c r="A36" s="3527"/>
      <c r="B36" s="3536" t="s">
        <v>2058</v>
      </c>
      <c r="C36" s="3537"/>
      <c r="D36" s="1792"/>
      <c r="E36" s="3538"/>
      <c r="F36" s="3538"/>
      <c r="G36" s="1687" t="str">
        <f>IF(B35="场地未平整","估价结果处理","")</f>
        <v/>
      </c>
      <c r="H36" s="3539"/>
      <c r="I36" s="3539"/>
      <c r="J36" s="1694"/>
      <c r="K36" s="1775"/>
      <c r="L36" s="1723"/>
      <c r="M36" s="1723"/>
      <c r="N36" s="1694"/>
      <c r="O36" s="1695"/>
      <c r="P36" s="1694"/>
      <c r="Q36" s="1694"/>
      <c r="R36" s="1694"/>
      <c r="S36" s="1694"/>
      <c r="T36" s="1694"/>
      <c r="U36" s="1694"/>
    </row>
    <row r="37" spans="1:21" ht="28.5">
      <c r="A37" s="3527"/>
      <c r="B37" s="3557"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27"/>
      <c r="B38" s="3558"/>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28"/>
      <c r="B39" s="35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40" t="s">
        <v>1989</v>
      </c>
      <c r="T40" s="1731" t="str">
        <f>NUMBERSTRING(7-K40,1)&amp;"通"</f>
        <v>七通</v>
      </c>
      <c r="U40" s="1694"/>
    </row>
    <row r="41" spans="1:21" ht="28.5">
      <c r="A41" s="1663"/>
      <c r="B41" s="3532" t="s">
        <v>1723</v>
      </c>
      <c r="C41" s="3532"/>
      <c r="D41" s="3532"/>
      <c r="E41" s="3532"/>
      <c r="F41" s="1732" t="str">
        <f>C10</f>
        <v>湖北省武汉市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40"/>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 sqref="AD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面积!D2</f>
        <v>19142.32</v>
      </c>
      <c r="B3" s="22">
        <f>IF(C3="否",G5-AT5,G5)</f>
        <v>180000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180000</v>
      </c>
      <c r="H5" s="27">
        <f t="shared" ref="H5:AT5" si="0">SUM(H13:H641)</f>
        <v>180000</v>
      </c>
      <c r="I5" s="27">
        <f t="shared" si="0"/>
        <v>80000</v>
      </c>
      <c r="J5" s="27">
        <f t="shared" si="0"/>
        <v>0</v>
      </c>
      <c r="K5" s="27">
        <f t="shared" si="0"/>
        <v>70000</v>
      </c>
      <c r="L5" s="27">
        <f t="shared" si="0"/>
        <v>0</v>
      </c>
      <c r="M5" s="27">
        <f t="shared" si="0"/>
        <v>30000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180000</v>
      </c>
      <c r="BA5" s="29">
        <f t="shared" si="1"/>
        <v>180000</v>
      </c>
      <c r="BB5" s="29">
        <f t="shared" si="1"/>
        <v>80000</v>
      </c>
      <c r="BC5" s="29">
        <f t="shared" si="1"/>
        <v>70000</v>
      </c>
      <c r="BD5" s="29">
        <f t="shared" si="1"/>
        <v>30000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19142.330000000002</v>
      </c>
      <c r="F6" s="27" t="s">
        <v>1</v>
      </c>
      <c r="G6" s="27" t="s">
        <v>2</v>
      </c>
      <c r="H6" s="33">
        <f>SUMIF(I$12:AB$12,"总值",I6:AB6)</f>
        <v>19142.330000000002</v>
      </c>
      <c r="I6" s="27">
        <f t="shared" ref="I6:AB6" si="2">ROUND($A$3*I5/$B$3,2)</f>
        <v>8507.7000000000007</v>
      </c>
      <c r="J6" s="27">
        <f t="shared" si="2"/>
        <v>0</v>
      </c>
      <c r="K6" s="27">
        <f t="shared" si="2"/>
        <v>7444.24</v>
      </c>
      <c r="L6" s="27">
        <f t="shared" si="2"/>
        <v>0</v>
      </c>
      <c r="M6" s="27">
        <f t="shared" si="2"/>
        <v>3190.39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19142.32</v>
      </c>
      <c r="AZ6" s="27" t="s">
        <v>3</v>
      </c>
      <c r="BA6" s="27">
        <f>ROUND($AY$6*BA5/$AZ$5,2)</f>
        <v>19142.32</v>
      </c>
      <c r="BB6" s="27">
        <f>ROUND($AY$6*BB5/$AZ$5,2)</f>
        <v>8507.7000000000007</v>
      </c>
      <c r="BC6" s="27">
        <f t="shared" ref="BC6:BH6" si="4">ROUND($AY$6*BC5/$AZ$5,2)</f>
        <v>7444.24</v>
      </c>
      <c r="BD6" s="27">
        <f t="shared" si="4"/>
        <v>3190.39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3227</v>
      </c>
      <c r="J9" s="51"/>
      <c r="K9" s="3045" t="s">
        <v>3227</v>
      </c>
      <c r="L9" s="51"/>
      <c r="M9" s="3045" t="s">
        <v>3227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3200</v>
      </c>
      <c r="L10" s="51"/>
      <c r="M10" s="3047" t="s">
        <v>3200</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3228</v>
      </c>
      <c r="J11" s="71"/>
      <c r="K11" s="3046" t="s">
        <v>3229</v>
      </c>
      <c r="L11" s="71"/>
      <c r="M11" s="70" t="s">
        <v>3230</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办公楼</v>
      </c>
      <c r="BD12" s="79" t="str">
        <f>M11</f>
        <v>独立商业</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1679</v>
      </c>
      <c r="D13" s="3041" t="s">
        <v>1680</v>
      </c>
      <c r="E13" s="27">
        <f t="shared" ref="E13:E20" si="6">IF($C$3="是",ROUND($A$3*G13/$B$3,2),ROUND($A$3*(G13-AT13)/$B$3,2))</f>
        <v>7444.24</v>
      </c>
      <c r="F13" s="81"/>
      <c r="G13" s="82">
        <f t="shared" ref="G13:G20" si="7">H13+AC13+AT13</f>
        <v>70000</v>
      </c>
      <c r="H13" s="33">
        <f t="shared" ref="H13:H20" si="8">SUMIF(I$12:AB$12,"总值",I13:AB13)</f>
        <v>70000</v>
      </c>
      <c r="I13" s="3044"/>
      <c r="J13" s="3044"/>
      <c r="K13" s="3044">
        <f>面积!C4</f>
        <v>70000</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办公</v>
      </c>
      <c r="AY13" s="996">
        <f t="shared" ref="AY13:AY20" si="11">ROUND($AY$6*AZ13/$AZ$5,2)</f>
        <v>7444.24</v>
      </c>
      <c r="AZ13" s="27">
        <f t="shared" ref="AZ13:AZ20" si="12">BA13+BL13</f>
        <v>70000</v>
      </c>
      <c r="BA13" s="27">
        <f t="shared" ref="BA13:BA20" si="13">SUM(BB13:BK13)</f>
        <v>70000</v>
      </c>
      <c r="BB13" s="27">
        <f t="shared" ref="BB13:BB20" si="14">IF($D13="是",I13-J13,0)</f>
        <v>0</v>
      </c>
      <c r="BC13" s="27">
        <f t="shared" ref="BC13:BC20" si="15">IF($D13="是",K13-L13,0)</f>
        <v>70000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924</v>
      </c>
      <c r="D14" s="3041" t="s">
        <v>1680</v>
      </c>
      <c r="E14" s="27">
        <f t="shared" si="6"/>
        <v>8507.7000000000007</v>
      </c>
      <c r="F14" s="81"/>
      <c r="G14" s="82">
        <f t="shared" si="7"/>
        <v>80000</v>
      </c>
      <c r="H14" s="33">
        <f t="shared" si="8"/>
        <v>80000</v>
      </c>
      <c r="I14" s="3044">
        <f>面积!D3</f>
        <v>80000</v>
      </c>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住宅</v>
      </c>
      <c r="AY14" s="996">
        <f t="shared" si="11"/>
        <v>8507.7000000000007</v>
      </c>
      <c r="AZ14" s="27">
        <f t="shared" si="12"/>
        <v>80000</v>
      </c>
      <c r="BA14" s="27">
        <f t="shared" si="13"/>
        <v>80000</v>
      </c>
      <c r="BB14" s="27">
        <f t="shared" si="14"/>
        <v>80000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3200</v>
      </c>
      <c r="D15" s="3041" t="s">
        <v>1680</v>
      </c>
      <c r="E15" s="27">
        <f t="shared" si="6"/>
        <v>3190.39</v>
      </c>
      <c r="F15" s="81"/>
      <c r="G15" s="82">
        <f t="shared" si="7"/>
        <v>30000</v>
      </c>
      <c r="H15" s="33">
        <f t="shared" si="8"/>
        <v>30000</v>
      </c>
      <c r="I15" s="3044"/>
      <c r="J15" s="3044"/>
      <c r="K15" s="3044"/>
      <c r="L15" s="3044"/>
      <c r="M15" s="3044">
        <f>面积!D5</f>
        <v>30000</v>
      </c>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商业</v>
      </c>
      <c r="AY15" s="996">
        <f t="shared" si="11"/>
        <v>3190.39</v>
      </c>
      <c r="AZ15" s="27">
        <f t="shared" si="12"/>
        <v>30000</v>
      </c>
      <c r="BA15" s="27">
        <f t="shared" si="13"/>
        <v>30000</v>
      </c>
      <c r="BB15" s="27">
        <f t="shared" si="14"/>
        <v>0</v>
      </c>
      <c r="BC15" s="27">
        <f t="shared" si="15"/>
        <v>0</v>
      </c>
      <c r="BD15" s="27">
        <f t="shared" si="16"/>
        <v>30000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8" t="s">
        <v>0</v>
      </c>
      <c r="B1" s="3568" t="s">
        <v>4</v>
      </c>
      <c r="C1" s="3568" t="s">
        <v>5</v>
      </c>
      <c r="D1" s="3569" t="s">
        <v>40</v>
      </c>
      <c r="E1" s="3569" t="s">
        <v>41</v>
      </c>
      <c r="F1" s="3569"/>
      <c r="G1" s="3569"/>
      <c r="H1" s="3569"/>
      <c r="I1" s="3569"/>
      <c r="J1" s="3569"/>
      <c r="K1" s="3569"/>
      <c r="L1" s="3569"/>
      <c r="M1" s="3569"/>
    </row>
    <row r="2" spans="1:13" ht="27"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9" t="s">
        <v>42</v>
      </c>
      <c r="B9" s="3569"/>
      <c r="C9" s="35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A22" sqref="A2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79" t="s">
        <v>203</v>
      </c>
      <c r="B2" s="3579"/>
      <c r="C2" s="3579"/>
      <c r="D2" s="1976" t="s">
        <v>204</v>
      </c>
      <c r="E2" s="106" t="s">
        <v>205</v>
      </c>
      <c r="F2" s="1985"/>
      <c r="G2" s="1198"/>
      <c r="H2" s="1199"/>
      <c r="I2" s="1200" t="s">
        <v>858</v>
      </c>
      <c r="J2" s="1985"/>
      <c r="K2" s="1985"/>
      <c r="L2" s="1985"/>
    </row>
    <row r="3" spans="1:16" ht="15.75" thickBot="1">
      <c r="A3" s="3580" t="s">
        <v>206</v>
      </c>
      <c r="B3" s="3580"/>
      <c r="C3" s="3580"/>
      <c r="D3" s="107">
        <f>'数据-基础表'!AY6</f>
        <v>19142.32</v>
      </c>
      <c r="E3" s="107">
        <f>'数据-基础表'!AZ5</f>
        <v>180000</v>
      </c>
      <c r="F3" s="1985"/>
      <c r="G3" s="280" t="s">
        <v>859</v>
      </c>
      <c r="H3" s="275" t="s">
        <v>860</v>
      </c>
      <c r="I3" s="1977">
        <f>ROUND('数据-基础表'!B3/'数据-基础表'!A3,2)</f>
        <v>9.4</v>
      </c>
      <c r="J3" s="1985"/>
      <c r="K3" s="1985"/>
      <c r="L3" s="1985"/>
    </row>
    <row r="4" spans="1:16" ht="15">
      <c r="A4" s="3581"/>
      <c r="B4" s="3582"/>
      <c r="C4" s="3583"/>
      <c r="D4" s="108" t="s">
        <v>204</v>
      </c>
      <c r="E4" s="109" t="s">
        <v>205</v>
      </c>
      <c r="F4" s="1985"/>
      <c r="G4" s="1201"/>
      <c r="H4" s="275" t="s">
        <v>861</v>
      </c>
      <c r="I4" s="1977">
        <f>ROUND(SUMIF('数据-基础表'!I9:AS9,"地上",'数据-基础表'!I5:AS5)/'数据-基础表'!A3,2)</f>
        <v>9.4</v>
      </c>
      <c r="J4" s="1985"/>
      <c r="K4" s="1985"/>
      <c r="L4" s="1985"/>
    </row>
    <row r="5" spans="1:16">
      <c r="A5" s="110" t="s">
        <v>207</v>
      </c>
      <c r="B5" s="3584" t="s">
        <v>230</v>
      </c>
      <c r="C5" s="3584"/>
      <c r="D5" s="111">
        <f>ROUND($D$3*E5/$E$3,2)</f>
        <v>8507.7000000000007</v>
      </c>
      <c r="E5" s="112">
        <f>SUMIF('数据-基础表'!$11:$11,"住宅",'数据-基础表'!$5:$5)</f>
        <v>80000</v>
      </c>
      <c r="F5" s="1985"/>
      <c r="G5" s="280" t="s">
        <v>862</v>
      </c>
      <c r="H5" s="275" t="s">
        <v>860</v>
      </c>
      <c r="I5" s="1977">
        <f>ROUND(E31/D31,2)</f>
        <v>9.4</v>
      </c>
      <c r="J5" s="1985"/>
      <c r="K5" s="1985"/>
      <c r="L5" s="1985"/>
    </row>
    <row r="6" spans="1:16" ht="15" thickBot="1">
      <c r="A6" s="113"/>
      <c r="B6" s="3584" t="s">
        <v>208</v>
      </c>
      <c r="C6" s="3584"/>
      <c r="D6" s="111">
        <f>ROUND($D$3*E6/$E$3,2)</f>
        <v>10634.62</v>
      </c>
      <c r="E6" s="112">
        <f>E3-E5</f>
        <v>100000</v>
      </c>
      <c r="F6" s="1985"/>
      <c r="G6" s="1201"/>
      <c r="H6" s="275" t="s">
        <v>861</v>
      </c>
      <c r="I6" s="1977">
        <f>ROUND(F31/D31,2)</f>
        <v>9.4</v>
      </c>
      <c r="J6" s="1985"/>
      <c r="K6" s="1985"/>
      <c r="L6" s="1985"/>
    </row>
    <row r="7" spans="1:16" ht="15">
      <c r="A7" s="3576"/>
      <c r="B7" s="3577"/>
      <c r="C7" s="3578"/>
      <c r="D7" s="108" t="s">
        <v>204</v>
      </c>
      <c r="E7" s="114" t="s">
        <v>231</v>
      </c>
      <c r="F7" s="1985"/>
      <c r="G7" s="1156" t="s">
        <v>1647</v>
      </c>
      <c r="H7" s="1157"/>
      <c r="I7" s="1847">
        <f>I5</f>
        <v>9.4</v>
      </c>
      <c r="J7" s="1985"/>
      <c r="K7" s="1985"/>
      <c r="L7" s="1985"/>
    </row>
    <row r="8" spans="1:16">
      <c r="A8" s="110" t="s">
        <v>209</v>
      </c>
      <c r="B8" s="115" t="s">
        <v>210</v>
      </c>
      <c r="C8" s="111" t="s">
        <v>211</v>
      </c>
      <c r="D8" s="111">
        <f t="shared" ref="D8:D15" si="0">ROUND($D$3*E8/$E$3,2)</f>
        <v>19142.32</v>
      </c>
      <c r="E8" s="116">
        <f>SUMIF('数据-基础表'!BB10:BK10,"地上",'数据-基础表'!BB5:BK5)</f>
        <v>180000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19142.32</v>
      </c>
      <c r="E16" s="120">
        <f>SUM(E8:E15)</f>
        <v>180000</v>
      </c>
      <c r="F16" s="1985"/>
      <c r="G16" s="1987"/>
      <c r="H16" s="968" t="s">
        <v>219</v>
      </c>
      <c r="I16" s="969"/>
      <c r="J16" s="1985"/>
      <c r="K16" s="3570" t="s">
        <v>2573</v>
      </c>
      <c r="L16" s="3571"/>
      <c r="M16" s="3571"/>
      <c r="N16" s="3571"/>
      <c r="O16" s="3571"/>
      <c r="P16" s="3572"/>
    </row>
    <row r="17" spans="1:19" ht="15">
      <c r="A17" s="121" t="s">
        <v>216</v>
      </c>
      <c r="B17" s="122" t="s">
        <v>217</v>
      </c>
      <c r="C17" s="2299" t="s">
        <v>2317</v>
      </c>
      <c r="D17" s="108" t="s">
        <v>204</v>
      </c>
      <c r="E17" s="124" t="s">
        <v>205</v>
      </c>
      <c r="F17" s="125"/>
      <c r="G17" s="1366"/>
      <c r="H17" s="970" t="s">
        <v>218</v>
      </c>
      <c r="I17" s="971" t="s">
        <v>2316</v>
      </c>
      <c r="J17" s="1985"/>
      <c r="K17" s="3573" t="s">
        <v>2574</v>
      </c>
      <c r="L17" s="3574"/>
      <c r="M17" s="3575"/>
      <c r="N17" s="3573" t="s">
        <v>2575</v>
      </c>
      <c r="O17" s="3574"/>
      <c r="P17" s="3575"/>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1679</v>
      </c>
      <c r="D19" s="111">
        <f t="shared" ref="D19:D26" si="1">ROUND($D$3*E19/$E$3,2)</f>
        <v>7444.24</v>
      </c>
      <c r="E19" s="134">
        <f t="shared" ref="E19:E26" si="2">SUM(F19:G19)</f>
        <v>70000</v>
      </c>
      <c r="F19" s="135">
        <f>'数据-基础表'!K13</f>
        <v>70000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7444.24</v>
      </c>
      <c r="S19" s="2302">
        <f t="shared" si="5"/>
        <v>70000</v>
      </c>
    </row>
    <row r="20" spans="1:19">
      <c r="A20" s="138"/>
      <c r="B20" s="115" t="s">
        <v>226</v>
      </c>
      <c r="C20" s="3051" t="s">
        <v>924</v>
      </c>
      <c r="D20" s="111">
        <f t="shared" si="1"/>
        <v>8507.7000000000007</v>
      </c>
      <c r="E20" s="134">
        <f t="shared" si="2"/>
        <v>80000</v>
      </c>
      <c r="F20" s="135">
        <f>'数据-基础表'!I14</f>
        <v>80000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8507.7000000000007</v>
      </c>
      <c r="S20" s="2302">
        <f t="shared" si="5"/>
        <v>80000</v>
      </c>
    </row>
    <row r="21" spans="1:19">
      <c r="A21" s="138"/>
      <c r="B21" s="115" t="s">
        <v>226</v>
      </c>
      <c r="C21" s="3051" t="s">
        <v>3200</v>
      </c>
      <c r="D21" s="111">
        <f t="shared" si="1"/>
        <v>3190.39</v>
      </c>
      <c r="E21" s="134">
        <f t="shared" si="2"/>
        <v>30000</v>
      </c>
      <c r="F21" s="135">
        <f>'数据-基础表'!M15</f>
        <v>30000</v>
      </c>
      <c r="G21" s="1368"/>
      <c r="H21" s="974">
        <f t="shared" si="6"/>
        <v>0</v>
      </c>
      <c r="I21" s="116">
        <f t="shared" si="7"/>
        <v>0</v>
      </c>
      <c r="J21" s="1985"/>
      <c r="K21" s="2633">
        <f t="shared" si="3"/>
        <v>0</v>
      </c>
      <c r="L21" s="275">
        <f t="shared" si="4"/>
        <v>0</v>
      </c>
      <c r="M21" s="2634">
        <f t="shared" si="8"/>
        <v>0</v>
      </c>
      <c r="N21" s="2635"/>
      <c r="O21" s="2636"/>
      <c r="P21" s="2637">
        <f t="shared" si="9"/>
        <v>0</v>
      </c>
      <c r="R21" s="275">
        <f t="shared" si="5"/>
        <v>3190.39</v>
      </c>
      <c r="S21" s="2302">
        <f t="shared" si="5"/>
        <v>30000</v>
      </c>
    </row>
    <row r="22" spans="1:19" hidden="1">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hidden="1">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hidden="1">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19142.330000000002</v>
      </c>
      <c r="E27" s="143">
        <f>IF(SUM(E19:E26)='数据-基础表'!BA5,SUM(E19:E26),IF(F27="地上面积有误","面积有误","地下面积有误"))</f>
        <v>180000</v>
      </c>
      <c r="F27" s="134">
        <f>IF(SUM(F19:F26)=E8,SUM(F19:F26),"地上面积有误")</f>
        <v>180000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19142.33误差0.01</v>
      </c>
      <c r="S27" s="275">
        <f>IF(SUM(S19:S26)=$E$3,SUM(S19:S26),SUM(S19:S26)&amp;"误差"&amp;ROUND(SUM(S19:S26)-E3,2))</f>
        <v>180000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19142.330000000002</v>
      </c>
      <c r="E31" s="1372">
        <f>E27+E30</f>
        <v>180000</v>
      </c>
      <c r="F31" s="1373">
        <f>F27+F30</f>
        <v>180000</v>
      </c>
      <c r="G31" s="1374">
        <f>G27+G30</f>
        <v>0</v>
      </c>
      <c r="H31" s="1985"/>
      <c r="I31" s="1985"/>
      <c r="J31" s="1985"/>
      <c r="K31" s="1985"/>
      <c r="L31" s="1985"/>
    </row>
    <row r="32" spans="1:19">
      <c r="A32" s="1985"/>
      <c r="B32" s="2364" t="s">
        <v>2325</v>
      </c>
      <c r="C32" s="2673"/>
      <c r="D32" s="1201"/>
      <c r="E32" s="1201">
        <f>SUMIF(C19:C26,"*住宅*",E19:E26)</f>
        <v>80000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I27" sqref="AI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43117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3200</v>
      </c>
      <c r="D6" s="2309">
        <f>SUMIF(项目基本情况!D$15:I$15,C6,项目基本情况!D$18:I$18)</f>
        <v>40</v>
      </c>
      <c r="E6" s="2310">
        <f>IF(B6="","",SUMIF(项目基本情况!D$15:I$15,C6,项目基本情况!D$17:I$17))</f>
        <v>57679</v>
      </c>
      <c r="F6" s="174">
        <f>SUMIF(项目基本情况!D$15:I$15,C6,项目基本情况!D$19:I$19)</f>
        <v>39.89</v>
      </c>
      <c r="G6" s="175">
        <f>IF(ISERROR(ROUND(POWER(1+H6,D6-F6)*(POWER(1+H6,F6)-1)/(POWER(1+H6,D6)-1),3)),0,ROUND(POWER(1+H6,D6-F6)*(POWER(1+H6,F6)-1)/(POWER(1+H6,D6)-1),3))</f>
        <v>0.999</v>
      </c>
      <c r="H6" s="3052">
        <v>0.04</v>
      </c>
      <c r="I6" s="3052">
        <v>0.05</v>
      </c>
      <c r="J6" s="176">
        <v>8.5000000000000006E-2</v>
      </c>
      <c r="K6" s="179">
        <f>SUMIF('数据-汇总表'!C$19:C$33,'数据-取费表'!A6,'数据-汇总表'!E$19:E$33)</f>
        <v>70000</v>
      </c>
      <c r="L6" s="3053">
        <v>4200</v>
      </c>
      <c r="M6" s="177">
        <f t="shared" ref="M6:M14" si="0">ROUND(K6*L6/10000,0)</f>
        <v>29400</v>
      </c>
      <c r="N6" s="3054">
        <v>0</v>
      </c>
      <c r="O6" s="177">
        <f>IF($N$5="成新度","——",ROUND(M6*N6,0))</f>
        <v>0</v>
      </c>
      <c r="P6" s="178">
        <f>IF($N$5="成新度","——",M6-O6)</f>
        <v>29400</v>
      </c>
      <c r="Q6" s="3055">
        <v>0.1</v>
      </c>
      <c r="R6" s="179">
        <f>SUMIF('数据-汇总表'!C$19:C$33,A6,'数据-汇总表'!R$19:R$33)</f>
        <v>7444.24</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0.79100000000000004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住宅</v>
      </c>
      <c r="B7" s="2338" t="str">
        <f t="shared" ref="B7:B13" si="1">IF(A7=0,"","经营性")</f>
        <v>经营性</v>
      </c>
      <c r="C7" s="173" t="s">
        <v>924</v>
      </c>
      <c r="D7" s="2309">
        <f>SUMIF(项目基本情况!D$15:I$15,C7,项目基本情况!D$18:I$18)</f>
        <v>70</v>
      </c>
      <c r="E7" s="2310">
        <f>IF(B7="","",SUMIF(项目基本情况!D$15:I$15,C7,项目基本情况!D$17:I$17))</f>
        <v>68636</v>
      </c>
      <c r="F7" s="174">
        <f>SUMIF(项目基本情况!D$15:I$15,C7,项目基本情况!D$19:I$19)</f>
        <v>69.91</v>
      </c>
      <c r="G7" s="175">
        <f t="shared" ref="G7:G11" si="2">IF(ISERROR(ROUND(POWER(1+H7,D7-F7)*(POWER(1+H7,F7)-1)/(POWER(1+H7,D7)-1),3)),0,ROUND(POWER(1+H7,D7-F7)*(POWER(1+H7,F7)-1)/(POWER(1+H7,D7)-1),3))</f>
        <v>1</v>
      </c>
      <c r="H7" s="3052">
        <v>4.4999999999999998E-2</v>
      </c>
      <c r="I7" s="3052">
        <v>5.5E-2</v>
      </c>
      <c r="J7" s="176">
        <v>8.5000000000000006E-2</v>
      </c>
      <c r="K7" s="179">
        <f>SUMIF('数据-汇总表'!C$19:C$33,'数据-取费表'!A7,'数据-汇总表'!E$19:E$33)</f>
        <v>80000</v>
      </c>
      <c r="L7" s="3053">
        <v>4000</v>
      </c>
      <c r="M7" s="177">
        <f t="shared" si="0"/>
        <v>32000</v>
      </c>
      <c r="N7" s="3054">
        <v>0</v>
      </c>
      <c r="O7" s="177">
        <f t="shared" ref="O7:O14" si="3">IF($N$5="成新度","——",ROUND(M7*N7,0))</f>
        <v>0</v>
      </c>
      <c r="P7" s="178">
        <f t="shared" ref="P7:P14" si="4">IF($N$5="成新度","——",M7-O7)</f>
        <v>32000</v>
      </c>
      <c r="Q7" s="3055">
        <v>0.15</v>
      </c>
      <c r="R7" s="179">
        <f>SUMIF('数据-汇总表'!C$19:C$33,A7,'数据-汇总表'!R$19:R$33)</f>
        <v>8507.7000000000007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3200</v>
      </c>
      <c r="D8" s="2309">
        <f>SUMIF(项目基本情况!D$15:I$15,C8,项目基本情况!D$18:I$18)</f>
        <v>40</v>
      </c>
      <c r="E8" s="2310">
        <f>IF(B8="","",SUMIF(项目基本情况!D$15:I$15,C8,项目基本情况!D$17:I$17))</f>
        <v>57679</v>
      </c>
      <c r="F8" s="174">
        <f>SUMIF(项目基本情况!D$15:I$15,C8,项目基本情况!D$19:I$19)</f>
        <v>39.89</v>
      </c>
      <c r="G8" s="175">
        <f t="shared" si="2"/>
        <v>0.999</v>
      </c>
      <c r="H8" s="3052">
        <v>0.04</v>
      </c>
      <c r="I8" s="3052">
        <v>0.05</v>
      </c>
      <c r="J8" s="176">
        <v>8.5000000000000006E-2</v>
      </c>
      <c r="K8" s="179">
        <f>SUMIF('数据-汇总表'!C$19:C$33,'数据-取费表'!A8,'数据-汇总表'!E$19:E$33)</f>
        <v>30000</v>
      </c>
      <c r="L8" s="3053">
        <v>4200</v>
      </c>
      <c r="M8" s="177">
        <f>ROUND(K8*L8/10000,0)</f>
        <v>12600</v>
      </c>
      <c r="N8" s="3054">
        <v>0</v>
      </c>
      <c r="O8" s="177">
        <f t="shared" si="3"/>
        <v>0</v>
      </c>
      <c r="P8" s="178">
        <f t="shared" si="4"/>
        <v>12600</v>
      </c>
      <c r="Q8" s="3055">
        <v>0.15</v>
      </c>
      <c r="R8" s="179">
        <f>SUMIF('数据-汇总表'!C$19:C$33,A8,'数据-汇总表'!R$19:R$33)</f>
        <v>3190.39</v>
      </c>
      <c r="S8" s="132">
        <f>IF('数据-汇总表'!$I$17="按面积比例",SUMIF('数据-汇总表'!C$19:C$33,A8,'数据-汇总表'!K$19:K$33),SUMIF('数据-汇总表'!C$19:C$33,A8,'数据-汇总表'!N$19:N$33))</f>
        <v>0</v>
      </c>
      <c r="T8" s="2235" t="str">
        <f t="shared" si="5"/>
        <v>0</v>
      </c>
      <c r="U8" s="180">
        <f>P26</f>
        <v>6.25</v>
      </c>
      <c r="V8" s="181">
        <v>0.03</v>
      </c>
      <c r="W8" s="181">
        <v>0.15</v>
      </c>
      <c r="X8" s="2322"/>
      <c r="Y8" s="182">
        <v>1</v>
      </c>
      <c r="Z8" s="183"/>
      <c r="AA8" s="176"/>
      <c r="AB8" s="176"/>
      <c r="AC8" s="2325"/>
      <c r="AD8" s="184"/>
      <c r="AE8" s="972">
        <f t="shared" ca="1" si="6"/>
        <v>37.39</v>
      </c>
      <c r="AF8" s="141"/>
      <c r="AG8" s="1213">
        <f t="shared" si="7"/>
        <v>0</v>
      </c>
      <c r="AH8" s="141"/>
      <c r="AI8" s="187">
        <v>365</v>
      </c>
      <c r="AJ8" s="188"/>
      <c r="AK8" s="189">
        <v>0.02</v>
      </c>
      <c r="AL8" s="3793">
        <v>2E-3</v>
      </c>
      <c r="AM8" s="2415">
        <v>0.02</v>
      </c>
      <c r="AN8" s="2417" t="s">
        <v>3236</v>
      </c>
      <c r="AO8" s="2001"/>
      <c r="AP8" s="1204">
        <f t="shared" si="8"/>
        <v>0.79100000000000004</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180000</v>
      </c>
      <c r="L16" s="206">
        <f>ROUND(M16*10000/SUM(K6:K14),0)</f>
        <v>4111</v>
      </c>
      <c r="M16" s="206">
        <f>SUM(M6:M14)</f>
        <v>74000</v>
      </c>
      <c r="N16" s="207">
        <f>ROUND(SUMPRODUCT(M6:M14,N6:N14)/M16,3)</f>
        <v>0</v>
      </c>
      <c r="O16" s="206">
        <f>SUM(O6:O14)</f>
        <v>0</v>
      </c>
      <c r="P16" s="206">
        <f>SUM(P6:P14)</f>
        <v>74000</v>
      </c>
      <c r="Q16" s="208">
        <f>ROUND(SUMPRODUCT(Q6:Q13,K6:K13)/SUMPRODUCT((Q6:Q13&gt;0)*(K6:K13)),2)</f>
        <v>0.13</v>
      </c>
      <c r="R16" s="2312">
        <f>SUM(R6:R13)</f>
        <v>19142.330000000002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0.86299999999999999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t="s">
        <v>3233</v>
      </c>
      <c r="O21" s="1990" t="s">
        <v>3234</v>
      </c>
      <c r="P21" s="1990" t="s">
        <v>2863</v>
      </c>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v>1</v>
      </c>
      <c r="O22" s="1990">
        <v>1</v>
      </c>
      <c r="P22" s="3491">
        <v>10</v>
      </c>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v>2</v>
      </c>
      <c r="O23" s="1990">
        <v>0.6</v>
      </c>
      <c r="P23" s="1990">
        <f>$P$22*O23</f>
        <v>6</v>
      </c>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v>3</v>
      </c>
      <c r="O24" s="1990">
        <v>0.5</v>
      </c>
      <c r="P24" s="1990">
        <f t="shared" ref="P24:P25" si="9">$P$22*O24</f>
        <v>5</v>
      </c>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v>4</v>
      </c>
      <c r="O25" s="1990">
        <v>0.4</v>
      </c>
      <c r="P25" s="1990">
        <f t="shared" si="9"/>
        <v>4</v>
      </c>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t="s">
        <v>3235</v>
      </c>
      <c r="O26" s="1990"/>
      <c r="P26" s="1990">
        <f>ROUND((P22+P23+P24+P25)/4,2)</f>
        <v>6.25</v>
      </c>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120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2.5000000000000001E-2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3231</v>
      </c>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3232</v>
      </c>
      <c r="B54" s="186">
        <v>20</v>
      </c>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2915</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5" t="s">
        <v>1665</v>
      </c>
      <c r="B1" s="3586"/>
      <c r="C1" s="3586"/>
      <c r="D1" s="3586"/>
      <c r="E1" s="3586"/>
      <c r="F1" s="3586"/>
      <c r="G1" s="3586"/>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2929</v>
      </c>
      <c r="D3" s="2010"/>
      <c r="E3" s="1229" t="s">
        <v>1668</v>
      </c>
      <c r="F3" s="1230" t="s">
        <v>1656</v>
      </c>
      <c r="G3" s="3112" t="s">
        <v>2928</v>
      </c>
      <c r="H3" s="2009"/>
      <c r="I3" s="2009"/>
      <c r="J3" s="2009"/>
      <c r="K3" s="2009"/>
      <c r="L3" s="2009"/>
      <c r="M3" s="2009"/>
      <c r="N3" s="2009"/>
      <c r="O3" s="2009"/>
      <c r="P3" s="2009"/>
      <c r="Q3" s="2009"/>
      <c r="R3" s="2009"/>
    </row>
    <row r="4" spans="1:18" ht="41.25">
      <c r="A4" s="1229"/>
      <c r="B4" s="1231" t="s">
        <v>1669</v>
      </c>
      <c r="C4" s="3109" t="s">
        <v>2930</v>
      </c>
      <c r="D4" s="2010"/>
      <c r="E4" s="1232"/>
      <c r="F4" s="1233" t="s">
        <v>1670</v>
      </c>
      <c r="G4" s="3110" t="s">
        <v>2925</v>
      </c>
      <c r="H4" s="2009"/>
      <c r="I4" s="2009"/>
      <c r="J4" s="2009"/>
      <c r="K4" s="2009"/>
      <c r="L4" s="2009"/>
      <c r="M4" s="2009"/>
      <c r="N4" s="2009"/>
      <c r="O4" s="2009"/>
      <c r="P4" s="2009"/>
      <c r="Q4" s="2009"/>
      <c r="R4" s="2009"/>
    </row>
    <row r="5" spans="1:18" ht="41.25">
      <c r="A5" s="1229"/>
      <c r="B5" s="1231" t="s">
        <v>1671</v>
      </c>
      <c r="C5" s="3109" t="s">
        <v>2931</v>
      </c>
      <c r="D5" s="2010"/>
      <c r="E5" s="1232"/>
      <c r="F5" s="1231" t="s">
        <v>2553</v>
      </c>
      <c r="G5" s="3110" t="s">
        <v>2926</v>
      </c>
      <c r="H5" s="2009"/>
      <c r="I5" s="2009"/>
      <c r="J5" s="2009"/>
      <c r="K5" s="2009"/>
      <c r="L5" s="2009"/>
      <c r="M5" s="2009"/>
      <c r="N5" s="2009"/>
      <c r="O5" s="2009"/>
      <c r="P5" s="2009"/>
      <c r="Q5" s="2009"/>
      <c r="R5" s="2009"/>
    </row>
    <row r="6" spans="1:18" ht="54">
      <c r="A6" s="1229"/>
      <c r="B6" s="1231" t="s">
        <v>1657</v>
      </c>
      <c r="C6" s="3110" t="s">
        <v>2925</v>
      </c>
      <c r="D6" s="2010"/>
      <c r="E6" s="1232"/>
      <c r="F6" s="1231" t="s">
        <v>2554</v>
      </c>
      <c r="G6" s="3110" t="s">
        <v>2923</v>
      </c>
      <c r="H6" s="2009"/>
      <c r="I6" s="2009"/>
      <c r="J6" s="2009"/>
      <c r="K6" s="2009"/>
      <c r="L6" s="2009"/>
      <c r="M6" s="2009"/>
      <c r="N6" s="2009"/>
      <c r="O6" s="2009"/>
      <c r="P6" s="2009"/>
      <c r="Q6" s="2009"/>
      <c r="R6" s="2009"/>
    </row>
    <row r="7" spans="1:18" ht="41.25" thickBot="1">
      <c r="A7" s="1229"/>
      <c r="B7" s="1231" t="s">
        <v>2553</v>
      </c>
      <c r="C7" s="3110" t="s">
        <v>2926</v>
      </c>
      <c r="D7" s="2011"/>
      <c r="E7" s="1234"/>
      <c r="F7" s="1235" t="s">
        <v>1672</v>
      </c>
      <c r="G7" s="3113" t="s">
        <v>2927</v>
      </c>
      <c r="H7" s="2009"/>
      <c r="I7" s="2009"/>
      <c r="J7" s="2009"/>
      <c r="K7" s="2009"/>
      <c r="L7" s="2009"/>
      <c r="M7" s="2009"/>
      <c r="N7" s="2009"/>
      <c r="O7" s="2009"/>
      <c r="P7" s="2009"/>
      <c r="Q7" s="2009"/>
      <c r="R7" s="2009"/>
    </row>
    <row r="8" spans="1:18" ht="27">
      <c r="A8" s="1229"/>
      <c r="B8" s="1231" t="s">
        <v>2554</v>
      </c>
      <c r="C8" s="3110" t="s">
        <v>2923</v>
      </c>
      <c r="D8" s="2011"/>
      <c r="E8" s="2011"/>
      <c r="F8" s="1554"/>
      <c r="G8" s="1554"/>
      <c r="H8" s="2009"/>
      <c r="I8" s="2009"/>
      <c r="J8" s="2009"/>
      <c r="K8" s="2009"/>
      <c r="L8" s="2009"/>
      <c r="M8" s="2009"/>
      <c r="N8" s="2009"/>
      <c r="O8" s="2009"/>
      <c r="P8" s="2009"/>
      <c r="Q8" s="2009"/>
      <c r="R8" s="2009"/>
    </row>
    <row r="9" spans="1:18" ht="40.5">
      <c r="A9" s="1229"/>
      <c r="B9" s="1231" t="s">
        <v>1658</v>
      </c>
      <c r="C9" s="3109" t="s">
        <v>2924</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2851</v>
      </c>
      <c r="B1" s="3072">
        <f>SUM(B14:B23)</f>
        <v>180000</v>
      </c>
      <c r="C1" s="3073"/>
      <c r="D1" s="3073"/>
      <c r="E1" s="3073"/>
      <c r="F1" s="3073"/>
    </row>
    <row r="2" spans="1:9" ht="16.5">
      <c r="A2" s="3072" t="s">
        <v>2852</v>
      </c>
      <c r="B2" s="3072">
        <f>SUM(C14:C23)</f>
        <v>19142.32</v>
      </c>
      <c r="C2" s="3073"/>
      <c r="D2" s="3073"/>
      <c r="E2" s="3073"/>
      <c r="F2" s="3073"/>
    </row>
    <row r="3" spans="1:9" ht="16.5">
      <c r="A3" s="3072" t="s">
        <v>2853</v>
      </c>
      <c r="B3" s="3074">
        <f>项目基本情况!D3</f>
        <v>43117</v>
      </c>
      <c r="C3" s="3073"/>
      <c r="D3" s="3073"/>
      <c r="E3" s="3073"/>
      <c r="F3" s="3073"/>
    </row>
    <row r="4" spans="1:9" ht="33">
      <c r="A4" s="3072" t="s">
        <v>2854</v>
      </c>
      <c r="B4" s="3072" t="s">
        <v>2855</v>
      </c>
      <c r="C4" s="3072" t="s">
        <v>2856</v>
      </c>
      <c r="D4" s="3072" t="s">
        <v>2857</v>
      </c>
      <c r="E4" s="3073"/>
      <c r="F4" s="3073"/>
    </row>
    <row r="5" spans="1:9" ht="16.5">
      <c r="A5" s="3072" t="s">
        <v>2858</v>
      </c>
      <c r="B5" s="3072">
        <f ca="1">SUM(D14:D23)</f>
        <v>338745</v>
      </c>
      <c r="C5" s="3072">
        <f ca="1">ROUND(B5*10000/$B$1,0)</f>
        <v>18819</v>
      </c>
      <c r="D5" s="3072">
        <f ca="1">ROUND(B5*10000/$B$2,0)</f>
        <v>176961</v>
      </c>
      <c r="E5" s="3073"/>
      <c r="F5" s="3073"/>
    </row>
    <row r="6" spans="1:9" ht="16.5">
      <c r="A6" s="3072" t="s">
        <v>2859</v>
      </c>
      <c r="B6" s="3072">
        <f ca="1">SUM(G14:G23)</f>
        <v>338745</v>
      </c>
      <c r="C6" s="3072">
        <f t="shared" ref="C6:C8" ca="1" si="0">ROUND(B6*10000/$B$1,0)</f>
        <v>18819</v>
      </c>
      <c r="D6" s="3072">
        <f t="shared" ref="D6:D8" ca="1" si="1">ROUND(B6*10000/$B$2,0)</f>
        <v>176961</v>
      </c>
      <c r="E6" s="3073"/>
      <c r="F6" s="3073"/>
    </row>
    <row r="7" spans="1:9" ht="16.5">
      <c r="A7" s="3072" t="s">
        <v>2860</v>
      </c>
      <c r="B7" s="3072">
        <f>SUM(H14:H23)</f>
        <v>0</v>
      </c>
      <c r="C7" s="3072">
        <f t="shared" si="0"/>
        <v>0</v>
      </c>
      <c r="D7" s="3072">
        <f t="shared" si="1"/>
        <v>0</v>
      </c>
      <c r="E7" s="3073"/>
      <c r="F7" s="3073"/>
    </row>
    <row r="8" spans="1:9" ht="16.5">
      <c r="A8" s="3072" t="s">
        <v>2861</v>
      </c>
      <c r="B8" s="3072">
        <f ca="1">SUM(I14:I23)</f>
        <v>307033</v>
      </c>
      <c r="C8" s="3072">
        <f t="shared" ca="1" si="0"/>
        <v>17057</v>
      </c>
      <c r="D8" s="3072">
        <f t="shared" ca="1" si="1"/>
        <v>160395</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180000</v>
      </c>
      <c r="C14" s="3076">
        <f>结果表!K38</f>
        <v>19142.32</v>
      </c>
      <c r="D14" s="3076">
        <f ca="1">结果表!C42</f>
        <v>338745</v>
      </c>
      <c r="E14" s="3076">
        <f ca="1">ROUND(D14*10000/B14,0)</f>
        <v>18819</v>
      </c>
      <c r="F14" s="3076">
        <f ca="1">ROUND(D14*10000/C14,0)</f>
        <v>176961</v>
      </c>
      <c r="G14" s="3076">
        <f ca="1">结果表!C44</f>
        <v>338745</v>
      </c>
      <c r="H14" s="3076" t="str">
        <f>结果表!C45</f>
        <v>——</v>
      </c>
      <c r="I14" s="3076">
        <f ca="1">结果表!C46</f>
        <v>307033</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3240</v>
      </c>
      <c r="E1" s="1806" t="s">
        <v>2061</v>
      </c>
      <c r="F1" s="1808" t="s">
        <v>3241</v>
      </c>
      <c r="G1" s="311"/>
      <c r="H1" s="311"/>
      <c r="I1" s="311"/>
      <c r="J1" s="2030"/>
      <c r="K1" s="2030"/>
      <c r="L1" s="2030"/>
      <c r="M1" s="2030"/>
      <c r="N1" s="2030"/>
      <c r="O1" s="2030"/>
      <c r="P1" s="2030"/>
      <c r="Q1" s="2030"/>
      <c r="R1" s="2030"/>
      <c r="S1" s="2030"/>
      <c r="T1" s="2030"/>
      <c r="U1" s="2030"/>
      <c r="V1" s="2030"/>
    </row>
    <row r="2" spans="1:22" ht="21.75" customHeight="1" thickBot="1">
      <c r="A2" s="3623" t="str">
        <f>项目基本情况!K2</f>
        <v>湖北省武汉市江岸区澳门路与解放大道交汇处出让国有建设用地使用权</v>
      </c>
      <c r="B2" s="3624"/>
      <c r="C2" s="3625"/>
      <c r="D2" s="3625"/>
      <c r="E2" s="3625"/>
      <c r="F2" s="3625"/>
      <c r="G2" s="3624"/>
      <c r="H2" s="3624"/>
      <c r="I2" s="3626"/>
      <c r="J2" s="2031"/>
      <c r="K2" s="2030"/>
      <c r="L2" s="2030"/>
      <c r="M2" s="2030"/>
      <c r="N2" s="2030"/>
      <c r="O2" s="2030"/>
      <c r="P2" s="2030"/>
      <c r="Q2" s="2030"/>
      <c r="R2" s="2030"/>
      <c r="S2" s="2030"/>
      <c r="T2" s="2030"/>
      <c r="U2" s="2030"/>
      <c r="V2" s="2030"/>
    </row>
    <row r="3" spans="1:22" ht="14.25">
      <c r="A3" s="3616" t="s">
        <v>298</v>
      </c>
      <c r="B3" s="3617"/>
      <c r="C3" s="3617"/>
      <c r="D3" s="3617"/>
      <c r="E3" s="3617"/>
      <c r="F3" s="3617"/>
      <c r="G3" s="3617"/>
      <c r="H3" s="3617"/>
      <c r="I3" s="3617"/>
      <c r="J3" s="2031"/>
      <c r="K3" s="2030"/>
      <c r="L3" s="2030"/>
      <c r="M3" s="2030"/>
      <c r="N3" s="2030"/>
      <c r="O3" s="2030"/>
      <c r="P3" s="2030"/>
      <c r="Q3" s="2030"/>
      <c r="R3" s="2030"/>
      <c r="S3" s="2030"/>
      <c r="T3" s="2030"/>
      <c r="U3" s="2030"/>
      <c r="V3" s="2030"/>
    </row>
    <row r="4" spans="1:22" ht="14.25">
      <c r="A4" s="258" t="s">
        <v>299</v>
      </c>
      <c r="B4" s="259" t="s">
        <v>300</v>
      </c>
      <c r="C4" s="260" t="s">
        <v>3242</v>
      </c>
      <c r="D4" s="260" t="s">
        <v>3243</v>
      </c>
      <c r="E4" s="3588" t="s">
        <v>301</v>
      </c>
      <c r="F4" s="3589"/>
      <c r="G4" s="3589"/>
      <c r="H4" s="3589"/>
      <c r="I4" s="361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587" t="s">
        <v>302</v>
      </c>
      <c r="B5" s="3613">
        <v>25</v>
      </c>
      <c r="C5" s="3611"/>
      <c r="D5" s="3615"/>
      <c r="E5" s="261" t="s">
        <v>303</v>
      </c>
      <c r="F5" s="262"/>
      <c r="G5" s="262"/>
      <c r="H5" s="262"/>
      <c r="I5" s="263"/>
      <c r="J5" s="2031"/>
      <c r="K5" s="2030"/>
      <c r="L5" s="2030"/>
      <c r="M5" s="2030"/>
      <c r="N5" s="2030"/>
      <c r="O5" s="2030"/>
      <c r="P5" s="2030"/>
      <c r="Q5" s="2030"/>
      <c r="R5" s="2030"/>
      <c r="S5" s="2030"/>
      <c r="T5" s="2030"/>
      <c r="U5" s="2030"/>
      <c r="V5" s="2030"/>
    </row>
    <row r="6" spans="1:22" ht="14.25">
      <c r="A6" s="3587"/>
      <c r="B6" s="3613"/>
      <c r="C6" s="3614"/>
      <c r="D6" s="3615"/>
      <c r="E6" s="261" t="s">
        <v>304</v>
      </c>
      <c r="F6" s="262"/>
      <c r="G6" s="262"/>
      <c r="H6" s="262"/>
      <c r="I6" s="263"/>
      <c r="J6" s="2031"/>
      <c r="K6" s="2030"/>
      <c r="L6" s="2030"/>
      <c r="M6" s="2030"/>
      <c r="N6" s="2030"/>
      <c r="O6" s="2030"/>
      <c r="P6" s="2030"/>
      <c r="Q6" s="2030"/>
      <c r="R6" s="2030"/>
      <c r="S6" s="2030"/>
      <c r="T6" s="2030"/>
      <c r="U6" s="2030"/>
      <c r="V6" s="2030"/>
    </row>
    <row r="7" spans="1:22" ht="14.25">
      <c r="A7" s="3587"/>
      <c r="B7" s="3613"/>
      <c r="C7" s="3612"/>
      <c r="D7" s="3615"/>
      <c r="E7" s="261" t="s">
        <v>305</v>
      </c>
      <c r="F7" s="262"/>
      <c r="G7" s="262"/>
      <c r="H7" s="262"/>
      <c r="I7" s="263"/>
      <c r="J7" s="2031"/>
      <c r="K7" s="2030"/>
      <c r="L7" s="2030"/>
      <c r="M7" s="2030"/>
      <c r="N7" s="2030"/>
      <c r="O7" s="2030"/>
      <c r="P7" s="2030"/>
      <c r="Q7" s="2030"/>
      <c r="R7" s="2030"/>
      <c r="S7" s="2030"/>
      <c r="T7" s="2030"/>
      <c r="U7" s="2030"/>
      <c r="V7" s="2030"/>
    </row>
    <row r="8" spans="1:22" ht="14.25">
      <c r="A8" s="3587" t="s">
        <v>306</v>
      </c>
      <c r="B8" s="3613">
        <v>15</v>
      </c>
      <c r="C8" s="3611"/>
      <c r="D8" s="3615"/>
      <c r="E8" s="261" t="s">
        <v>307</v>
      </c>
      <c r="F8" s="262"/>
      <c r="G8" s="262"/>
      <c r="H8" s="262"/>
      <c r="I8" s="263"/>
      <c r="J8" s="2031"/>
      <c r="K8" s="2030"/>
      <c r="L8" s="2030"/>
      <c r="M8" s="2030"/>
      <c r="N8" s="2030"/>
      <c r="O8" s="2030"/>
      <c r="P8" s="2030"/>
      <c r="Q8" s="2030"/>
      <c r="R8" s="2030"/>
      <c r="S8" s="2030"/>
      <c r="T8" s="2030"/>
      <c r="U8" s="2030"/>
      <c r="V8" s="2030"/>
    </row>
    <row r="9" spans="1:22" ht="14.25">
      <c r="A9" s="3587"/>
      <c r="B9" s="3613"/>
      <c r="C9" s="3612"/>
      <c r="D9" s="3615"/>
      <c r="E9" s="261" t="s">
        <v>308</v>
      </c>
      <c r="F9" s="262"/>
      <c r="G9" s="262"/>
      <c r="H9" s="262"/>
      <c r="I9" s="263"/>
      <c r="J9" s="2031"/>
      <c r="K9" s="2030"/>
      <c r="L9" s="2030"/>
      <c r="M9" s="2030"/>
      <c r="N9" s="2030"/>
      <c r="O9" s="2030"/>
      <c r="P9" s="2030"/>
      <c r="Q9" s="2030"/>
      <c r="R9" s="2030"/>
      <c r="S9" s="2030"/>
      <c r="T9" s="2030"/>
      <c r="U9" s="2030"/>
      <c r="V9" s="2030"/>
    </row>
    <row r="10" spans="1:22" ht="14.25">
      <c r="A10" s="3587" t="s">
        <v>309</v>
      </c>
      <c r="B10" s="3613">
        <v>15</v>
      </c>
      <c r="C10" s="3611"/>
      <c r="D10" s="3615"/>
      <c r="E10" s="261" t="s">
        <v>310</v>
      </c>
      <c r="F10" s="262"/>
      <c r="G10" s="262"/>
      <c r="H10" s="262"/>
      <c r="I10" s="263"/>
      <c r="J10" s="2031"/>
      <c r="K10" s="2030"/>
      <c r="L10" s="2030"/>
      <c r="M10" s="2030"/>
      <c r="N10" s="2030"/>
      <c r="O10" s="2030"/>
      <c r="P10" s="2030"/>
      <c r="Q10" s="2030"/>
      <c r="R10" s="2030"/>
      <c r="S10" s="2030"/>
      <c r="T10" s="2030"/>
      <c r="U10" s="2030"/>
      <c r="V10" s="2030"/>
    </row>
    <row r="11" spans="1:22" ht="14.25">
      <c r="A11" s="3587"/>
      <c r="B11" s="3613"/>
      <c r="C11" s="3612"/>
      <c r="D11" s="3615"/>
      <c r="E11" s="261" t="s">
        <v>311</v>
      </c>
      <c r="F11" s="262"/>
      <c r="G11" s="262"/>
      <c r="H11" s="262"/>
      <c r="I11" s="263"/>
      <c r="J11" s="2031"/>
      <c r="K11" s="2030"/>
      <c r="L11" s="2030"/>
      <c r="M11" s="2030"/>
      <c r="N11" s="2030"/>
      <c r="O11" s="2030"/>
      <c r="P11" s="2030"/>
      <c r="Q11" s="2030"/>
      <c r="R11" s="2030"/>
      <c r="S11" s="2030"/>
      <c r="T11" s="2030"/>
      <c r="U11" s="2030"/>
      <c r="V11" s="2030"/>
    </row>
    <row r="12" spans="1:22" ht="14.25">
      <c r="A12" s="3587" t="s">
        <v>312</v>
      </c>
      <c r="B12" s="3613">
        <v>15</v>
      </c>
      <c r="C12" s="3611"/>
      <c r="D12" s="3615"/>
      <c r="E12" s="261" t="s">
        <v>313</v>
      </c>
      <c r="F12" s="262"/>
      <c r="G12" s="262"/>
      <c r="H12" s="262"/>
      <c r="I12" s="263"/>
      <c r="J12" s="2031"/>
      <c r="K12" s="2030"/>
      <c r="L12" s="2030"/>
      <c r="M12" s="2030"/>
      <c r="N12" s="2030"/>
      <c r="O12" s="2030"/>
      <c r="P12" s="2030"/>
      <c r="Q12" s="2030"/>
      <c r="R12" s="2030"/>
      <c r="S12" s="2030"/>
      <c r="T12" s="2030"/>
      <c r="U12" s="2030"/>
      <c r="V12" s="2030"/>
    </row>
    <row r="13" spans="1:22" ht="14.25">
      <c r="A13" s="3587"/>
      <c r="B13" s="3613"/>
      <c r="C13" s="3612"/>
      <c r="D13" s="3615"/>
      <c r="E13" s="261" t="s">
        <v>314</v>
      </c>
      <c r="F13" s="262"/>
      <c r="G13" s="262"/>
      <c r="H13" s="262"/>
      <c r="I13" s="263"/>
      <c r="J13" s="2031"/>
      <c r="K13" s="2030"/>
      <c r="L13" s="2030"/>
      <c r="M13" s="2030"/>
      <c r="N13" s="2030"/>
      <c r="O13" s="2030"/>
      <c r="P13" s="2030"/>
      <c r="Q13" s="2030"/>
      <c r="R13" s="2030"/>
      <c r="S13" s="2030"/>
      <c r="T13" s="2030"/>
      <c r="U13" s="2030"/>
      <c r="V13" s="2030"/>
    </row>
    <row r="14" spans="1:22" ht="14.25">
      <c r="A14" s="3587" t="s">
        <v>315</v>
      </c>
      <c r="B14" s="3613">
        <v>30</v>
      </c>
      <c r="C14" s="3611">
        <v>5</v>
      </c>
      <c r="D14" s="361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587"/>
      <c r="B15" s="3613"/>
      <c r="C15" s="3614"/>
      <c r="D15" s="3615"/>
      <c r="E15" s="261" t="s">
        <v>317</v>
      </c>
      <c r="F15" s="262"/>
      <c r="G15" s="262"/>
      <c r="H15" s="262"/>
      <c r="I15" s="263"/>
      <c r="J15" s="2031"/>
      <c r="K15" s="2030"/>
      <c r="L15" s="2030"/>
      <c r="M15" s="2030"/>
      <c r="N15" s="2030"/>
      <c r="O15" s="2030"/>
      <c r="P15" s="2030"/>
      <c r="Q15" s="2030"/>
      <c r="R15" s="2030"/>
      <c r="S15" s="2030"/>
      <c r="T15" s="2030"/>
      <c r="U15" s="2030"/>
      <c r="V15" s="2030"/>
    </row>
    <row r="16" spans="1:22" ht="14.25">
      <c r="A16" s="3587"/>
      <c r="B16" s="3613"/>
      <c r="C16" s="3612"/>
      <c r="D16" s="361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349800</v>
      </c>
      <c r="D19" s="271">
        <f ca="1">SUMIF(INDIRECT("'"&amp;D4&amp;"'"&amp;"!A:A"),结果表!B19,INDIRECT("'"&amp;D4&amp;"'"&amp;"!B:B"))</f>
        <v>327690</v>
      </c>
      <c r="E19" s="268" t="s">
        <v>323</v>
      </c>
      <c r="F19" s="269" t="s">
        <v>322</v>
      </c>
      <c r="G19" s="272">
        <f ca="1">ROUND(C19*$C$18+D19*$D$18,0)</f>
        <v>338745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19433</v>
      </c>
      <c r="D20" s="277">
        <f ca="1">SUMIF(INDIRECT("'"&amp;D4&amp;"'"&amp;"!A:A"),结果表!B20,INDIRECT("'"&amp;D4&amp;"'"&amp;"!B:B"))</f>
        <v>18205</v>
      </c>
      <c r="E20" s="274"/>
      <c r="F20" s="275" t="s">
        <v>325</v>
      </c>
      <c r="G20" s="278">
        <f ca="1">ROUND(C20*$C$18+D20*$D$18,0)</f>
        <v>18819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182736</v>
      </c>
      <c r="D21" s="151">
        <f ca="1">SUMIF(INDIRECT("'"&amp;D4&amp;"'"&amp;"!A:A"),结果表!B21,INDIRECT("'"&amp;D4&amp;"'"&amp;"!B:B"))</f>
        <v>171186</v>
      </c>
      <c r="E21" s="274"/>
      <c r="F21" s="280" t="s">
        <v>327</v>
      </c>
      <c r="G21" s="282">
        <f ca="1">ROUND(C21*$C$18+D21*$D$18,0)</f>
        <v>176961</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6.7472306143000926E-2</v>
      </c>
      <c r="E22" s="284"/>
      <c r="F22" s="285"/>
      <c r="G22" s="286">
        <f ca="1">ROUND(G19/('数据-汇总表'!D3/666.67),0)</f>
        <v>11797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59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594"/>
      <c r="B25" s="1321" t="s">
        <v>331</v>
      </c>
      <c r="C25" s="290">
        <f>IF(B30=0,0,C30)</f>
        <v>0</v>
      </c>
      <c r="D25" s="291"/>
      <c r="E25" s="311"/>
      <c r="F25" s="311"/>
      <c r="G25" s="311"/>
      <c r="H25" s="311"/>
      <c r="I25" s="311"/>
      <c r="J25" s="2030"/>
      <c r="K25" s="1255" t="str">
        <f ca="1">项目基本情况!B16&amp;"国有建设用地使用权价格："&amp;O38&amp;"万元"</f>
        <v>出让国有建设用地使用权价格：338745万元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大写金额：人民币叁拾叁亿捌仟柒佰肆拾伍万元整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单位面积地价：176961元/平方米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楼面地价：18819元/平方米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抵押价格：338745万元</v>
      </c>
      <c r="L29" s="1252"/>
      <c r="M29" s="1252"/>
      <c r="N29" s="1252"/>
      <c r="O29" s="1251"/>
      <c r="P29" s="2030"/>
      <c r="V29" s="2030"/>
    </row>
    <row r="30" spans="1:26" ht="18.75" thickBot="1">
      <c r="A30" s="3163" t="s">
        <v>336</v>
      </c>
      <c r="B30" s="309"/>
      <c r="C30" s="309"/>
      <c r="D30" s="310"/>
      <c r="E30" s="3164" t="s">
        <v>2979</v>
      </c>
      <c r="F30" s="311"/>
      <c r="G30" s="311"/>
      <c r="H30" s="311"/>
      <c r="I30" s="311"/>
      <c r="J30" s="2030"/>
      <c r="K30" s="1258" t="str">
        <f ca="1">IF(K29="——","——","大写金额：人民币"&amp;NUMBERSTRING(INT(O39*10000),2)&amp;"元整")</f>
        <v>大写金额：人民币叁拾叁亿捌仟柒佰肆拾伍万元整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338745</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18819</v>
      </c>
      <c r="D33" s="1386" t="s">
        <v>1693</v>
      </c>
      <c r="E33" s="3593" t="s">
        <v>338</v>
      </c>
      <c r="F33" s="296" t="s">
        <v>339</v>
      </c>
      <c r="G33" s="297"/>
      <c r="H33" s="980"/>
      <c r="I33" s="1259"/>
      <c r="J33" s="2030"/>
      <c r="K33" s="1258" t="str">
        <f ca="1">IF(项目基本情况!E9="——","——","抵押净值："&amp;C46&amp;"万元")</f>
        <v>抵押净值：307033万元</v>
      </c>
      <c r="L33" s="1252"/>
      <c r="M33" s="1252"/>
      <c r="N33" s="1252"/>
      <c r="O33" s="1251"/>
      <c r="P33" s="2030"/>
      <c r="V33" s="2030"/>
    </row>
    <row r="34" spans="1:26" s="1254" customFormat="1" ht="18.75" thickBot="1">
      <c r="A34" s="300"/>
      <c r="B34" s="1387" t="s">
        <v>1694</v>
      </c>
      <c r="C34" s="264">
        <f ca="1">ROUND(C32*10000/'数据-汇总表'!D3,0)</f>
        <v>176961</v>
      </c>
      <c r="D34" s="1388" t="s">
        <v>1693</v>
      </c>
      <c r="E34" s="3634"/>
      <c r="F34" s="127" t="s">
        <v>341</v>
      </c>
      <c r="G34" s="299"/>
      <c r="H34" s="105"/>
      <c r="I34" s="311"/>
      <c r="J34" s="2030"/>
      <c r="K34" s="1261" t="str">
        <f ca="1">IF(K33="——","——","大写金额：人民币"&amp;NUMBERSTRING(INT(O41*10000),2)&amp;"元整")</f>
        <v>大写金额：人民币叁拾亿柒仟零叁拾叁万元整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11797</v>
      </c>
      <c r="D35" s="1391" t="s">
        <v>1695</v>
      </c>
      <c r="E35" s="3635"/>
      <c r="F35" s="301" t="s">
        <v>342</v>
      </c>
      <c r="G35" s="982"/>
      <c r="H35" s="981" t="s">
        <v>343</v>
      </c>
      <c r="I35" s="311"/>
      <c r="J35" s="2030"/>
      <c r="K35" s="3608" t="s">
        <v>350</v>
      </c>
      <c r="L35" s="3608" t="s">
        <v>351</v>
      </c>
      <c r="M35" s="1264" t="s">
        <v>352</v>
      </c>
      <c r="N35" s="3608" t="s">
        <v>353</v>
      </c>
      <c r="O35" s="3608" t="s">
        <v>354</v>
      </c>
      <c r="P35" s="2030"/>
      <c r="V35" s="2030"/>
    </row>
    <row r="36" spans="1:26" ht="16.5" customHeight="1">
      <c r="A36" s="303" t="s">
        <v>344</v>
      </c>
      <c r="B36" s="304" t="s">
        <v>333</v>
      </c>
      <c r="C36" s="305" t="s">
        <v>345</v>
      </c>
      <c r="D36" s="305" t="s">
        <v>346</v>
      </c>
      <c r="E36" s="306" t="s">
        <v>347</v>
      </c>
      <c r="F36" s="311"/>
      <c r="G36" s="311"/>
      <c r="H36" s="311"/>
      <c r="I36" s="311"/>
      <c r="J36" s="2032"/>
      <c r="K36" s="3609"/>
      <c r="L36" s="3609"/>
      <c r="M36" s="1266" t="s">
        <v>355</v>
      </c>
      <c r="N36" s="3609"/>
      <c r="O36" s="3609"/>
      <c r="P36" s="2030"/>
      <c r="V36" s="2030"/>
    </row>
    <row r="37" spans="1:26" ht="16.5" customHeight="1" thickBot="1">
      <c r="A37" s="1260" t="s">
        <v>348</v>
      </c>
      <c r="B37" s="307"/>
      <c r="C37" s="294"/>
      <c r="D37" s="294"/>
      <c r="E37" s="295"/>
      <c r="F37" s="311"/>
      <c r="G37" s="311"/>
      <c r="H37" s="311"/>
      <c r="I37" s="311"/>
      <c r="J37" s="2032"/>
      <c r="K37" s="3610"/>
      <c r="L37" s="3610"/>
      <c r="M37" s="1267"/>
      <c r="N37" s="3610"/>
      <c r="O37" s="3610"/>
      <c r="P37" s="2030"/>
      <c r="V37" s="2030"/>
    </row>
    <row r="38" spans="1:26" ht="16.5" customHeight="1" thickBot="1">
      <c r="A38" s="1260" t="s">
        <v>349</v>
      </c>
      <c r="B38" s="307"/>
      <c r="C38" s="294"/>
      <c r="D38" s="294"/>
      <c r="E38" s="295"/>
      <c r="F38" s="311"/>
      <c r="G38" s="311"/>
      <c r="H38" s="311"/>
      <c r="I38" s="311"/>
      <c r="J38" s="2032"/>
      <c r="K38" s="1268">
        <f>'数据-汇总表'!D3</f>
        <v>19142.32</v>
      </c>
      <c r="L38" s="1269">
        <f>'数据-汇总表'!E3</f>
        <v>180000</v>
      </c>
      <c r="M38" s="1269">
        <f ca="1">C34</f>
        <v>176961</v>
      </c>
      <c r="N38" s="1269">
        <f ca="1">C33</f>
        <v>18819</v>
      </c>
      <c r="O38" s="1270">
        <f ca="1">C32</f>
        <v>338745</v>
      </c>
      <c r="P38" s="2030"/>
      <c r="V38" s="2030"/>
    </row>
    <row r="39" spans="1:26" ht="16.5" customHeight="1" thickBot="1">
      <c r="A39" s="1265"/>
      <c r="B39" s="308"/>
      <c r="C39" s="309"/>
      <c r="D39" s="309"/>
      <c r="E39" s="310"/>
      <c r="F39" s="311"/>
      <c r="G39" s="311"/>
      <c r="H39" s="311"/>
      <c r="I39" s="311"/>
      <c r="J39" s="2032"/>
      <c r="K39" s="3653" t="str">
        <f>MID(A44,3,LEN(A44)-2)</f>
        <v>抵押价格</v>
      </c>
      <c r="L39" s="3654"/>
      <c r="M39" s="3654"/>
      <c r="N39" s="3655"/>
      <c r="O39" s="1393">
        <f ca="1">C44</f>
        <v>338745</v>
      </c>
      <c r="P39" s="2030"/>
      <c r="V39" s="2030"/>
    </row>
    <row r="40" spans="1:26" ht="19.5" thickBot="1">
      <c r="A40" s="104" t="s">
        <v>874</v>
      </c>
      <c r="B40" s="311"/>
      <c r="C40" s="311"/>
      <c r="D40" s="311"/>
      <c r="E40" s="311"/>
      <c r="F40" s="311"/>
      <c r="G40" s="311"/>
      <c r="H40" s="311"/>
      <c r="I40" s="311"/>
      <c r="J40" s="2032"/>
      <c r="K40" s="3653" t="str">
        <f t="shared" ref="K40:K41" si="0">MID(A45,3,LEN(A45)-2)</f>
        <v/>
      </c>
      <c r="L40" s="3654"/>
      <c r="M40" s="3654"/>
      <c r="N40" s="3655"/>
      <c r="O40" s="1393" t="str">
        <f>C45</f>
        <v>——</v>
      </c>
      <c r="P40" s="2030"/>
      <c r="V40" s="2030"/>
    </row>
    <row r="41" spans="1:26" ht="16.5" thickBot="1">
      <c r="A41" s="312" t="s">
        <v>356</v>
      </c>
      <c r="B41" s="313"/>
      <c r="C41" s="314" t="s">
        <v>357</v>
      </c>
      <c r="D41" s="315" t="s">
        <v>358</v>
      </c>
      <c r="E41" s="315" t="s">
        <v>359</v>
      </c>
      <c r="F41" s="316" t="s">
        <v>360</v>
      </c>
      <c r="G41" s="311"/>
      <c r="H41" s="311"/>
      <c r="I41" s="311"/>
      <c r="J41" s="2032"/>
      <c r="K41" s="3653" t="str">
        <f t="shared" si="0"/>
        <v>抵押净值</v>
      </c>
      <c r="L41" s="3654"/>
      <c r="M41" s="3654"/>
      <c r="N41" s="3655"/>
      <c r="O41" s="1393">
        <f ca="1">C46</f>
        <v>307033</v>
      </c>
      <c r="P41" s="2030"/>
      <c r="V41" s="2030"/>
    </row>
    <row r="42" spans="1:26" ht="29.25">
      <c r="A42" s="3595" t="s">
        <v>2071</v>
      </c>
      <c r="B42" s="3596"/>
      <c r="C42" s="264">
        <f ca="1">C32</f>
        <v>338745</v>
      </c>
      <c r="D42" s="317">
        <f ca="1">C33</f>
        <v>18819</v>
      </c>
      <c r="E42" s="317">
        <f ca="1">C34</f>
        <v>176961</v>
      </c>
      <c r="F42" s="318">
        <f ca="1">C35</f>
        <v>11797</v>
      </c>
      <c r="G42" s="311"/>
      <c r="H42" s="311"/>
      <c r="I42" s="319"/>
      <c r="J42" s="2032"/>
      <c r="K42" s="1271" t="s">
        <v>361</v>
      </c>
      <c r="L42" s="2049" t="s">
        <v>362</v>
      </c>
      <c r="M42" s="1272" t="s">
        <v>363</v>
      </c>
      <c r="N42" s="2050" t="s">
        <v>364</v>
      </c>
      <c r="O42" s="2051" t="s">
        <v>365</v>
      </c>
      <c r="P42" s="2030"/>
      <c r="V42" s="2030"/>
    </row>
    <row r="43" spans="1:26" ht="30">
      <c r="A43" s="3606" t="s">
        <v>2737</v>
      </c>
      <c r="B43" s="3607"/>
      <c r="C43" s="264">
        <f>IF(H33="正常操作",G33+G34+G35,G34+G35)</f>
        <v>0</v>
      </c>
      <c r="D43" s="317" t="s">
        <v>43</v>
      </c>
      <c r="E43" s="317" t="s">
        <v>44</v>
      </c>
      <c r="F43" s="318" t="s">
        <v>44</v>
      </c>
      <c r="G43" s="2893" t="s">
        <v>953</v>
      </c>
      <c r="H43" s="311"/>
      <c r="I43" s="319"/>
      <c r="J43" s="2032"/>
      <c r="K43" s="1273" t="str">
        <f>C4</f>
        <v>剩余法-待开发</v>
      </c>
      <c r="L43" s="1274">
        <f ca="1">IF(L42="估价结果/万元",C19,C20)</f>
        <v>349800</v>
      </c>
      <c r="M43" s="1275">
        <f>C18</f>
        <v>0.5</v>
      </c>
      <c r="N43" s="1276">
        <f ca="1">IF(N42="测算结果/万元",G19,G20)</f>
        <v>338745</v>
      </c>
      <c r="O43" s="1277">
        <f ca="1">IF(O42="最终结果/万元",C32,C33)</f>
        <v>338745</v>
      </c>
      <c r="P43" s="2030"/>
      <c r="V43" s="2030"/>
    </row>
    <row r="44" spans="1:26" ht="30.75" thickBot="1">
      <c r="A44" s="3595" t="str">
        <f>IF(OR(项目基本情况!E8="抵押价格",项目基本情况!E8="已注销及未注销"),"3.抵押价格","——")</f>
        <v>3.抵押价格</v>
      </c>
      <c r="B44" s="3596"/>
      <c r="C44" s="264">
        <f ca="1">IF(A44="——","——",C42-C43)</f>
        <v>338745</v>
      </c>
      <c r="D44" s="317">
        <f ca="1">ROUND(C44*10000/'数据-汇总表'!E3,0)</f>
        <v>18819</v>
      </c>
      <c r="E44" s="317">
        <f ca="1">ROUND(C44*10000/'数据-汇总表'!D3,0)</f>
        <v>176961</v>
      </c>
      <c r="F44" s="318">
        <f ca="1">ROUND(C44/('数据-汇总表'!D3/666.67),0)</f>
        <v>11797</v>
      </c>
      <c r="G44" s="311"/>
      <c r="H44" s="311"/>
      <c r="I44" s="319"/>
      <c r="J44" s="2032"/>
      <c r="K44" s="1278" t="str">
        <f>D4</f>
        <v>比较法-住宅、综合</v>
      </c>
      <c r="L44" s="1279">
        <f ca="1">IF(L42="估价结果/万元",D19,D20)</f>
        <v>327690</v>
      </c>
      <c r="M44" s="1280">
        <f>D18</f>
        <v>0.5</v>
      </c>
      <c r="N44" s="1281"/>
      <c r="O44" s="1282"/>
      <c r="P44" s="2030"/>
      <c r="V44" s="2030"/>
    </row>
    <row r="45" spans="1:26" ht="15">
      <c r="A45" s="3601" t="str">
        <f>IF(项目基本情况!E8="已注销及未注销","4.抵押担保权已注销时的抵押价格",IF(项目基本情况!E8="已注销","3.抵押担保权已注销时的抵押价格","——"))</f>
        <v>——</v>
      </c>
      <c r="B45" s="360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597" t="str">
        <f>IF(项目基本情况!E9="抵押净值",IF(A45="——","4.抵押净值","5.抵押净值"),"——")</f>
        <v>4.抵押净值</v>
      </c>
      <c r="B46" s="3598"/>
      <c r="C46" s="320">
        <f ca="1">IF(A46="——","——",O79)</f>
        <v>307033</v>
      </c>
      <c r="D46" s="317">
        <f ca="1">ROUND(C46*10000/'数据-汇总表'!E3,0)</f>
        <v>17057</v>
      </c>
      <c r="E46" s="317">
        <f ca="1">ROUND(C46*10000/'数据-汇总表'!D3,0)</f>
        <v>160395</v>
      </c>
      <c r="F46" s="318">
        <f ca="1">ROUND(C46/('数据-汇总表'!D3/666.67),0)</f>
        <v>10693</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42" t="s">
        <v>374</v>
      </c>
      <c r="B63" s="3643"/>
      <c r="C63" s="3644"/>
      <c r="D63" s="341">
        <f ca="1">ROUND(C42*F63,0)</f>
        <v>338745</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603" t="s">
        <v>378</v>
      </c>
      <c r="B64" s="3604"/>
      <c r="C64" s="3604"/>
      <c r="D64" s="3604"/>
      <c r="E64" s="3604"/>
      <c r="F64" s="3604"/>
      <c r="G64" s="360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599" t="s">
        <v>386</v>
      </c>
      <c r="B66" s="3600"/>
      <c r="C66" s="3600"/>
      <c r="D66" s="261">
        <f ca="1">IF(H66="情况1",0,IF(H66="情况2",D70,IF(H66="情况3",D71,IF(H66="情况4",D72))))</f>
        <v>18066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657" t="s">
        <v>385</v>
      </c>
      <c r="M66" s="3658"/>
      <c r="N66" s="2484"/>
      <c r="O66" s="2485"/>
      <c r="P66" s="2486"/>
      <c r="Q66" s="2030"/>
      <c r="R66" s="2030"/>
      <c r="S66" s="2030"/>
      <c r="T66" s="2030"/>
      <c r="U66" s="2030"/>
      <c r="V66" s="2030"/>
    </row>
    <row r="67" spans="1:22" ht="25.5" customHeight="1">
      <c r="A67" s="352" t="s">
        <v>390</v>
      </c>
      <c r="B67" s="3590" t="s">
        <v>391</v>
      </c>
      <c r="C67" s="3590"/>
      <c r="D67" s="353">
        <v>0</v>
      </c>
      <c r="E67" s="41" t="s">
        <v>392</v>
      </c>
      <c r="F67" s="62" t="s">
        <v>21</v>
      </c>
      <c r="G67" s="3645"/>
      <c r="H67" s="311"/>
      <c r="I67" s="1292"/>
      <c r="J67" s="2037"/>
      <c r="K67" s="1978">
        <v>2</v>
      </c>
      <c r="L67" s="3656" t="s">
        <v>389</v>
      </c>
      <c r="M67" s="3656"/>
      <c r="N67" s="1325">
        <f>'数据-取费表'!B2</f>
        <v>43117</v>
      </c>
      <c r="O67" s="1325"/>
      <c r="P67" s="1325"/>
      <c r="Q67" s="2030"/>
      <c r="R67" s="2030"/>
      <c r="S67" s="2030"/>
      <c r="T67" s="2030"/>
      <c r="U67" s="2030"/>
      <c r="V67" s="2030"/>
    </row>
    <row r="68" spans="1:22" ht="25.5" customHeight="1">
      <c r="A68" s="354"/>
      <c r="B68" s="3590" t="s">
        <v>394</v>
      </c>
      <c r="C68" s="3590"/>
      <c r="D68" s="355"/>
      <c r="E68" s="77"/>
      <c r="F68" s="356"/>
      <c r="G68" s="3646"/>
      <c r="H68" s="311"/>
      <c r="I68" s="1292"/>
      <c r="J68" s="2037"/>
      <c r="K68" s="1978">
        <v>3</v>
      </c>
      <c r="L68" s="3656" t="s">
        <v>393</v>
      </c>
      <c r="M68" s="3656"/>
      <c r="N68" s="1293">
        <f ca="1">C42</f>
        <v>338745</v>
      </c>
      <c r="O68" s="1293"/>
      <c r="P68" s="1293"/>
      <c r="Q68" s="2030"/>
      <c r="R68" s="2030"/>
      <c r="S68" s="2030"/>
      <c r="T68" s="2030"/>
      <c r="U68" s="2030"/>
      <c r="V68" s="2030"/>
    </row>
    <row r="69" spans="1:22" ht="12" customHeight="1">
      <c r="A69" s="357"/>
      <c r="B69" s="3590" t="s">
        <v>395</v>
      </c>
      <c r="C69" s="3590"/>
      <c r="D69" s="358"/>
      <c r="E69" s="73"/>
      <c r="F69" s="356"/>
      <c r="G69" s="3647"/>
      <c r="H69" s="311"/>
      <c r="I69" s="1292"/>
      <c r="J69" s="2037"/>
      <c r="K69" s="1294">
        <v>4</v>
      </c>
      <c r="L69" s="3661" t="s">
        <v>2890</v>
      </c>
      <c r="M69" s="3662"/>
      <c r="N69" s="1295">
        <f ca="1">C44</f>
        <v>338745</v>
      </c>
      <c r="O69" s="1295"/>
      <c r="P69" s="1295"/>
      <c r="Q69" s="2030"/>
      <c r="R69" s="2030"/>
      <c r="S69" s="2030"/>
      <c r="T69" s="2030"/>
      <c r="U69" s="2030"/>
      <c r="V69" s="2030"/>
    </row>
    <row r="70" spans="1:22" ht="24" customHeight="1">
      <c r="A70" s="359" t="s">
        <v>396</v>
      </c>
      <c r="B70" s="3590" t="s">
        <v>397</v>
      </c>
      <c r="C70" s="3590"/>
      <c r="D70" s="358">
        <f ca="1">ROUND(D63*'数据-取费表'!B41/(1+'数据-取费表'!C42),0)</f>
        <v>18066</v>
      </c>
      <c r="E70" s="17" t="s">
        <v>398</v>
      </c>
      <c r="F70" s="360">
        <f>'数据-取费表'!B41</f>
        <v>5.6000000000000001E-2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591" t="s">
        <v>405</v>
      </c>
      <c r="C71" s="3592"/>
      <c r="D71" s="358">
        <f ca="1">ROUND(D63*'数据-取费表'!B41/(1+'数据-取费表'!C42),0)</f>
        <v>18066</v>
      </c>
      <c r="E71" s="17" t="s">
        <v>398</v>
      </c>
      <c r="F71" s="360">
        <f>'数据-取费表'!B41</f>
        <v>5.6000000000000001E-2</v>
      </c>
      <c r="G71" s="361"/>
      <c r="H71" s="311"/>
      <c r="I71" s="1292"/>
      <c r="J71" s="2037"/>
      <c r="K71" s="3088" t="s">
        <v>399</v>
      </c>
      <c r="L71" s="3663" t="s">
        <v>400</v>
      </c>
      <c r="M71" s="3663"/>
      <c r="N71" s="3088" t="s">
        <v>401</v>
      </c>
      <c r="O71" s="3088" t="s">
        <v>402</v>
      </c>
      <c r="P71" s="3088" t="s">
        <v>403</v>
      </c>
      <c r="Q71" s="2030"/>
      <c r="R71" s="2030"/>
      <c r="S71" s="2030"/>
      <c r="T71" s="2030"/>
      <c r="U71" s="2030"/>
      <c r="V71" s="2030"/>
    </row>
    <row r="72" spans="1:22" ht="12" customHeight="1">
      <c r="A72" s="359" t="s">
        <v>407</v>
      </c>
      <c r="B72" s="3591" t="s">
        <v>408</v>
      </c>
      <c r="C72" s="3592"/>
      <c r="D72" s="358">
        <f ca="1">C86</f>
        <v>17954</v>
      </c>
      <c r="E72" s="73" t="s">
        <v>409</v>
      </c>
      <c r="F72" s="360">
        <f>'数据-取费表'!B41</f>
        <v>5.6000000000000001E-2</v>
      </c>
      <c r="G72" s="361"/>
      <c r="H72" s="1298"/>
      <c r="I72" s="1292"/>
      <c r="J72" s="2037"/>
      <c r="K72" s="1978">
        <v>1</v>
      </c>
      <c r="L72" s="3638" t="s">
        <v>406</v>
      </c>
      <c r="M72" s="3638"/>
      <c r="N72" s="1296">
        <f ca="1">D66</f>
        <v>18066</v>
      </c>
      <c r="O72" s="1861" t="str">
        <f>E66</f>
        <v>销售额×税（费）率</v>
      </c>
      <c r="P72" s="1297">
        <f>F66</f>
        <v>5.6000000000000001E-2</v>
      </c>
      <c r="Q72" s="2030"/>
      <c r="R72" s="2030"/>
      <c r="S72" s="2030"/>
      <c r="T72" s="2030"/>
      <c r="U72" s="2030"/>
      <c r="V72" s="2030"/>
    </row>
    <row r="73" spans="1:22" ht="24" customHeight="1">
      <c r="A73" s="3632" t="s">
        <v>411</v>
      </c>
      <c r="B73" s="3600"/>
      <c r="C73" s="3600"/>
      <c r="D73" s="362">
        <f>IF(H73="个人住宅",0,ROUND(D63*I73,0))</f>
        <v>0</v>
      </c>
      <c r="E73" s="17" t="s">
        <v>412</v>
      </c>
      <c r="F73" s="360" t="str">
        <f>IF(H73="正常",I73,"免征")</f>
        <v>免征</v>
      </c>
      <c r="G73" s="361"/>
      <c r="H73" s="191" t="s">
        <v>2461</v>
      </c>
      <c r="I73" s="360">
        <f>'数据-取费表'!B49</f>
        <v>5.0000000000000001E-4</v>
      </c>
      <c r="J73" s="2037"/>
      <c r="K73" s="1978">
        <v>2</v>
      </c>
      <c r="L73" s="3638" t="s">
        <v>410</v>
      </c>
      <c r="M73" s="3638"/>
      <c r="N73" s="1296">
        <f t="shared" ref="N73:P74" si="1">D73</f>
        <v>0</v>
      </c>
      <c r="O73" s="1861" t="str">
        <f t="shared" si="1"/>
        <v>销售额×税（费）率</v>
      </c>
      <c r="P73" s="1297" t="str">
        <f t="shared" si="1"/>
        <v>免征</v>
      </c>
      <c r="Q73" s="2030"/>
      <c r="R73" s="2030"/>
      <c r="S73" s="2030"/>
      <c r="T73" s="2030"/>
      <c r="U73" s="2030"/>
      <c r="V73" s="2030"/>
    </row>
    <row r="74" spans="1:22" ht="24.75">
      <c r="A74" s="3632" t="s">
        <v>415</v>
      </c>
      <c r="B74" s="3600"/>
      <c r="C74" s="3600"/>
      <c r="D74" s="362">
        <f ca="1">IF(H74="个人住宅",D75,D76)</f>
        <v>10259</v>
      </c>
      <c r="E74" s="17" t="s">
        <v>416</v>
      </c>
      <c r="F74" s="360" t="str">
        <f>IF(H74="正常",F76,"免征")</f>
        <v>——</v>
      </c>
      <c r="G74" s="983" t="s">
        <v>417</v>
      </c>
      <c r="H74" s="363" t="s">
        <v>413</v>
      </c>
      <c r="I74" s="42"/>
      <c r="J74" s="2037"/>
      <c r="K74" s="1978">
        <v>3</v>
      </c>
      <c r="L74" s="3638" t="s">
        <v>414</v>
      </c>
      <c r="M74" s="3638"/>
      <c r="N74" s="1296">
        <f t="shared" ca="1" si="1"/>
        <v>10259</v>
      </c>
      <c r="O74" s="1861" t="str">
        <f t="shared" si="1"/>
        <v>增值额×税（费）率</v>
      </c>
      <c r="P74" s="1299" t="str">
        <f t="shared" si="1"/>
        <v>——</v>
      </c>
      <c r="Q74" s="2030"/>
      <c r="R74" s="2030"/>
      <c r="S74" s="2030"/>
      <c r="T74" s="2030"/>
      <c r="U74" s="2030"/>
      <c r="V74" s="2030"/>
    </row>
    <row r="75" spans="1:22" ht="24">
      <c r="A75" s="359" t="s">
        <v>418</v>
      </c>
      <c r="B75" s="3588" t="s">
        <v>419</v>
      </c>
      <c r="C75" s="3618"/>
      <c r="D75" s="364">
        <v>0</v>
      </c>
      <c r="E75" s="41" t="s">
        <v>420</v>
      </c>
      <c r="F75" s="365"/>
      <c r="G75" s="361"/>
      <c r="H75" s="42"/>
      <c r="I75" s="42"/>
      <c r="J75" s="2037"/>
      <c r="K75" s="3081">
        <f>IF(H77="非个人房产","",4)</f>
        <v>4</v>
      </c>
      <c r="L75" s="3638" t="str">
        <f>IF(H77="非个人房产","——","个人所得税")</f>
        <v>个人所得税</v>
      </c>
      <c r="M75" s="3638"/>
      <c r="N75" s="1300">
        <f ca="1">D77</f>
        <v>3387</v>
      </c>
      <c r="O75" s="1874" t="str">
        <f>E77</f>
        <v>销售额×税（费）率</v>
      </c>
      <c r="P75" s="1301">
        <f>F77</f>
        <v>0.01</v>
      </c>
      <c r="Q75" s="2030"/>
      <c r="R75" s="2030"/>
      <c r="S75" s="2030"/>
      <c r="T75" s="2030"/>
      <c r="U75" s="2030"/>
      <c r="V75" s="2030"/>
    </row>
    <row r="76" spans="1:22" ht="24.75">
      <c r="A76" s="359" t="s">
        <v>396</v>
      </c>
      <c r="B76" s="3588" t="s">
        <v>422</v>
      </c>
      <c r="C76" s="3589"/>
      <c r="D76" s="362">
        <f ca="1">IF(H76="转让取得",C99,C115)</f>
        <v>10259</v>
      </c>
      <c r="E76" s="17" t="s">
        <v>423</v>
      </c>
      <c r="F76" s="53" t="s">
        <v>21</v>
      </c>
      <c r="G76" s="361"/>
      <c r="H76" s="363" t="s">
        <v>424</v>
      </c>
      <c r="I76" s="42"/>
      <c r="J76" s="2037"/>
      <c r="K76" s="3081" t="str">
        <f>IF(项目基本情况!K6="上海银行",IF(K75="",4,K75+1),"")</f>
        <v/>
      </c>
      <c r="L76" s="3649" t="str">
        <f>IF(项目基本情况!K6="上海银行","其他处置费用","")</f>
        <v/>
      </c>
      <c r="M76" s="3650"/>
      <c r="N76" s="1296" t="str">
        <f>IF(项目基本情况!K6="上海银行",N89,"")</f>
        <v/>
      </c>
      <c r="O76" s="3651" t="str">
        <f>IF(项目基本情况!K6="上海银行","包含处置中涉及的律师、诉讼、拍卖、评估等费用","")</f>
        <v/>
      </c>
      <c r="P76" s="3652"/>
      <c r="Q76" s="2030"/>
      <c r="R76" s="2030"/>
      <c r="S76" s="2030"/>
      <c r="T76" s="2030"/>
      <c r="U76" s="2030"/>
      <c r="V76" s="2030"/>
    </row>
    <row r="77" spans="1:22" ht="26.25" thickBot="1">
      <c r="A77" s="3640" t="s">
        <v>426</v>
      </c>
      <c r="B77" s="3641"/>
      <c r="C77" s="3641"/>
      <c r="D77" s="366">
        <f ca="1">IF(H77="非个人房产","——",IF(H77="个人住宅",0,ROUND(D63*I77,0)))</f>
        <v>3387</v>
      </c>
      <c r="E77" s="367" t="str">
        <f>IF(H77="非个人房产","——","销售额×税（费）率")</f>
        <v>销售额×税（费）率</v>
      </c>
      <c r="F77" s="368">
        <f>IF(H77="非个人房产","——",IF(H77="个人住宅","免征",I77))</f>
        <v>0.01</v>
      </c>
      <c r="G77" s="984" t="s">
        <v>417</v>
      </c>
      <c r="H77" s="363" t="s">
        <v>2891</v>
      </c>
      <c r="I77" s="369">
        <v>0.01</v>
      </c>
      <c r="J77" s="2037"/>
      <c r="K77" s="3639">
        <f>IF(AND(K75="",K76=""),4,IF(项目基本情况!K6="上海银行",K76+1,K75+1))</f>
        <v>5</v>
      </c>
      <c r="L77" s="3638" t="s">
        <v>2892</v>
      </c>
      <c r="M77" s="3087" t="s">
        <v>421</v>
      </c>
      <c r="N77" s="1302"/>
      <c r="O77" s="1303">
        <f ca="1">SUMIF(N72:N76,"&lt;9e307")</f>
        <v>31712</v>
      </c>
      <c r="P77" s="1304"/>
      <c r="Q77" s="3085">
        <f ca="1">O77/N69</f>
        <v>9.361614193567433E-2</v>
      </c>
      <c r="R77" s="2030"/>
      <c r="S77" s="2030"/>
      <c r="T77" s="2030"/>
      <c r="U77" s="2030"/>
      <c r="V77" s="2030"/>
    </row>
    <row r="78" spans="1:22" ht="12" customHeight="1">
      <c r="A78" s="1305"/>
      <c r="B78" s="311"/>
      <c r="C78" s="311"/>
      <c r="D78" s="311"/>
      <c r="E78" s="42"/>
      <c r="F78" s="42"/>
      <c r="G78" s="42"/>
      <c r="H78" s="1003"/>
      <c r="I78" s="311"/>
      <c r="J78" s="2037"/>
      <c r="K78" s="3639"/>
      <c r="L78" s="3638"/>
      <c r="M78" s="3087" t="s">
        <v>425</v>
      </c>
      <c r="N78" s="1302"/>
      <c r="O78" s="1303" t="str">
        <f ca="1">NUMBERSTRING(INT(O77*10000),2)&amp;"元整"</f>
        <v>叁亿壹仟柒佰壹拾贰万元整</v>
      </c>
      <c r="P78" s="1304"/>
      <c r="Q78" s="2030"/>
      <c r="R78" s="2030"/>
      <c r="S78" s="2030"/>
      <c r="T78" s="2030"/>
      <c r="U78" s="2030"/>
      <c r="V78" s="2030"/>
    </row>
    <row r="79" spans="1:22" ht="13.5" thickBot="1">
      <c r="A79" s="3633" t="s">
        <v>427</v>
      </c>
      <c r="B79" s="3633"/>
      <c r="C79" s="3633"/>
      <c r="D79" s="3633"/>
      <c r="E79" s="3633"/>
      <c r="F79" s="42"/>
      <c r="G79" s="42"/>
      <c r="H79" s="1003"/>
      <c r="I79" s="311"/>
      <c r="J79" s="2037"/>
      <c r="K79" s="3659">
        <f>K77+1</f>
        <v>6</v>
      </c>
      <c r="L79" s="3638" t="s">
        <v>2893</v>
      </c>
      <c r="M79" s="3087" t="s">
        <v>421</v>
      </c>
      <c r="N79" s="1302"/>
      <c r="O79" s="1303">
        <f ca="1">N69-O77</f>
        <v>307033</v>
      </c>
      <c r="P79" s="1304"/>
      <c r="Q79" s="2030"/>
      <c r="R79" s="2030"/>
      <c r="S79" s="2030"/>
      <c r="T79" s="2030"/>
      <c r="U79" s="2030"/>
      <c r="V79" s="2030"/>
    </row>
    <row r="80" spans="1:22" ht="25.5">
      <c r="A80" s="3628" t="s">
        <v>428</v>
      </c>
      <c r="B80" s="3629"/>
      <c r="C80" s="994"/>
      <c r="D80" s="994" t="s">
        <v>429</v>
      </c>
      <c r="E80" s="370" t="s">
        <v>430</v>
      </c>
      <c r="F80" s="42"/>
      <c r="G80" s="42"/>
      <c r="H80" s="1003"/>
      <c r="I80" s="311"/>
      <c r="J80" s="2030"/>
      <c r="K80" s="3660"/>
      <c r="L80" s="3638"/>
      <c r="M80" s="3087" t="s">
        <v>425</v>
      </c>
      <c r="N80" s="1302"/>
      <c r="O80" s="1303" t="str">
        <f ca="1">NUMBERSTRING(INT(O79*10000),2)&amp;"元整"</f>
        <v>叁拾亿柒仟零叁拾叁万元整</v>
      </c>
      <c r="P80" s="1304"/>
      <c r="Q80" s="2030"/>
      <c r="R80" s="2030"/>
      <c r="S80" s="2030"/>
      <c r="T80" s="2030"/>
      <c r="U80" s="2030"/>
      <c r="V80" s="2030"/>
    </row>
    <row r="81" spans="1:26" ht="13.5" thickBot="1">
      <c r="A81" s="381" t="s">
        <v>1825</v>
      </c>
      <c r="B81" s="371" t="s">
        <v>431</v>
      </c>
      <c r="C81" s="372">
        <f ca="1">ROUND((C82+C83)/(1+'数据-取费表'!C42),0)</f>
        <v>322614</v>
      </c>
      <c r="D81" s="373"/>
      <c r="E81" s="374"/>
      <c r="F81" s="42"/>
      <c r="G81" s="42"/>
      <c r="H81" s="1003"/>
      <c r="I81" s="311"/>
      <c r="J81" s="2030"/>
      <c r="K81" s="3081">
        <f>K79+1</f>
        <v>7</v>
      </c>
      <c r="L81" s="3636" t="s">
        <v>2894</v>
      </c>
      <c r="M81" s="3637"/>
      <c r="N81" s="1306"/>
      <c r="O81" s="1307">
        <f ca="1">ROUND(O79*10000/'数据-汇总表'!E3,0)</f>
        <v>17057</v>
      </c>
      <c r="P81" s="1308"/>
      <c r="Q81" s="2030"/>
      <c r="R81" s="2030"/>
      <c r="S81" s="2030"/>
      <c r="T81" s="2030"/>
      <c r="U81" s="2030"/>
      <c r="V81" s="2030"/>
    </row>
    <row r="82" spans="1:26" ht="13.5" thickTop="1">
      <c r="A82" s="375" t="s">
        <v>1826</v>
      </c>
      <c r="B82" s="376" t="s">
        <v>432</v>
      </c>
      <c r="C82" s="377">
        <f ca="1">D63</f>
        <v>338745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648" t="s">
        <v>2881</v>
      </c>
      <c r="L83" s="3093" t="s">
        <v>2882</v>
      </c>
      <c r="M83" s="3083">
        <f ca="1">IF(N69&gt;10000,N69*0.5%,IF(AND(N69&gt;1000,N69&lt;=10000),N69*1%,IF(AND(N69&gt;100,N69&lt;=1000),N69*3%,IF(AND(N69&gt;10,N69&lt;=100),N69*5%,N69*8%))))</f>
        <v>1693.7250000000001</v>
      </c>
      <c r="N83" s="53">
        <f ca="1">ROUND(M83,1)</f>
        <v>1693.7</v>
      </c>
      <c r="O83" s="3086"/>
      <c r="P83" s="2030"/>
      <c r="Q83" s="2030"/>
      <c r="R83" s="2030"/>
      <c r="S83" s="2030"/>
      <c r="T83" s="2030"/>
      <c r="U83" s="2030"/>
      <c r="V83" s="2030"/>
    </row>
    <row r="84" spans="1:26" ht="12.75">
      <c r="A84" s="381" t="s">
        <v>1828</v>
      </c>
      <c r="B84" s="382" t="s">
        <v>434</v>
      </c>
      <c r="C84" s="383">
        <v>2000</v>
      </c>
      <c r="D84" s="384" t="s">
        <v>19</v>
      </c>
      <c r="E84" s="3128" t="s">
        <v>2950</v>
      </c>
      <c r="F84" s="42"/>
      <c r="G84" s="42"/>
      <c r="H84" s="1003"/>
      <c r="I84" s="311"/>
      <c r="J84" s="2030"/>
      <c r="K84" s="3648"/>
      <c r="L84" s="3093" t="s">
        <v>2883</v>
      </c>
      <c r="M84" s="3083">
        <f ca="1">IF(N69&gt;2000,N69*0.5%,IF(AND(N69&gt;1000,N69&lt;=2000),N69*0.6%,IF(AND(N69&gt;500,N69&lt;=1000),N69*0.7%,IF(AND(N69&gt;200,N69&lt;=500),N69*0.8%,IF(AND(N69&gt;100,N69&lt;=200),N69*0.9%,IF(AND(N69&gt;50,N69&lt;=100),N69*1%,IF(AND(N69&gt;20,N69&lt;=50),N69*1.5%,IF(AND(N69&gt;10,N69&lt;=20),N69*2%,IF(AND(N69&gt;1,N69&lt;=10),N69*2.5%)))))))))</f>
        <v>1693.7250000000001</v>
      </c>
      <c r="N84" s="53">
        <f t="shared" ref="N84:N85" ca="1" si="2">ROUND(M84,1)</f>
        <v>1693.7</v>
      </c>
      <c r="O84" s="2030" t="s">
        <v>2884</v>
      </c>
      <c r="P84" s="2030"/>
      <c r="Q84" s="2030"/>
      <c r="R84" s="2030"/>
      <c r="S84" s="2030"/>
      <c r="T84" s="2030"/>
      <c r="U84" s="2030"/>
      <c r="V84" s="2030"/>
    </row>
    <row r="85" spans="1:26" ht="12.75">
      <c r="A85" s="381" t="s">
        <v>1829</v>
      </c>
      <c r="B85" s="382" t="s">
        <v>435</v>
      </c>
      <c r="C85" s="385">
        <f ca="1">C81-C84</f>
        <v>320614</v>
      </c>
      <c r="D85" s="378" t="s">
        <v>19</v>
      </c>
      <c r="E85" s="379"/>
      <c r="F85" s="42"/>
      <c r="G85" s="42"/>
      <c r="H85" s="1003"/>
      <c r="I85" s="311"/>
      <c r="J85" s="2030"/>
      <c r="K85" s="3648"/>
      <c r="L85" s="3093" t="s">
        <v>2885</v>
      </c>
      <c r="M85" s="3083">
        <f ca="1">IF(N69&gt;1000,N69*0.1%,IF(AND(N69&gt;500,N69&lt;=1000),N69*0.5%,IF(AND(N69&gt;50,N69&lt;=500),N69*1%,IF(AND(N69&gt;1,N69&lt;=50),N69*1.5%))))</f>
        <v>338.745</v>
      </c>
      <c r="N85" s="53">
        <f t="shared" ca="1" si="2"/>
        <v>338.7</v>
      </c>
      <c r="O85" s="2030" t="s">
        <v>2884</v>
      </c>
      <c r="P85" s="2030"/>
      <c r="Q85" s="2030"/>
      <c r="R85" s="2030"/>
      <c r="S85" s="2030"/>
      <c r="T85" s="2030"/>
      <c r="U85" s="2030"/>
      <c r="V85" s="2030"/>
    </row>
    <row r="86" spans="1:26" ht="13.5" thickBot="1">
      <c r="A86" s="386" t="s">
        <v>1830</v>
      </c>
      <c r="B86" s="387" t="s">
        <v>436</v>
      </c>
      <c r="C86" s="388">
        <f ca="1">IF(C85&lt;=0,0,ROUND(C85*D86,0))</f>
        <v>17954</v>
      </c>
      <c r="D86" s="389">
        <f>'数据-取费表'!B41</f>
        <v>5.6000000000000001E-2</v>
      </c>
      <c r="E86" s="390"/>
      <c r="F86" s="42"/>
      <c r="G86" s="42"/>
      <c r="H86" s="1003"/>
      <c r="I86" s="311"/>
      <c r="J86" s="2030"/>
      <c r="K86" s="3648"/>
      <c r="L86" s="3093" t="s">
        <v>2886</v>
      </c>
      <c r="M86" s="3083">
        <f ca="1">N69*0.5%</f>
        <v>1693.7250000000001</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648"/>
      <c r="L87" s="3093" t="s">
        <v>2888</v>
      </c>
      <c r="M87" s="3083">
        <f ca="1">IF(N69&gt;=10000,(8.25+(N69-10000)*0.01%),IF(AND(N69&gt;=8000,N69&lt;10000),(7.85+(N69-8000)*0.02%),IF(AND(N69&gt;=5000,N69&lt;8000),(6.65+(N69-5000)*0.04%),IF(AND(N69&gt;=2000,N69&lt;5000),(4.25+(PN69-2000)*0.08%),IF(AND(N69&gt;=1000,N69&lt;2000),(2.75+(N69-1000)*0.15%),IF(AND(N69&gt;=100,N69&lt;1000),(0.5+(N69-100)*0.25%),IF(AND(N69&gt;0,N69&lt;100),N69*0.5%)))))))</f>
        <v>41.124500000000005</v>
      </c>
      <c r="N87" s="53">
        <f ca="1">ROUND(M87*0.9,1)</f>
        <v>37</v>
      </c>
      <c r="O87" s="3086"/>
      <c r="P87" s="311"/>
      <c r="Q87" s="2030"/>
      <c r="R87" s="2030"/>
      <c r="S87" s="2030"/>
      <c r="T87" s="2030"/>
      <c r="U87" s="2030"/>
      <c r="V87" s="2030"/>
      <c r="W87" s="292"/>
      <c r="X87" s="292"/>
      <c r="Y87" s="292"/>
      <c r="Z87" s="292"/>
    </row>
    <row r="88" spans="1:26" s="1314" customFormat="1" ht="15" thickBot="1">
      <c r="A88" s="3630" t="s">
        <v>437</v>
      </c>
      <c r="B88" s="3631"/>
      <c r="C88" s="3631"/>
      <c r="D88" s="3631"/>
      <c r="E88" s="3631"/>
      <c r="F88" s="3631"/>
      <c r="G88" s="3631"/>
      <c r="H88" s="3631"/>
      <c r="I88" s="1315"/>
      <c r="J88" s="2038"/>
      <c r="K88" s="3648"/>
      <c r="L88" s="3093" t="s">
        <v>2889</v>
      </c>
      <c r="M88" s="3083">
        <f ca="1">IF(N69&gt;10000,N69*0.5%,IF(AND(N69&gt;5000,N69&lt;=10000),N69*1%,IF(AND(N69&gt;1000,N69&lt;=5000),N69*2%,IF(AND(N69&gt;200,N69&lt;=1000),N69*3%,N69*5%))))</f>
        <v>1693.7250000000001</v>
      </c>
      <c r="N88" s="53">
        <f ca="1">ROUND(M88,1)</f>
        <v>1693.7</v>
      </c>
      <c r="O88" s="3086"/>
      <c r="P88" s="11"/>
      <c r="Q88" s="2035"/>
      <c r="R88" s="2035"/>
      <c r="S88" s="2035"/>
      <c r="T88" s="2035"/>
      <c r="U88" s="2035"/>
      <c r="V88" s="2035"/>
      <c r="W88" s="2039"/>
      <c r="X88" s="2039"/>
      <c r="Y88" s="2039"/>
      <c r="Z88" s="2039"/>
    </row>
    <row r="89" spans="1:26" s="1314" customFormat="1" ht="14.25">
      <c r="A89" s="3628" t="s">
        <v>428</v>
      </c>
      <c r="B89" s="3629"/>
      <c r="C89" s="994"/>
      <c r="D89" s="994" t="s">
        <v>429</v>
      </c>
      <c r="E89" s="391" t="s">
        <v>438</v>
      </c>
      <c r="F89" s="392"/>
      <c r="G89" s="392"/>
      <c r="H89" s="393"/>
      <c r="I89" s="1316"/>
      <c r="J89" s="2040"/>
      <c r="K89" s="3648"/>
      <c r="L89" s="3093" t="s">
        <v>27</v>
      </c>
      <c r="M89" s="3084"/>
      <c r="N89" s="53">
        <f ca="1">ROUND(SUM(N83:N88),0)</f>
        <v>5457</v>
      </c>
      <c r="O89" s="3094">
        <f ca="1">N89/N69</f>
        <v>1.610946287030067E-2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322614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4517</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591" t="s">
        <v>447</v>
      </c>
      <c r="F94" s="3590"/>
      <c r="G94" s="3590"/>
      <c r="H94" s="362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1936</v>
      </c>
      <c r="D96" s="406">
        <f>'数据-取费表'!B43</f>
        <v>6.000000000000001E-3</v>
      </c>
      <c r="E96" s="3619" t="s">
        <v>2433</v>
      </c>
      <c r="F96" s="3620"/>
      <c r="G96" s="3620"/>
      <c r="H96" s="362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318097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70.42218286473323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189277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30" t="s">
        <v>454</v>
      </c>
      <c r="B101" s="3631"/>
      <c r="C101" s="3631"/>
      <c r="D101" s="3631"/>
      <c r="E101" s="3631"/>
      <c r="F101" s="3631"/>
      <c r="G101" s="3631"/>
      <c r="H101" s="363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28" t="s">
        <v>428</v>
      </c>
      <c r="B102" s="362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322614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288417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260437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250300</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10137</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0</v>
      </c>
      <c r="D109" s="406"/>
      <c r="E109" s="3622" t="s">
        <v>462</v>
      </c>
      <c r="F109" s="3620"/>
      <c r="G109" s="3620"/>
      <c r="H109" s="1943" t="s">
        <v>2283</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26044</v>
      </c>
      <c r="D110" s="406">
        <v>0.1</v>
      </c>
      <c r="E110" s="3622" t="s">
        <v>464</v>
      </c>
      <c r="F110" s="3620"/>
      <c r="G110" s="3620"/>
      <c r="H110" s="362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1936</v>
      </c>
      <c r="D111" s="406">
        <f>'数据-取费表'!B43</f>
        <v>6.000000000000001E-3</v>
      </c>
      <c r="E111" s="3619" t="s">
        <v>2433</v>
      </c>
      <c r="F111" s="3620"/>
      <c r="G111" s="3620"/>
      <c r="H111" s="362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22" t="s">
        <v>2458</v>
      </c>
      <c r="F112" s="3620"/>
      <c r="G112" s="3620"/>
      <c r="H112" s="362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34197</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0.11856790688482302</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10259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湖北省武汉市江岸区澳门路与解放大道交汇处出让国有建设用地使用权抵押价格预评估</v>
      </c>
      <c r="AX2" s="2923"/>
      <c r="AZ2" s="2923"/>
      <c r="BA2" s="2924"/>
      <c r="BC2" s="2924"/>
    </row>
    <row r="3" spans="1:55" s="2925" customFormat="1">
      <c r="A3" s="2904" t="s">
        <v>2668</v>
      </c>
      <c r="B3" s="2907" t="str">
        <f>'预评函-封皮'!B40</f>
        <v>湖北长江联合置地有限公司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康正预评字2018-1-0036号</v>
      </c>
    </row>
    <row r="6" spans="1:55" s="2928" customFormat="1" ht="15" thickTop="1">
      <c r="A6" s="2920" t="s">
        <v>2712</v>
      </c>
      <c r="B6" s="2921" t="str">
        <f>'预评函-1'!A4</f>
        <v>受贵公司委托，我公司对湖北省武汉市江岸区澳门路与解放大道交汇处出让国有建设用地使用权抵押价格进行了预评估。</v>
      </c>
      <c r="AM6" s="2929"/>
    </row>
    <row r="7" spans="1:55" s="2903" customFormat="1">
      <c r="A7" s="2904" t="s">
        <v>2664</v>
      </c>
      <c r="B7" s="2905" t="str">
        <f>'预评函-1'!A6</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2018年1月17日（评估专业人员勘察现场之日）</v>
      </c>
    </row>
    <row r="11" spans="1:55" s="2903" customFormat="1">
      <c r="A11" s="2904" t="s">
        <v>2672</v>
      </c>
      <c r="B11" s="2905" t="str">
        <f>'预评函-1'!A14</f>
        <v>根据《国有土地使用证》[]，本次评估估价对象证载（地类）用途为商业、住宅。</v>
      </c>
    </row>
    <row r="12" spans="1:55" s="2903" customFormat="1">
      <c r="A12" s="2904" t="s">
        <v>2673</v>
      </c>
      <c r="B12" s="2905" t="str">
        <f>'预评函-1'!A15</f>
        <v>本次评估设定用途即为证载用途商业、住宅。</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根据《国有土地使用证》[]，估价对象（分摊）出让国有建设用地使用权面积为19142.32平方米。根据《建设工程规划许可证》[]、《出让合同》[]，估价对象规划建筑面积为180000平方米。</v>
      </c>
    </row>
    <row r="16" spans="1:55" s="2903" customFormat="1">
      <c r="A16" s="2904" t="s">
        <v>2676</v>
      </c>
      <c r="B16" s="2905" t="str">
        <f>'预评函-1'!A22</f>
        <v>本次估价对象为出让国有建设用地使用权，《国有土地使用证》[]证载土地终止日期为住宅2087年11月30日、商业2057年11月30日。截至估价期日，出让国有建设用地使用权剩余土地使用年限为。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估价期日：2018年1月17日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商业、住宅</v>
      </c>
      <c r="AV32" s="2909"/>
    </row>
    <row r="33" spans="1:2">
      <c r="A33" s="2904" t="s">
        <v>2720</v>
      </c>
      <c r="B33" s="2905">
        <f>'预评函-2'!F5</f>
        <v>258</v>
      </c>
    </row>
    <row r="34" spans="1:2">
      <c r="A34" s="2904" t="s">
        <v>2721</v>
      </c>
      <c r="B34" s="2905" t="str">
        <f>'预评函-2'!G5</f>
        <v>商业、住宅</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19142.32</v>
      </c>
    </row>
    <row r="44" spans="1:2">
      <c r="A44" s="2904" t="s">
        <v>2747</v>
      </c>
      <c r="B44" s="2905" t="str">
        <f>'预评函-2'!O3</f>
        <v>规划建筑面积/㎡</v>
      </c>
    </row>
    <row r="45" spans="1:2">
      <c r="A45" s="2904" t="s">
        <v>2729</v>
      </c>
      <c r="B45" s="2905">
        <f>'预评函-2'!O5</f>
        <v>180000</v>
      </c>
    </row>
    <row r="46" spans="1:2">
      <c r="A46" s="2904" t="s">
        <v>2730</v>
      </c>
      <c r="B46" s="2905">
        <f ca="1">'预评函-2'!P5</f>
        <v>176961</v>
      </c>
    </row>
    <row r="47" spans="1:2">
      <c r="A47" s="2904" t="s">
        <v>2731</v>
      </c>
      <c r="B47" s="2905">
        <f ca="1">'预评函-2'!Q5</f>
        <v>18819</v>
      </c>
    </row>
    <row r="48" spans="1:2">
      <c r="A48" s="2904" t="s">
        <v>2732</v>
      </c>
      <c r="B48" s="2905">
        <f ca="1">'预评函-2'!R5</f>
        <v>338745</v>
      </c>
    </row>
    <row r="49" spans="1:2">
      <c r="A49" s="2904" t="s">
        <v>2748</v>
      </c>
      <c r="B49" s="2905" t="str">
        <f>'预评函-2'!A6</f>
        <v>抵押价格</v>
      </c>
    </row>
    <row r="50" spans="1:2">
      <c r="A50" s="2904" t="s">
        <v>2733</v>
      </c>
      <c r="B50" s="2905">
        <f ca="1">'预评函-2'!R6</f>
        <v>338745</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307033</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0" zoomScale="80" zoomScaleNormal="95" zoomScaleSheetLayoutView="80" workbookViewId="0">
      <selection activeCell="E33" sqref="E3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327690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18205</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171186</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11412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73" t="s">
        <v>523</v>
      </c>
      <c r="D6" s="3674"/>
      <c r="E6" s="3673" t="s">
        <v>524</v>
      </c>
      <c r="F6" s="3674"/>
      <c r="G6" s="3673" t="s">
        <v>525</v>
      </c>
      <c r="H6" s="3674"/>
      <c r="I6" s="3673" t="s">
        <v>526</v>
      </c>
      <c r="J6" s="3674"/>
      <c r="K6" s="514" t="s">
        <v>527</v>
      </c>
      <c r="L6" s="2135"/>
      <c r="M6" s="2134"/>
      <c r="N6" s="2134"/>
      <c r="O6" s="2136"/>
      <c r="P6" s="3675" t="s">
        <v>528</v>
      </c>
      <c r="Q6" s="3676"/>
      <c r="R6" s="3681" t="s">
        <v>524</v>
      </c>
      <c r="S6" s="3682"/>
      <c r="T6" s="3681" t="s">
        <v>525</v>
      </c>
      <c r="U6" s="3682"/>
      <c r="V6" s="3668" t="s">
        <v>526</v>
      </c>
      <c r="W6" s="3668"/>
      <c r="X6" s="1568"/>
      <c r="Y6" s="3681" t="s">
        <v>528</v>
      </c>
      <c r="Z6" s="3682"/>
      <c r="AA6" s="3670" t="s">
        <v>524</v>
      </c>
      <c r="AB6" s="3671" t="s">
        <v>525</v>
      </c>
      <c r="AC6" s="3670" t="s">
        <v>526</v>
      </c>
    </row>
    <row r="7" spans="1:30" ht="20.25">
      <c r="A7" s="515"/>
      <c r="B7" s="516"/>
      <c r="C7" s="3689" t="s">
        <v>2937</v>
      </c>
      <c r="D7" s="3690"/>
      <c r="E7" s="3689" t="s">
        <v>3244</v>
      </c>
      <c r="F7" s="3690"/>
      <c r="G7" s="3689" t="s">
        <v>3245</v>
      </c>
      <c r="H7" s="3690"/>
      <c r="I7" s="3689" t="s">
        <v>3246</v>
      </c>
      <c r="J7" s="3690"/>
      <c r="K7" s="514"/>
      <c r="L7" s="2135"/>
      <c r="M7" s="2134"/>
      <c r="N7" s="2134"/>
      <c r="O7" s="2136"/>
      <c r="P7" s="3677"/>
      <c r="Q7" s="3678"/>
      <c r="R7" s="3683"/>
      <c r="S7" s="3684"/>
      <c r="T7" s="3683"/>
      <c r="U7" s="3684"/>
      <c r="V7" s="3668"/>
      <c r="W7" s="3668"/>
      <c r="X7" s="1568"/>
      <c r="Y7" s="3683"/>
      <c r="Z7" s="3684"/>
      <c r="AA7" s="3671"/>
      <c r="AB7" s="3671"/>
      <c r="AC7" s="3671"/>
    </row>
    <row r="8" spans="1:30" ht="21" thickBot="1">
      <c r="A8" s="515"/>
      <c r="B8" s="516"/>
      <c r="C8" s="3691" t="str">
        <f>项目基本情况!F10</f>
        <v>江岸区澳门路与解放大道交汇处</v>
      </c>
      <c r="D8" s="3692"/>
      <c r="E8" s="3693" t="s">
        <v>3247</v>
      </c>
      <c r="F8" s="3692"/>
      <c r="G8" s="3687" t="s">
        <v>3248</v>
      </c>
      <c r="H8" s="3688"/>
      <c r="I8" s="3687" t="s">
        <v>3249</v>
      </c>
      <c r="J8" s="3688"/>
      <c r="K8" s="514" t="s">
        <v>529</v>
      </c>
      <c r="L8" s="2135"/>
      <c r="M8" s="2134"/>
      <c r="N8" s="2134"/>
      <c r="O8" s="2136"/>
      <c r="P8" s="3679"/>
      <c r="Q8" s="3680"/>
      <c r="R8" s="3683"/>
      <c r="S8" s="3684"/>
      <c r="T8" s="3685"/>
      <c r="U8" s="3686"/>
      <c r="V8" s="3668"/>
      <c r="W8" s="3668"/>
      <c r="X8" s="1568"/>
      <c r="Y8" s="3685"/>
      <c r="Z8" s="3686"/>
      <c r="AA8" s="3672"/>
      <c r="AB8" s="3672"/>
      <c r="AC8" s="3672"/>
    </row>
    <row r="9" spans="1:30" s="1220" customFormat="1" ht="21" thickBot="1">
      <c r="A9" s="2939"/>
      <c r="B9" s="2946" t="s">
        <v>530</v>
      </c>
      <c r="C9" s="2938">
        <f>'数据-取费表'!B2</f>
        <v>43117</v>
      </c>
      <c r="D9" s="520">
        <v>100</v>
      </c>
      <c r="E9" s="521">
        <v>42581</v>
      </c>
      <c r="F9" s="522">
        <f>SUMIF(72:72,YEAR(E9)&amp;"-"&amp;INT((MONTH(E9)+2)/3),73:73)</f>
        <v>97</v>
      </c>
      <c r="G9" s="523">
        <v>42759</v>
      </c>
      <c r="H9" s="520">
        <f>SUMIF(72:72,YEAR(G9)&amp;"-"&amp;INT((MONTH(G9)+2)/3),73:73)</f>
        <v>98</v>
      </c>
      <c r="I9" s="523">
        <v>42552</v>
      </c>
      <c r="J9" s="520">
        <f>SUMIF(72:72,YEAR(I9)&amp;"-"&amp;INT((MONTH(I9)+2)/3),73:73)</f>
        <v>97</v>
      </c>
      <c r="K9" s="524"/>
      <c r="L9" s="2137"/>
      <c r="M9" s="2134"/>
      <c r="N9" s="2134"/>
      <c r="O9" s="2138"/>
      <c r="P9" s="3699" t="s">
        <v>531</v>
      </c>
      <c r="Q9" s="3701"/>
      <c r="R9" s="1569" t="s">
        <v>8</v>
      </c>
      <c r="S9" s="1570">
        <f t="shared" ref="S9:S17" si="0">F9</f>
        <v>97</v>
      </c>
      <c r="T9" s="1569" t="s">
        <v>8</v>
      </c>
      <c r="U9" s="1570">
        <f t="shared" ref="U9:U17" si="1">H9</f>
        <v>98</v>
      </c>
      <c r="V9" s="1569" t="s">
        <v>8</v>
      </c>
      <c r="W9" s="1570">
        <f t="shared" ref="W9:W17" si="2">J9</f>
        <v>97</v>
      </c>
      <c r="X9" s="1571"/>
      <c r="Y9" s="3699" t="s">
        <v>531</v>
      </c>
      <c r="Z9" s="3700"/>
      <c r="AA9" s="1572">
        <f>D9/F9</f>
        <v>1.0309278350515463</v>
      </c>
      <c r="AB9" s="1572">
        <f>D9/H9</f>
        <v>1.0204081632653061</v>
      </c>
      <c r="AC9" s="1572">
        <f>D9/J9</f>
        <v>1.0309278350515463</v>
      </c>
    </row>
    <row r="10" spans="1:30" s="1220" customFormat="1" ht="21" thickBot="1">
      <c r="A10" s="2940"/>
      <c r="B10" s="2947" t="s">
        <v>532</v>
      </c>
      <c r="C10" s="856" t="s">
        <v>3250</v>
      </c>
      <c r="D10" s="520">
        <v>100</v>
      </c>
      <c r="E10" s="525" t="s">
        <v>3250</v>
      </c>
      <c r="F10" s="522">
        <f>SUMIF(75:75,E10,76:76)-SUMIF(75:75,C10,76:76)+100</f>
        <v>100</v>
      </c>
      <c r="G10" s="525" t="s">
        <v>3250</v>
      </c>
      <c r="H10" s="520">
        <f>SUMIF(75:75,G10,76:76)-SUMIF(75:75,C10,76:76)+100</f>
        <v>100</v>
      </c>
      <c r="I10" s="525" t="s">
        <v>3250</v>
      </c>
      <c r="J10" s="520">
        <f>SUMIF(75:75,I10,76:76)-SUMIF(75:75,C10,76:76)+100</f>
        <v>100</v>
      </c>
      <c r="K10" s="524"/>
      <c r="L10" s="2137"/>
      <c r="M10" s="2134"/>
      <c r="N10" s="2134"/>
      <c r="O10" s="2138"/>
      <c r="P10" s="3699" t="s">
        <v>534</v>
      </c>
      <c r="Q10" s="3700"/>
      <c r="R10" s="1569" t="s">
        <v>8</v>
      </c>
      <c r="S10" s="1570">
        <f t="shared" si="0"/>
        <v>100</v>
      </c>
      <c r="T10" s="1569" t="s">
        <v>8</v>
      </c>
      <c r="U10" s="1570">
        <f t="shared" si="1"/>
        <v>100</v>
      </c>
      <c r="V10" s="1569" t="s">
        <v>8</v>
      </c>
      <c r="W10" s="1570">
        <f t="shared" si="2"/>
        <v>100</v>
      </c>
      <c r="X10" s="1571"/>
      <c r="Y10" s="3699" t="s">
        <v>534</v>
      </c>
      <c r="Z10" s="3700"/>
      <c r="AA10" s="1572">
        <f t="shared" ref="AA10:AA47" si="3">D10/F10</f>
        <v>1</v>
      </c>
      <c r="AB10" s="1572">
        <f t="shared" ref="AB10:AB47" si="4">D10/H10</f>
        <v>1</v>
      </c>
      <c r="AC10" s="1572">
        <f t="shared" ref="AC10:AC47" si="5">D10/J10</f>
        <v>1</v>
      </c>
    </row>
    <row r="11" spans="1:30" s="1220" customFormat="1" ht="20.25">
      <c r="A11" s="2941"/>
      <c r="B11" s="2948" t="s">
        <v>2763</v>
      </c>
      <c r="C11" s="2935" t="s">
        <v>3251</v>
      </c>
      <c r="D11" s="254">
        <v>100</v>
      </c>
      <c r="E11" s="526" t="s">
        <v>924</v>
      </c>
      <c r="F11" s="254">
        <f>SUMIF(77:77,E11,78:78)-SUMIF(77:77,C11,78:78)+100</f>
        <v>102</v>
      </c>
      <c r="G11" s="526" t="s">
        <v>3251</v>
      </c>
      <c r="H11" s="254">
        <f>SUMIF(77:77,G11,78:78)-SUMIF(77:77,C11,78:78)+100</f>
        <v>100</v>
      </c>
      <c r="I11" s="526" t="s">
        <v>3251</v>
      </c>
      <c r="J11" s="254">
        <f>SUMIF(77:77,I11,78:78)-SUMIF(77:77,C11,78:78)+100</f>
        <v>100</v>
      </c>
      <c r="K11" s="524"/>
      <c r="L11" s="2137"/>
      <c r="M11" s="2134"/>
      <c r="N11" s="2134"/>
      <c r="O11" s="2139"/>
      <c r="P11" s="3667" t="s">
        <v>536</v>
      </c>
      <c r="Q11" s="1151" t="str">
        <f t="shared" ref="Q11:Q17" si="6">B11</f>
        <v>用途</v>
      </c>
      <c r="R11" s="1569" t="s">
        <v>8</v>
      </c>
      <c r="S11" s="1570">
        <f t="shared" si="0"/>
        <v>102</v>
      </c>
      <c r="T11" s="1569" t="s">
        <v>8</v>
      </c>
      <c r="U11" s="1570">
        <f t="shared" si="1"/>
        <v>100</v>
      </c>
      <c r="V11" s="1569" t="s">
        <v>8</v>
      </c>
      <c r="W11" s="1570">
        <f t="shared" si="2"/>
        <v>100</v>
      </c>
      <c r="X11" s="1571"/>
      <c r="Y11" s="3613" t="s">
        <v>537</v>
      </c>
      <c r="Z11" s="1150" t="str">
        <f t="shared" ref="Z11:Z17" si="7">Q11</f>
        <v>用途</v>
      </c>
      <c r="AA11" s="1572">
        <f t="shared" si="3"/>
        <v>0.98039215686274506</v>
      </c>
      <c r="AB11" s="1572">
        <f t="shared" si="4"/>
        <v>1</v>
      </c>
      <c r="AC11" s="1572">
        <f t="shared" si="5"/>
        <v>1</v>
      </c>
    </row>
    <row r="12" spans="1:30" s="1338" customFormat="1" ht="27">
      <c r="A12" s="2942"/>
      <c r="B12" s="2947" t="s">
        <v>2764</v>
      </c>
      <c r="C12" s="910" t="s">
        <v>3252</v>
      </c>
      <c r="D12" s="255">
        <v>100</v>
      </c>
      <c r="E12" s="529" t="s">
        <v>3253</v>
      </c>
      <c r="F12" s="255">
        <f>ROUND(100/'数据-取费表'!G16,0)</f>
        <v>100</v>
      </c>
      <c r="G12" s="530" t="s">
        <v>3252</v>
      </c>
      <c r="H12" s="255">
        <f>ROUND(100/'数据-取费表'!G16,0)</f>
        <v>100</v>
      </c>
      <c r="I12" s="530" t="s">
        <v>3252</v>
      </c>
      <c r="J12" s="255">
        <f>ROUND(100/'数据-取费表'!G16,0)</f>
        <v>100</v>
      </c>
      <c r="K12" s="531"/>
      <c r="L12" s="2140"/>
      <c r="M12" s="2134"/>
      <c r="N12" s="2134"/>
      <c r="O12" s="2141"/>
      <c r="P12" s="3667"/>
      <c r="Q12" s="1151" t="str">
        <f t="shared" si="6"/>
        <v>土地使用年限（年）</v>
      </c>
      <c r="R12" s="1569" t="s">
        <v>8</v>
      </c>
      <c r="S12" s="1570">
        <f t="shared" si="0"/>
        <v>100</v>
      </c>
      <c r="T12" s="1569" t="s">
        <v>8</v>
      </c>
      <c r="U12" s="1570">
        <f t="shared" si="1"/>
        <v>100</v>
      </c>
      <c r="V12" s="1569" t="s">
        <v>8</v>
      </c>
      <c r="W12" s="1570">
        <f t="shared" si="2"/>
        <v>100</v>
      </c>
      <c r="X12" s="1571"/>
      <c r="Y12" s="3613"/>
      <c r="Z12" s="1150" t="str">
        <f t="shared" si="7"/>
        <v>土地使用年限（年）</v>
      </c>
      <c r="AA12" s="1572">
        <f t="shared" si="3"/>
        <v>1</v>
      </c>
      <c r="AB12" s="1572">
        <f t="shared" si="4"/>
        <v>1</v>
      </c>
      <c r="AC12" s="1572">
        <f t="shared" si="5"/>
        <v>1</v>
      </c>
    </row>
    <row r="13" spans="1:30" ht="21" thickBot="1">
      <c r="A13" s="2943"/>
      <c r="B13" s="2947" t="s">
        <v>2765</v>
      </c>
      <c r="C13" s="534">
        <v>9.4</v>
      </c>
      <c r="D13" s="255">
        <v>100</v>
      </c>
      <c r="E13" s="533">
        <v>3</v>
      </c>
      <c r="F13" s="255">
        <f>LOOKUP(E13,82:82,83:83)-LOOKUP(C13,82:82,83:83)+100</f>
        <v>109</v>
      </c>
      <c r="G13" s="534">
        <v>5.54</v>
      </c>
      <c r="H13" s="255">
        <f>LOOKUP(G13,82:82,83:83)-LOOKUP(C13,82:82,83:83)+100</f>
        <v>106</v>
      </c>
      <c r="I13" s="533">
        <v>4</v>
      </c>
      <c r="J13" s="255">
        <f>LOOKUP(I13,82:82,83:83)-LOOKUP(C13,82:82,83:83)+100</f>
        <v>106</v>
      </c>
      <c r="K13" s="535">
        <v>3</v>
      </c>
      <c r="L13" s="2142"/>
      <c r="M13" s="2134"/>
      <c r="N13" s="2134"/>
      <c r="O13" s="2143"/>
      <c r="P13" s="3667"/>
      <c r="Q13" s="1151" t="str">
        <f t="shared" si="6"/>
        <v>容积率</v>
      </c>
      <c r="R13" s="1569" t="s">
        <v>8</v>
      </c>
      <c r="S13" s="1570">
        <f t="shared" si="0"/>
        <v>109</v>
      </c>
      <c r="T13" s="1569" t="s">
        <v>8</v>
      </c>
      <c r="U13" s="1570">
        <f t="shared" si="1"/>
        <v>106</v>
      </c>
      <c r="V13" s="1569" t="s">
        <v>8</v>
      </c>
      <c r="W13" s="1570">
        <f t="shared" si="2"/>
        <v>106</v>
      </c>
      <c r="X13" s="1571"/>
      <c r="Y13" s="3613"/>
      <c r="Z13" s="1150" t="str">
        <f t="shared" si="7"/>
        <v>容积率</v>
      </c>
      <c r="AA13" s="1572">
        <f t="shared" si="3"/>
        <v>0.91743119266055051</v>
      </c>
      <c r="AB13" s="1572">
        <f t="shared" si="4"/>
        <v>0.94339622641509435</v>
      </c>
      <c r="AC13" s="1572">
        <f t="shared" si="5"/>
        <v>0.94339622641509435</v>
      </c>
    </row>
    <row r="14" spans="1:30" s="1220" customFormat="1" ht="20.25" hidden="1">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67"/>
      <c r="Q14" s="1151" t="str">
        <f t="shared" si="6"/>
        <v>配建</v>
      </c>
      <c r="R14" s="1569" t="s">
        <v>8</v>
      </c>
      <c r="S14" s="1570">
        <f t="shared" si="0"/>
        <v>100</v>
      </c>
      <c r="T14" s="1569" t="s">
        <v>8</v>
      </c>
      <c r="U14" s="1570">
        <f t="shared" si="1"/>
        <v>100</v>
      </c>
      <c r="V14" s="1569" t="s">
        <v>8</v>
      </c>
      <c r="W14" s="1570">
        <f t="shared" si="2"/>
        <v>100</v>
      </c>
      <c r="X14" s="1571"/>
      <c r="Y14" s="3613"/>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67"/>
      <c r="Q15" s="1151">
        <f t="shared" si="6"/>
        <v>111</v>
      </c>
      <c r="R15" s="1569" t="s">
        <v>8</v>
      </c>
      <c r="S15" s="1570">
        <f t="shared" si="0"/>
        <v>100</v>
      </c>
      <c r="T15" s="1569" t="s">
        <v>8</v>
      </c>
      <c r="U15" s="1570">
        <f t="shared" si="1"/>
        <v>100</v>
      </c>
      <c r="V15" s="1569" t="s">
        <v>8</v>
      </c>
      <c r="W15" s="1570">
        <f t="shared" si="2"/>
        <v>100</v>
      </c>
      <c r="X15" s="1571"/>
      <c r="Y15" s="3613"/>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67"/>
      <c r="Q16" s="1151">
        <f t="shared" si="6"/>
        <v>111</v>
      </c>
      <c r="R16" s="1569" t="s">
        <v>8</v>
      </c>
      <c r="S16" s="1570">
        <f t="shared" si="0"/>
        <v>100</v>
      </c>
      <c r="T16" s="1569" t="s">
        <v>8</v>
      </c>
      <c r="U16" s="1570">
        <f t="shared" si="1"/>
        <v>100</v>
      </c>
      <c r="V16" s="1569" t="s">
        <v>8</v>
      </c>
      <c r="W16" s="1570">
        <f t="shared" si="2"/>
        <v>100</v>
      </c>
      <c r="X16" s="1571"/>
      <c r="Y16" s="3613"/>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97</v>
      </c>
      <c r="K17" s="535">
        <v>3</v>
      </c>
      <c r="L17" s="2144"/>
      <c r="M17" s="2134"/>
      <c r="N17" s="2134"/>
      <c r="O17" s="2143"/>
      <c r="P17" s="3702" t="s">
        <v>541</v>
      </c>
      <c r="Q17" s="1573" t="str">
        <f t="shared" si="6"/>
        <v>居住社区成熟度</v>
      </c>
      <c r="R17" s="1574" t="s">
        <v>8</v>
      </c>
      <c r="S17" s="1575">
        <f t="shared" si="0"/>
        <v>100</v>
      </c>
      <c r="T17" s="1574" t="s">
        <v>8</v>
      </c>
      <c r="U17" s="1575">
        <f t="shared" si="1"/>
        <v>100</v>
      </c>
      <c r="V17" s="1574" t="s">
        <v>8</v>
      </c>
      <c r="W17" s="1575">
        <f t="shared" si="2"/>
        <v>97</v>
      </c>
      <c r="X17" s="1568"/>
      <c r="Y17" s="3702" t="s">
        <v>541</v>
      </c>
      <c r="Z17" s="1576" t="str">
        <f t="shared" si="7"/>
        <v>居住社区成熟度</v>
      </c>
      <c r="AA17" s="1577">
        <f t="shared" si="3"/>
        <v>1</v>
      </c>
      <c r="AB17" s="1577">
        <f t="shared" si="4"/>
        <v>1</v>
      </c>
      <c r="AC17" s="1577">
        <f t="shared" si="5"/>
        <v>1.0309278350515463</v>
      </c>
    </row>
    <row r="18" spans="1:29" ht="20.25">
      <c r="A18" s="532"/>
      <c r="B18" s="553"/>
      <c r="C18" s="554" t="s">
        <v>3254</v>
      </c>
      <c r="D18" s="557"/>
      <c r="E18" s="558" t="s">
        <v>3254</v>
      </c>
      <c r="F18" s="555"/>
      <c r="G18" s="556" t="s">
        <v>3254</v>
      </c>
      <c r="H18" s="559"/>
      <c r="I18" s="558" t="s">
        <v>3255</v>
      </c>
      <c r="J18" s="555"/>
      <c r="K18" s="531"/>
      <c r="L18" s="2144"/>
      <c r="M18" s="2134"/>
      <c r="N18" s="2134"/>
      <c r="O18" s="2143"/>
      <c r="P18" s="3703"/>
      <c r="Q18" s="1573"/>
      <c r="R18" s="1574"/>
      <c r="S18" s="1575"/>
      <c r="T18" s="1574"/>
      <c r="U18" s="1575"/>
      <c r="V18" s="1574"/>
      <c r="W18" s="1575"/>
      <c r="X18" s="1568"/>
      <c r="Y18" s="3703"/>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4"/>
      <c r="M19" s="2134"/>
      <c r="N19" s="2134"/>
      <c r="O19" s="2143"/>
      <c r="P19" s="3703"/>
      <c r="Q19" s="1573" t="str">
        <f>B19</f>
        <v>商业繁华度</v>
      </c>
      <c r="R19" s="1574" t="s">
        <v>8</v>
      </c>
      <c r="S19" s="1575">
        <f>F19</f>
        <v>100</v>
      </c>
      <c r="T19" s="1574" t="s">
        <v>8</v>
      </c>
      <c r="U19" s="1575">
        <f>H19</f>
        <v>100</v>
      </c>
      <c r="V19" s="1574" t="s">
        <v>8</v>
      </c>
      <c r="W19" s="1575">
        <f>J19</f>
        <v>100</v>
      </c>
      <c r="X19" s="1568"/>
      <c r="Y19" s="3703"/>
      <c r="Z19" s="1576" t="str">
        <f>Q19</f>
        <v>商业繁华度</v>
      </c>
      <c r="AA19" s="1577">
        <f t="shared" si="3"/>
        <v>1</v>
      </c>
      <c r="AB19" s="1577">
        <f t="shared" si="4"/>
        <v>1</v>
      </c>
      <c r="AC19" s="1577">
        <f t="shared" si="5"/>
        <v>1</v>
      </c>
    </row>
    <row r="20" spans="1:29" ht="20.25">
      <c r="A20" s="532"/>
      <c r="B20" s="566"/>
      <c r="C20" s="567" t="s">
        <v>3254</v>
      </c>
      <c r="D20" s="563"/>
      <c r="E20" s="569" t="s">
        <v>3254</v>
      </c>
      <c r="F20" s="559"/>
      <c r="G20" s="568" t="s">
        <v>3254</v>
      </c>
      <c r="H20" s="555"/>
      <c r="I20" s="569" t="s">
        <v>3254</v>
      </c>
      <c r="J20" s="555"/>
      <c r="K20" s="531"/>
      <c r="L20" s="2144"/>
      <c r="M20" s="2134"/>
      <c r="N20" s="2134"/>
      <c r="O20" s="2143"/>
      <c r="P20" s="3703"/>
      <c r="Q20" s="1573"/>
      <c r="R20" s="1574"/>
      <c r="S20" s="1575"/>
      <c r="T20" s="1574"/>
      <c r="U20" s="1575"/>
      <c r="V20" s="1574"/>
      <c r="W20" s="1575"/>
      <c r="X20" s="1568"/>
      <c r="Y20" s="3703"/>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97</v>
      </c>
      <c r="K21" s="535">
        <v>3</v>
      </c>
      <c r="L21" s="2144"/>
      <c r="M21" s="2134"/>
      <c r="N21" s="2134"/>
      <c r="O21" s="2143"/>
      <c r="P21" s="3703"/>
      <c r="Q21" s="1573" t="str">
        <f>B21</f>
        <v>办公集聚程度</v>
      </c>
      <c r="R21" s="1574" t="s">
        <v>8</v>
      </c>
      <c r="S21" s="1575">
        <f>F21</f>
        <v>100</v>
      </c>
      <c r="T21" s="1574" t="s">
        <v>8</v>
      </c>
      <c r="U21" s="1575">
        <f>H21</f>
        <v>100</v>
      </c>
      <c r="V21" s="1574" t="s">
        <v>8</v>
      </c>
      <c r="W21" s="1575">
        <f>J21</f>
        <v>97</v>
      </c>
      <c r="X21" s="1568"/>
      <c r="Y21" s="3703"/>
      <c r="Z21" s="1576" t="str">
        <f>Q21</f>
        <v>办公集聚程度</v>
      </c>
      <c r="AA21" s="1577">
        <f t="shared" si="3"/>
        <v>1</v>
      </c>
      <c r="AB21" s="1577">
        <f t="shared" si="4"/>
        <v>1</v>
      </c>
      <c r="AC21" s="1577">
        <f t="shared" si="5"/>
        <v>1.0309278350515463</v>
      </c>
    </row>
    <row r="22" spans="1:29" ht="20.25">
      <c r="A22" s="532"/>
      <c r="B22" s="566"/>
      <c r="C22" s="554" t="s">
        <v>3254</v>
      </c>
      <c r="D22" s="557"/>
      <c r="E22" s="558" t="s">
        <v>3254</v>
      </c>
      <c r="F22" s="555"/>
      <c r="G22" s="556" t="s">
        <v>3254</v>
      </c>
      <c r="H22" s="555"/>
      <c r="I22" s="558" t="s">
        <v>3255</v>
      </c>
      <c r="J22" s="555"/>
      <c r="K22" s="531"/>
      <c r="L22" s="2144"/>
      <c r="M22" s="2134"/>
      <c r="N22" s="2134"/>
      <c r="O22" s="2143"/>
      <c r="P22" s="3703"/>
      <c r="Q22" s="1573"/>
      <c r="R22" s="1574"/>
      <c r="S22" s="1575"/>
      <c r="T22" s="1574"/>
      <c r="U22" s="1575"/>
      <c r="V22" s="1574"/>
      <c r="W22" s="1575"/>
      <c r="X22" s="1568"/>
      <c r="Y22" s="3703"/>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703"/>
      <c r="Q23" s="1573" t="str">
        <f>B23</f>
        <v>交通便捷度</v>
      </c>
      <c r="R23" s="1574" t="s">
        <v>8</v>
      </c>
      <c r="S23" s="1575">
        <f>F23</f>
        <v>100</v>
      </c>
      <c r="T23" s="1574" t="s">
        <v>8</v>
      </c>
      <c r="U23" s="1575">
        <f>H23</f>
        <v>100</v>
      </c>
      <c r="V23" s="1574" t="s">
        <v>8</v>
      </c>
      <c r="W23" s="1575">
        <f>J23</f>
        <v>100</v>
      </c>
      <c r="X23" s="1568"/>
      <c r="Y23" s="3703"/>
      <c r="Z23" s="1576" t="str">
        <f>Q23</f>
        <v>交通便捷度</v>
      </c>
      <c r="AA23" s="1577">
        <f t="shared" si="3"/>
        <v>1</v>
      </c>
      <c r="AB23" s="1577">
        <f t="shared" si="4"/>
        <v>1</v>
      </c>
      <c r="AC23" s="1577">
        <f t="shared" si="5"/>
        <v>1</v>
      </c>
    </row>
    <row r="24" spans="1:29" ht="20.25">
      <c r="A24" s="532"/>
      <c r="B24" s="578"/>
      <c r="C24" s="554" t="s">
        <v>3254</v>
      </c>
      <c r="D24" s="557"/>
      <c r="E24" s="558" t="s">
        <v>3254</v>
      </c>
      <c r="F24" s="555"/>
      <c r="G24" s="556" t="s">
        <v>3254</v>
      </c>
      <c r="H24" s="555"/>
      <c r="I24" s="558" t="s">
        <v>3254</v>
      </c>
      <c r="J24" s="555"/>
      <c r="K24" s="531"/>
      <c r="L24" s="2144"/>
      <c r="M24" s="2134"/>
      <c r="N24" s="2134"/>
      <c r="O24" s="2143"/>
      <c r="P24" s="3703"/>
      <c r="Q24" s="1573"/>
      <c r="R24" s="1574"/>
      <c r="S24" s="1575"/>
      <c r="T24" s="1574"/>
      <c r="U24" s="1575"/>
      <c r="V24" s="1574"/>
      <c r="W24" s="1575"/>
      <c r="X24" s="1568"/>
      <c r="Y24" s="3703"/>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703"/>
      <c r="Q25" s="1573" t="str">
        <f t="shared" ref="Q25:Q39" si="8">B25</f>
        <v>区域土地利用方向</v>
      </c>
      <c r="R25" s="1574" t="s">
        <v>8</v>
      </c>
      <c r="S25" s="1575">
        <f>F25</f>
        <v>100</v>
      </c>
      <c r="T25" s="1574" t="s">
        <v>8</v>
      </c>
      <c r="U25" s="1575">
        <f>H25</f>
        <v>100</v>
      </c>
      <c r="V25" s="1574" t="s">
        <v>8</v>
      </c>
      <c r="W25" s="1575">
        <f>J25</f>
        <v>100</v>
      </c>
      <c r="X25" s="1568"/>
      <c r="Y25" s="3703"/>
      <c r="Z25" s="1576" t="str">
        <f>Q25</f>
        <v>区域土地利用方向</v>
      </c>
      <c r="AA25" s="1577">
        <f t="shared" si="3"/>
        <v>1</v>
      </c>
      <c r="AB25" s="1577">
        <f t="shared" si="4"/>
        <v>1</v>
      </c>
      <c r="AC25" s="1577">
        <f t="shared" si="5"/>
        <v>1</v>
      </c>
    </row>
    <row r="26" spans="1:29" ht="20.25">
      <c r="A26" s="515"/>
      <c r="B26" s="1007"/>
      <c r="C26" s="554" t="s">
        <v>3254</v>
      </c>
      <c r="D26" s="557"/>
      <c r="E26" s="558" t="s">
        <v>3254</v>
      </c>
      <c r="F26" s="555"/>
      <c r="G26" s="556" t="s">
        <v>3254</v>
      </c>
      <c r="H26" s="555"/>
      <c r="I26" s="558" t="s">
        <v>3254</v>
      </c>
      <c r="J26" s="555"/>
      <c r="K26" s="531"/>
      <c r="L26" s="2144"/>
      <c r="M26" s="2134"/>
      <c r="N26" s="2134"/>
      <c r="O26" s="2143"/>
      <c r="P26" s="3703"/>
      <c r="Q26" s="1573"/>
      <c r="R26" s="1574"/>
      <c r="S26" s="1575"/>
      <c r="T26" s="1574"/>
      <c r="U26" s="1575"/>
      <c r="V26" s="1574"/>
      <c r="W26" s="1575"/>
      <c r="X26" s="1568"/>
      <c r="Y26" s="3703"/>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703"/>
      <c r="Q27" s="1573" t="str">
        <f t="shared" si="8"/>
        <v>自然及人文环境状况</v>
      </c>
      <c r="R27" s="1574" t="s">
        <v>8</v>
      </c>
      <c r="S27" s="1575">
        <f>F27</f>
        <v>100</v>
      </c>
      <c r="T27" s="1574" t="s">
        <v>8</v>
      </c>
      <c r="U27" s="1575">
        <f>H27</f>
        <v>100</v>
      </c>
      <c r="V27" s="1574" t="s">
        <v>8</v>
      </c>
      <c r="W27" s="1575">
        <f>J27</f>
        <v>100</v>
      </c>
      <c r="X27" s="1568"/>
      <c r="Y27" s="3703"/>
      <c r="Z27" s="1576" t="str">
        <f>Q27</f>
        <v>自然及人文环境状况</v>
      </c>
      <c r="AA27" s="1577">
        <f t="shared" si="3"/>
        <v>1</v>
      </c>
      <c r="AB27" s="1577">
        <f t="shared" si="4"/>
        <v>1</v>
      </c>
      <c r="AC27" s="1577">
        <f t="shared" si="5"/>
        <v>1</v>
      </c>
    </row>
    <row r="28" spans="1:29" ht="20.25">
      <c r="A28" s="515"/>
      <c r="B28" s="566"/>
      <c r="C28" s="554" t="s">
        <v>3254</v>
      </c>
      <c r="D28" s="557"/>
      <c r="E28" s="576" t="s">
        <v>3254</v>
      </c>
      <c r="F28" s="555"/>
      <c r="G28" s="554" t="s">
        <v>3254</v>
      </c>
      <c r="H28" s="555"/>
      <c r="I28" s="576" t="s">
        <v>3254</v>
      </c>
      <c r="J28" s="555"/>
      <c r="K28" s="531"/>
      <c r="L28" s="2144"/>
      <c r="M28" s="2134"/>
      <c r="N28" s="2134"/>
      <c r="O28" s="2143"/>
      <c r="P28" s="3703"/>
      <c r="Q28" s="1573"/>
      <c r="R28" s="1574"/>
      <c r="S28" s="1575"/>
      <c r="T28" s="1574"/>
      <c r="U28" s="1575"/>
      <c r="V28" s="1574"/>
      <c r="W28" s="1575"/>
      <c r="X28" s="1568"/>
      <c r="Y28" s="3703"/>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703"/>
      <c r="Q29" s="1151" t="str">
        <f t="shared" si="8"/>
        <v>公共配套设施</v>
      </c>
      <c r="R29" s="1569" t="s">
        <v>8</v>
      </c>
      <c r="S29" s="1570">
        <f>F29</f>
        <v>100</v>
      </c>
      <c r="T29" s="1569" t="s">
        <v>8</v>
      </c>
      <c r="U29" s="1570">
        <f>H29</f>
        <v>100</v>
      </c>
      <c r="V29" s="1569" t="s">
        <v>8</v>
      </c>
      <c r="W29" s="1570">
        <f>J29</f>
        <v>100</v>
      </c>
      <c r="X29" s="1571"/>
      <c r="Y29" s="3703"/>
      <c r="Z29" s="1150" t="str">
        <f>Q29</f>
        <v>公共配套设施</v>
      </c>
      <c r="AA29" s="1577">
        <f>D29/F29</f>
        <v>1</v>
      </c>
      <c r="AB29" s="1577">
        <f>D29/H29</f>
        <v>1</v>
      </c>
      <c r="AC29" s="1577">
        <f>D29/J29</f>
        <v>1</v>
      </c>
    </row>
    <row r="30" spans="1:29" s="1220" customFormat="1" ht="20.25">
      <c r="A30" s="577"/>
      <c r="B30" s="566"/>
      <c r="C30" s="579" t="s">
        <v>3254</v>
      </c>
      <c r="D30" s="557"/>
      <c r="E30" s="576" t="s">
        <v>3254</v>
      </c>
      <c r="F30" s="555"/>
      <c r="G30" s="554" t="s">
        <v>3254</v>
      </c>
      <c r="H30" s="555"/>
      <c r="I30" s="576" t="s">
        <v>3254</v>
      </c>
      <c r="J30" s="555"/>
      <c r="K30" s="531"/>
      <c r="L30" s="2137"/>
      <c r="M30" s="2134"/>
      <c r="N30" s="2134"/>
      <c r="O30" s="2139"/>
      <c r="P30" s="3703"/>
      <c r="Q30" s="1151"/>
      <c r="R30" s="1569"/>
      <c r="S30" s="1570"/>
      <c r="T30" s="1569"/>
      <c r="U30" s="1570"/>
      <c r="V30" s="1569"/>
      <c r="W30" s="1570"/>
      <c r="X30" s="1571"/>
      <c r="Y30" s="3703"/>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703"/>
      <c r="Q31" s="2604" t="str">
        <f t="shared" ref="Q31" si="9">B31</f>
        <v>基础设施水平</v>
      </c>
      <c r="R31" s="1569" t="s">
        <v>8</v>
      </c>
      <c r="S31" s="1570">
        <f>F31</f>
        <v>100</v>
      </c>
      <c r="T31" s="1569" t="s">
        <v>8</v>
      </c>
      <c r="U31" s="1570">
        <f>H31</f>
        <v>100</v>
      </c>
      <c r="V31" s="1569" t="s">
        <v>8</v>
      </c>
      <c r="W31" s="1570">
        <f>J31</f>
        <v>100</v>
      </c>
      <c r="X31" s="1571"/>
      <c r="Y31" s="3703"/>
      <c r="Z31" s="2601" t="str">
        <f>Q31</f>
        <v>基础设施水平</v>
      </c>
      <c r="AA31" s="1577">
        <f>D31/F31</f>
        <v>1</v>
      </c>
      <c r="AB31" s="1577">
        <f>D31/H31</f>
        <v>1</v>
      </c>
      <c r="AC31" s="1577">
        <f>D31/J31</f>
        <v>1</v>
      </c>
    </row>
    <row r="32" spans="1:29" s="1220" customFormat="1" ht="20.25">
      <c r="A32" s="577"/>
      <c r="B32" s="566"/>
      <c r="C32" s="579" t="s">
        <v>3256</v>
      </c>
      <c r="D32" s="557"/>
      <c r="E32" s="579" t="s">
        <v>3256</v>
      </c>
      <c r="F32" s="555"/>
      <c r="G32" s="579" t="s">
        <v>3256</v>
      </c>
      <c r="H32" s="555"/>
      <c r="I32" s="579" t="s">
        <v>3256</v>
      </c>
      <c r="J32" s="555"/>
      <c r="K32" s="531"/>
      <c r="L32" s="2137"/>
      <c r="M32" s="2134"/>
      <c r="N32" s="2134"/>
      <c r="O32" s="2139"/>
      <c r="P32" s="3703"/>
      <c r="Q32" s="2604"/>
      <c r="R32" s="1569"/>
      <c r="S32" s="1570"/>
      <c r="T32" s="1569"/>
      <c r="U32" s="1570"/>
      <c r="V32" s="1569"/>
      <c r="W32" s="1570"/>
      <c r="X32" s="1571"/>
      <c r="Y32" s="3703"/>
      <c r="Z32" s="2601"/>
      <c r="AA32" s="1577">
        <v>1</v>
      </c>
      <c r="AB32" s="1577">
        <v>1</v>
      </c>
      <c r="AC32" s="1577">
        <v>1</v>
      </c>
    </row>
    <row r="33" spans="1:29" ht="20.25">
      <c r="A33" s="532"/>
      <c r="B33" s="566" t="s">
        <v>548</v>
      </c>
      <c r="C33" s="580" t="s">
        <v>3257</v>
      </c>
      <c r="D33" s="575">
        <v>100</v>
      </c>
      <c r="E33" s="583" t="s">
        <v>3274</v>
      </c>
      <c r="F33" s="540">
        <f>SUMIF(106:106,E33,107:107)-SUMIF(106:106,C33,107:107)+100</f>
        <v>98</v>
      </c>
      <c r="G33" s="580" t="s">
        <v>3274</v>
      </c>
      <c r="H33" s="540">
        <f>SUMIF(106:106,G33,107:107)-SUMIF(106:106,C33,107:107)+100</f>
        <v>98</v>
      </c>
      <c r="I33" s="580" t="s">
        <v>3257</v>
      </c>
      <c r="J33" s="540">
        <f>SUMIF(106:106,I33,107:107)-SUMIF(106:106,C33,107:107)+100</f>
        <v>100</v>
      </c>
      <c r="K33" s="535">
        <v>2</v>
      </c>
      <c r="L33" s="2144"/>
      <c r="M33" s="2134"/>
      <c r="N33" s="2134"/>
      <c r="O33" s="2143"/>
      <c r="P33" s="3703"/>
      <c r="Q33" s="1573" t="str">
        <f t="shared" si="8"/>
        <v>临街状况</v>
      </c>
      <c r="R33" s="1574" t="s">
        <v>8</v>
      </c>
      <c r="S33" s="1575">
        <f t="shared" ref="S33:S47" si="10">F33</f>
        <v>98</v>
      </c>
      <c r="T33" s="1574" t="s">
        <v>8</v>
      </c>
      <c r="U33" s="1575">
        <f t="shared" ref="U33:U47" si="11">H33</f>
        <v>98</v>
      </c>
      <c r="V33" s="1574" t="s">
        <v>8</v>
      </c>
      <c r="W33" s="1575">
        <f t="shared" ref="W33:W47" si="12">J33</f>
        <v>100</v>
      </c>
      <c r="X33" s="1568"/>
      <c r="Y33" s="3703"/>
      <c r="Z33" s="1576" t="str">
        <f t="shared" ref="Z33:Z47" si="13">Q33</f>
        <v>临街状况</v>
      </c>
      <c r="AA33" s="1577">
        <f t="shared" si="3"/>
        <v>1.0204081632653061</v>
      </c>
      <c r="AB33" s="1577">
        <f t="shared" si="4"/>
        <v>1.0204081632653061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98</v>
      </c>
      <c r="I34" s="564"/>
      <c r="J34" s="559">
        <f>SUMIF(108:108,I35,109:109)-SUMIF(108:108,C35,109:109)+100</f>
        <v>100</v>
      </c>
      <c r="K34" s="535">
        <v>2</v>
      </c>
      <c r="L34" s="2144"/>
      <c r="M34" s="2134"/>
      <c r="N34" s="2134"/>
      <c r="O34" s="2143"/>
      <c r="P34" s="3703"/>
      <c r="Q34" s="1573" t="str">
        <f t="shared" si="8"/>
        <v>毗邻道路的类型与等级</v>
      </c>
      <c r="R34" s="1574" t="s">
        <v>8</v>
      </c>
      <c r="S34" s="1575">
        <f t="shared" si="10"/>
        <v>100</v>
      </c>
      <c r="T34" s="1574" t="s">
        <v>8</v>
      </c>
      <c r="U34" s="1575">
        <f t="shared" si="11"/>
        <v>98</v>
      </c>
      <c r="V34" s="1574" t="s">
        <v>8</v>
      </c>
      <c r="W34" s="1575">
        <f t="shared" si="12"/>
        <v>100</v>
      </c>
      <c r="X34" s="1568"/>
      <c r="Y34" s="3703"/>
      <c r="Z34" s="1576" t="str">
        <f t="shared" si="13"/>
        <v>毗邻道路的类型与等级</v>
      </c>
      <c r="AA34" s="1577">
        <f t="shared" si="3"/>
        <v>1</v>
      </c>
      <c r="AB34" s="1577">
        <f t="shared" si="4"/>
        <v>1.0204081632653061</v>
      </c>
      <c r="AC34" s="1577">
        <f t="shared" si="5"/>
        <v>1</v>
      </c>
    </row>
    <row r="35" spans="1:29" ht="21" thickBot="1">
      <c r="A35" s="532"/>
      <c r="B35" s="566"/>
      <c r="C35" s="554" t="s">
        <v>3268</v>
      </c>
      <c r="D35" s="557"/>
      <c r="E35" s="576" t="s">
        <v>3268</v>
      </c>
      <c r="F35" s="555"/>
      <c r="G35" s="554" t="s">
        <v>3270</v>
      </c>
      <c r="H35" s="555"/>
      <c r="I35" s="576" t="s">
        <v>3268</v>
      </c>
      <c r="J35" s="555"/>
      <c r="K35" s="581"/>
      <c r="L35" s="2144"/>
      <c r="M35" s="2134"/>
      <c r="N35" s="2134"/>
      <c r="O35" s="2143"/>
      <c r="P35" s="3703"/>
      <c r="Q35" s="1573"/>
      <c r="R35" s="1574"/>
      <c r="S35" s="1575"/>
      <c r="T35" s="1574"/>
      <c r="U35" s="1575"/>
      <c r="V35" s="1574"/>
      <c r="W35" s="1575"/>
      <c r="X35" s="1568"/>
      <c r="Y35" s="3703"/>
      <c r="Z35" s="1576"/>
      <c r="AA35" s="1577">
        <v>1</v>
      </c>
      <c r="AB35" s="1577">
        <v>1</v>
      </c>
      <c r="AC35" s="1577">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703"/>
      <c r="Q36" s="1573" t="str">
        <f t="shared" si="8"/>
        <v>土地级别</v>
      </c>
      <c r="R36" s="1574" t="s">
        <v>8</v>
      </c>
      <c r="S36" s="1575">
        <f t="shared" si="10"/>
        <v>100</v>
      </c>
      <c r="T36" s="1574" t="s">
        <v>8</v>
      </c>
      <c r="U36" s="1575">
        <f t="shared" si="11"/>
        <v>100</v>
      </c>
      <c r="V36" s="1574" t="s">
        <v>8</v>
      </c>
      <c r="W36" s="1575">
        <f t="shared" si="12"/>
        <v>100</v>
      </c>
      <c r="X36" s="1568"/>
      <c r="Y36" s="370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703"/>
      <c r="Q37" s="1573">
        <f t="shared" si="8"/>
        <v>111</v>
      </c>
      <c r="R37" s="1574" t="s">
        <v>8</v>
      </c>
      <c r="S37" s="1575">
        <f t="shared" si="10"/>
        <v>100</v>
      </c>
      <c r="T37" s="1574" t="s">
        <v>8</v>
      </c>
      <c r="U37" s="1575">
        <f t="shared" si="11"/>
        <v>100</v>
      </c>
      <c r="V37" s="1574" t="s">
        <v>8</v>
      </c>
      <c r="W37" s="1575">
        <f t="shared" si="12"/>
        <v>100</v>
      </c>
      <c r="X37" s="1568"/>
      <c r="Y37" s="370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704" t="s">
        <v>551</v>
      </c>
      <c r="Q38" s="1573">
        <f t="shared" si="8"/>
        <v>111</v>
      </c>
      <c r="R38" s="1574" t="s">
        <v>8</v>
      </c>
      <c r="S38" s="1575">
        <f t="shared" si="10"/>
        <v>100</v>
      </c>
      <c r="T38" s="1574" t="s">
        <v>8</v>
      </c>
      <c r="U38" s="1575">
        <f t="shared" si="11"/>
        <v>100</v>
      </c>
      <c r="V38" s="1574" t="s">
        <v>8</v>
      </c>
      <c r="W38" s="1575">
        <f t="shared" si="12"/>
        <v>100</v>
      </c>
      <c r="X38" s="1568"/>
      <c r="Y38" s="3705"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705"/>
      <c r="Q39" s="1573">
        <f t="shared" si="8"/>
        <v>111</v>
      </c>
      <c r="R39" s="1578" t="s">
        <v>8</v>
      </c>
      <c r="S39" s="1579">
        <f t="shared" si="10"/>
        <v>100</v>
      </c>
      <c r="T39" s="1578" t="s">
        <v>8</v>
      </c>
      <c r="U39" s="1579">
        <f t="shared" si="11"/>
        <v>100</v>
      </c>
      <c r="V39" s="1578" t="s">
        <v>8</v>
      </c>
      <c r="W39" s="1579">
        <f t="shared" si="12"/>
        <v>100</v>
      </c>
      <c r="X39" s="1580"/>
      <c r="Y39" s="3705"/>
      <c r="Z39" s="1581">
        <f t="shared" si="13"/>
        <v>111</v>
      </c>
      <c r="AA39" s="1577">
        <f t="shared" si="3"/>
        <v>1</v>
      </c>
      <c r="AB39" s="1577">
        <f t="shared" si="4"/>
        <v>1</v>
      </c>
      <c r="AC39" s="1577">
        <f t="shared" si="5"/>
        <v>1</v>
      </c>
    </row>
    <row r="40" spans="1:29" ht="20.25">
      <c r="A40" s="2934" t="s">
        <v>2762</v>
      </c>
      <c r="B40" s="595" t="s">
        <v>553</v>
      </c>
      <c r="C40" s="596">
        <v>19142.32</v>
      </c>
      <c r="D40" s="597">
        <v>100</v>
      </c>
      <c r="E40" s="596">
        <v>13270</v>
      </c>
      <c r="F40" s="597">
        <f>LOOKUP(E40,119:119,120:120)-LOOKUP(C40,119:119,120:120)+100</f>
        <v>100</v>
      </c>
      <c r="G40" s="596">
        <v>27050</v>
      </c>
      <c r="H40" s="597">
        <f>LOOKUP(G40,119:119,120:120)-LOOKUP(C40,119:119,120:120)+100</f>
        <v>101</v>
      </c>
      <c r="I40" s="598">
        <v>31604</v>
      </c>
      <c r="J40" s="597">
        <f>LOOKUP(I40,119:119,120:120)-LOOKUP(C40,119:119,120:120)+100</f>
        <v>101</v>
      </c>
      <c r="K40" s="581"/>
      <c r="L40" s="2144"/>
      <c r="M40" s="2134"/>
      <c r="N40" s="2134"/>
      <c r="O40" s="2143"/>
      <c r="P40" s="3705"/>
      <c r="Q40" s="1573" t="str">
        <f>B40</f>
        <v>宗地面积</v>
      </c>
      <c r="R40" s="1574" t="s">
        <v>8</v>
      </c>
      <c r="S40" s="1575">
        <f t="shared" si="10"/>
        <v>100</v>
      </c>
      <c r="T40" s="1574" t="s">
        <v>8</v>
      </c>
      <c r="U40" s="1575">
        <f t="shared" si="11"/>
        <v>101</v>
      </c>
      <c r="V40" s="1574" t="s">
        <v>8</v>
      </c>
      <c r="W40" s="1575">
        <f t="shared" si="12"/>
        <v>101</v>
      </c>
      <c r="X40" s="1568"/>
      <c r="Y40" s="3705"/>
      <c r="Z40" s="1576" t="str">
        <f t="shared" si="13"/>
        <v>宗地面积</v>
      </c>
      <c r="AA40" s="1577">
        <f t="shared" si="3"/>
        <v>1</v>
      </c>
      <c r="AB40" s="1577">
        <f t="shared" si="4"/>
        <v>0.99009900990099009</v>
      </c>
      <c r="AC40" s="1577">
        <f t="shared" si="5"/>
        <v>0.99009900990099009</v>
      </c>
    </row>
    <row r="41" spans="1:29" ht="20.25">
      <c r="A41" s="594"/>
      <c r="B41" s="527" t="s">
        <v>554</v>
      </c>
      <c r="C41" s="599" t="s">
        <v>3275</v>
      </c>
      <c r="D41" s="540">
        <v>100</v>
      </c>
      <c r="E41" s="599" t="s">
        <v>3275</v>
      </c>
      <c r="F41" s="540">
        <f>SUMIF(121:121,E41,122:122)-SUMIF(121:121,C41,122:122)+100</f>
        <v>100</v>
      </c>
      <c r="G41" s="599" t="s">
        <v>3275</v>
      </c>
      <c r="H41" s="540">
        <f>SUMIF(121:121,G41,122:122)-SUMIF(121:121,C41,122:122)+100</f>
        <v>100</v>
      </c>
      <c r="I41" s="599" t="s">
        <v>3275</v>
      </c>
      <c r="J41" s="540">
        <f>SUMIF(121:121,I41,122:122)-SUMIF(121:121,C41,122:122)+100</f>
        <v>100</v>
      </c>
      <c r="K41" s="584"/>
      <c r="L41" s="2144"/>
      <c r="M41" s="2134"/>
      <c r="N41" s="2134"/>
      <c r="O41" s="2143"/>
      <c r="P41" s="3705"/>
      <c r="Q41" s="1573" t="str">
        <f t="shared" ref="Q41:Q47" si="14">B41</f>
        <v>宗地形状</v>
      </c>
      <c r="R41" s="1574" t="s">
        <v>8</v>
      </c>
      <c r="S41" s="1575">
        <f t="shared" si="10"/>
        <v>100</v>
      </c>
      <c r="T41" s="1574" t="s">
        <v>8</v>
      </c>
      <c r="U41" s="1575">
        <f t="shared" si="11"/>
        <v>100</v>
      </c>
      <c r="V41" s="1574" t="s">
        <v>8</v>
      </c>
      <c r="W41" s="1575">
        <f t="shared" si="12"/>
        <v>100</v>
      </c>
      <c r="X41" s="1568"/>
      <c r="Y41" s="3705"/>
      <c r="Z41" s="1576" t="str">
        <f t="shared" si="13"/>
        <v>宗地形状</v>
      </c>
      <c r="AA41" s="1577">
        <f t="shared" si="3"/>
        <v>1</v>
      </c>
      <c r="AB41" s="1577">
        <f t="shared" si="4"/>
        <v>1</v>
      </c>
      <c r="AC41" s="1577">
        <f t="shared" si="5"/>
        <v>1</v>
      </c>
    </row>
    <row r="42" spans="1:29" ht="20.25">
      <c r="A42" s="594"/>
      <c r="B42" s="527" t="s">
        <v>555</v>
      </c>
      <c r="C42" s="599" t="s">
        <v>3261</v>
      </c>
      <c r="D42" s="540">
        <v>100</v>
      </c>
      <c r="E42" s="599" t="s">
        <v>3261</v>
      </c>
      <c r="F42" s="540">
        <f>SUMIF(123:123,E42,124:124)-SUMIF(123:123,C42,124:124)+100</f>
        <v>100</v>
      </c>
      <c r="G42" s="599" t="s">
        <v>3261</v>
      </c>
      <c r="H42" s="540">
        <f>SUMIF(123:123,G42,124:124)-SUMIF(123:123,C42,124:124)+100</f>
        <v>100</v>
      </c>
      <c r="I42" s="599" t="s">
        <v>3261</v>
      </c>
      <c r="J42" s="540">
        <f>SUMIF(123:123,I42,124:124)-SUMIF(123:123,C42,124:124)+100</f>
        <v>100</v>
      </c>
      <c r="K42" s="584"/>
      <c r="L42" s="2144"/>
      <c r="M42" s="2134"/>
      <c r="N42" s="2134"/>
      <c r="O42" s="2143"/>
      <c r="P42" s="3705"/>
      <c r="Q42" s="1573" t="str">
        <f t="shared" si="14"/>
        <v>临街宽度及深度</v>
      </c>
      <c r="R42" s="1574" t="s">
        <v>8</v>
      </c>
      <c r="S42" s="1575">
        <f t="shared" si="10"/>
        <v>100</v>
      </c>
      <c r="T42" s="1574" t="s">
        <v>8</v>
      </c>
      <c r="U42" s="1575">
        <f t="shared" si="11"/>
        <v>100</v>
      </c>
      <c r="V42" s="1574" t="s">
        <v>8</v>
      </c>
      <c r="W42" s="1575">
        <f t="shared" si="12"/>
        <v>100</v>
      </c>
      <c r="X42" s="1568"/>
      <c r="Y42" s="3705"/>
      <c r="Z42" s="1576" t="str">
        <f t="shared" si="13"/>
        <v>临街宽度及深度</v>
      </c>
      <c r="AA42" s="1577">
        <f t="shared" si="3"/>
        <v>1</v>
      </c>
      <c r="AB42" s="1577">
        <f t="shared" si="4"/>
        <v>1</v>
      </c>
      <c r="AC42" s="1577">
        <f t="shared" si="5"/>
        <v>1</v>
      </c>
    </row>
    <row r="43" spans="1:29" s="1220" customFormat="1" ht="20.25">
      <c r="A43" s="600"/>
      <c r="B43" s="1897" t="s">
        <v>2429</v>
      </c>
      <c r="C43" s="601" t="s">
        <v>3256</v>
      </c>
      <c r="D43" s="255">
        <v>100</v>
      </c>
      <c r="E43" s="601" t="s">
        <v>3256</v>
      </c>
      <c r="F43" s="540">
        <f>SUMIF(125:125,E43,126:126)-SUMIF(125:125,C43,126:126)+100</f>
        <v>100</v>
      </c>
      <c r="G43" s="601" t="s">
        <v>3256</v>
      </c>
      <c r="H43" s="540">
        <f>SUMIF(125:125,G43,126:126)-SUMIF(125:125,C43,126:126)+100</f>
        <v>100</v>
      </c>
      <c r="I43" s="601" t="s">
        <v>3256</v>
      </c>
      <c r="J43" s="540">
        <f>SUMIF(125:125,I43,126:126)-SUMIF(125:125,C43,126:126)+100</f>
        <v>100</v>
      </c>
      <c r="K43" s="584"/>
      <c r="L43" s="2137"/>
      <c r="M43" s="2134"/>
      <c r="N43" s="2134"/>
      <c r="O43" s="2139"/>
      <c r="P43" s="3705"/>
      <c r="Q43" s="1573" t="str">
        <f t="shared" si="14"/>
        <v>宗地开发程度</v>
      </c>
      <c r="R43" s="1569" t="s">
        <v>8</v>
      </c>
      <c r="S43" s="1570">
        <f t="shared" si="10"/>
        <v>100</v>
      </c>
      <c r="T43" s="1569" t="s">
        <v>8</v>
      </c>
      <c r="U43" s="1570">
        <f t="shared" si="11"/>
        <v>100</v>
      </c>
      <c r="V43" s="1569" t="s">
        <v>8</v>
      </c>
      <c r="W43" s="1570">
        <f t="shared" si="12"/>
        <v>100</v>
      </c>
      <c r="X43" s="1571"/>
      <c r="Y43" s="3705"/>
      <c r="Z43" s="1150" t="str">
        <f t="shared" si="13"/>
        <v>宗地开发程度</v>
      </c>
      <c r="AA43" s="1572">
        <f t="shared" si="3"/>
        <v>1</v>
      </c>
      <c r="AB43" s="1572">
        <f t="shared" si="4"/>
        <v>1</v>
      </c>
      <c r="AC43" s="1572">
        <f t="shared" si="5"/>
        <v>1</v>
      </c>
    </row>
    <row r="44" spans="1:29" ht="20.25">
      <c r="A44" s="594"/>
      <c r="B44" s="527" t="s">
        <v>556</v>
      </c>
      <c r="C44" s="599" t="s">
        <v>3254</v>
      </c>
      <c r="D44" s="540">
        <v>100</v>
      </c>
      <c r="E44" s="599" t="s">
        <v>3254</v>
      </c>
      <c r="F44" s="540">
        <f>SUMIF(127:127,E44,128:128)-SUMIF(127:127,C44,128:128)+100</f>
        <v>100</v>
      </c>
      <c r="G44" s="599" t="s">
        <v>3254</v>
      </c>
      <c r="H44" s="540">
        <f>SUMIF(127:127,G44,128:128)-SUMIF(127:127,C44,128:128)+100</f>
        <v>100</v>
      </c>
      <c r="I44" s="599" t="s">
        <v>3254</v>
      </c>
      <c r="J44" s="540">
        <f>SUMIF(127:127,I44,128:128)-SUMIF(127:127,C44,128:128)+100</f>
        <v>100</v>
      </c>
      <c r="K44" s="584"/>
      <c r="L44" s="2144"/>
      <c r="M44" s="2134"/>
      <c r="N44" s="2134"/>
      <c r="O44" s="2143"/>
      <c r="P44" s="3705" t="s">
        <v>551</v>
      </c>
      <c r="Q44" s="1573" t="str">
        <f t="shared" si="14"/>
        <v>工程地质条件</v>
      </c>
      <c r="R44" s="1574" t="s">
        <v>8</v>
      </c>
      <c r="S44" s="1575">
        <f t="shared" si="10"/>
        <v>100</v>
      </c>
      <c r="T44" s="1574" t="s">
        <v>8</v>
      </c>
      <c r="U44" s="1575">
        <f t="shared" si="11"/>
        <v>100</v>
      </c>
      <c r="V44" s="1574" t="s">
        <v>8</v>
      </c>
      <c r="W44" s="1575">
        <f t="shared" si="12"/>
        <v>100</v>
      </c>
      <c r="X44" s="1568"/>
      <c r="Y44" s="3705" t="s">
        <v>551</v>
      </c>
      <c r="Z44" s="1576" t="str">
        <f t="shared" si="13"/>
        <v>工程地质条件</v>
      </c>
      <c r="AA44" s="1577">
        <f t="shared" si="3"/>
        <v>1</v>
      </c>
      <c r="AB44" s="1577">
        <f t="shared" si="4"/>
        <v>1</v>
      </c>
      <c r="AC44" s="1577">
        <f t="shared" si="5"/>
        <v>1</v>
      </c>
    </row>
    <row r="45" spans="1:29" ht="21" thickBot="1">
      <c r="A45" s="594"/>
      <c r="B45" s="3483" t="s">
        <v>3258</v>
      </c>
      <c r="C45" s="3486" t="s">
        <v>3265</v>
      </c>
      <c r="D45" s="540">
        <v>100</v>
      </c>
      <c r="E45" s="3486" t="s">
        <v>3265</v>
      </c>
      <c r="F45" s="540">
        <f>SUMIF(129:129,E45,130:130)-SUMIF(129:129,C45,130:130)+100</f>
        <v>100</v>
      </c>
      <c r="G45" s="3486" t="s">
        <v>3265</v>
      </c>
      <c r="H45" s="540">
        <f>SUMIF(129:129,G45,130:130)-SUMIF(129:129,C45,130:130)+100</f>
        <v>100</v>
      </c>
      <c r="I45" s="3487" t="s">
        <v>3266</v>
      </c>
      <c r="J45" s="540">
        <f>SUMIF(129:129,I45,130:130)-SUMIF(129:129,C45,130:130)+100</f>
        <v>110</v>
      </c>
      <c r="K45" s="581"/>
      <c r="L45" s="2144"/>
      <c r="M45" s="2134"/>
      <c r="N45" s="2134"/>
      <c r="O45" s="2143"/>
      <c r="P45" s="3705"/>
      <c r="Q45" s="1573" t="str">
        <f t="shared" si="14"/>
        <v>是否临江</v>
      </c>
      <c r="R45" s="1574" t="s">
        <v>8</v>
      </c>
      <c r="S45" s="1575">
        <f t="shared" si="10"/>
        <v>100</v>
      </c>
      <c r="T45" s="1574" t="s">
        <v>8</v>
      </c>
      <c r="U45" s="1575">
        <f t="shared" si="11"/>
        <v>100</v>
      </c>
      <c r="V45" s="1574" t="s">
        <v>8</v>
      </c>
      <c r="W45" s="1575">
        <f t="shared" si="12"/>
        <v>110</v>
      </c>
      <c r="X45" s="1568"/>
      <c r="Y45" s="3705"/>
      <c r="Z45" s="1576" t="str">
        <f t="shared" si="13"/>
        <v>是否临江</v>
      </c>
      <c r="AA45" s="1577">
        <f t="shared" si="3"/>
        <v>1</v>
      </c>
      <c r="AB45" s="1577">
        <f t="shared" si="4"/>
        <v>1</v>
      </c>
      <c r="AC45" s="1577">
        <f t="shared" si="5"/>
        <v>0.90909090909090906</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705"/>
      <c r="Q46" s="1573">
        <f t="shared" si="14"/>
        <v>111</v>
      </c>
      <c r="R46" s="1574" t="s">
        <v>8</v>
      </c>
      <c r="S46" s="1575">
        <f t="shared" si="10"/>
        <v>100</v>
      </c>
      <c r="T46" s="1574" t="s">
        <v>8</v>
      </c>
      <c r="U46" s="1575">
        <f t="shared" si="11"/>
        <v>100</v>
      </c>
      <c r="V46" s="1574" t="s">
        <v>8</v>
      </c>
      <c r="W46" s="1575">
        <f t="shared" si="12"/>
        <v>100</v>
      </c>
      <c r="X46" s="1568"/>
      <c r="Y46" s="370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705"/>
      <c r="Q47" s="1573">
        <f t="shared" si="14"/>
        <v>111</v>
      </c>
      <c r="R47" s="1578" t="s">
        <v>8</v>
      </c>
      <c r="S47" s="1579">
        <f t="shared" si="10"/>
        <v>100</v>
      </c>
      <c r="T47" s="1578" t="s">
        <v>8</v>
      </c>
      <c r="U47" s="1579">
        <f t="shared" si="11"/>
        <v>100</v>
      </c>
      <c r="V47" s="1578" t="s">
        <v>8</v>
      </c>
      <c r="W47" s="1579">
        <f t="shared" si="12"/>
        <v>100</v>
      </c>
      <c r="X47" s="1580"/>
      <c r="Y47" s="3705"/>
      <c r="Z47" s="1581">
        <f t="shared" si="13"/>
        <v>111</v>
      </c>
      <c r="AA47" s="1577">
        <f t="shared" si="3"/>
        <v>1</v>
      </c>
      <c r="AB47" s="1577">
        <f t="shared" si="4"/>
        <v>1</v>
      </c>
      <c r="AC47" s="1577">
        <f t="shared" si="5"/>
        <v>1</v>
      </c>
    </row>
    <row r="48" spans="1:29" ht="20.25">
      <c r="A48" s="607" t="s">
        <v>557</v>
      </c>
      <c r="B48" s="608" t="s">
        <v>3278</v>
      </c>
      <c r="C48" s="609" t="s">
        <v>1</v>
      </c>
      <c r="D48" s="610"/>
      <c r="E48" s="611">
        <v>18010.55</v>
      </c>
      <c r="F48" s="612"/>
      <c r="G48" s="613">
        <v>19095.2</v>
      </c>
      <c r="H48" s="614"/>
      <c r="I48" s="611">
        <v>20017.400000000001</v>
      </c>
      <c r="J48" s="614"/>
      <c r="K48" s="1340"/>
      <c r="L48" s="2146"/>
      <c r="M48" s="2134"/>
      <c r="N48" s="2134"/>
      <c r="O48" s="2147"/>
      <c r="P48" s="3667" t="str">
        <f>A48</f>
        <v>成交单价</v>
      </c>
      <c r="Q48" s="3667"/>
      <c r="R48" s="3668">
        <f>E48</f>
        <v>18010.55</v>
      </c>
      <c r="S48" s="3668"/>
      <c r="T48" s="3668">
        <f>G48</f>
        <v>19095.2</v>
      </c>
      <c r="U48" s="3668"/>
      <c r="V48" s="3668">
        <f>I48</f>
        <v>20017.400000000001</v>
      </c>
      <c r="W48" s="3668"/>
      <c r="X48" s="1560"/>
      <c r="Y48" s="1582"/>
      <c r="Z48" s="1560"/>
      <c r="AA48" s="1560"/>
      <c r="AB48" s="1560"/>
      <c r="AC48" s="1560"/>
    </row>
    <row r="49" spans="1:29" ht="21" thickBot="1">
      <c r="A49" s="615" t="s">
        <v>2700</v>
      </c>
      <c r="B49" s="616"/>
      <c r="C49" s="617">
        <f>R50</f>
        <v>18205</v>
      </c>
      <c r="D49" s="618"/>
      <c r="E49" s="617">
        <f>R49</f>
        <v>17041</v>
      </c>
      <c r="F49" s="619"/>
      <c r="G49" s="620">
        <f>T49</f>
        <v>18950</v>
      </c>
      <c r="H49" s="618"/>
      <c r="I49" s="617">
        <f>V49</f>
        <v>18624</v>
      </c>
      <c r="J49" s="618"/>
      <c r="K49" s="1341"/>
      <c r="L49" s="2146"/>
      <c r="M49" s="2134"/>
      <c r="N49" s="2134"/>
      <c r="O49" s="2147"/>
      <c r="P49" s="3667" t="str">
        <f>A49</f>
        <v>比较价格（元/平方米）</v>
      </c>
      <c r="Q49" s="3667"/>
      <c r="R49" s="3669">
        <f>ROUND(PRODUCT(R48,AA9:AA47),0)</f>
        <v>17041</v>
      </c>
      <c r="S49" s="3669"/>
      <c r="T49" s="3669">
        <f>ROUND(PRODUCT(T48,AB9:AB47),0)</f>
        <v>18950</v>
      </c>
      <c r="U49" s="3669"/>
      <c r="V49" s="3669">
        <f>ROUND(PRODUCT(V48,AC9:AC47),0)</f>
        <v>18624</v>
      </c>
      <c r="W49" s="3669"/>
      <c r="X49" s="1560"/>
      <c r="Y49" s="1560"/>
      <c r="Z49" s="1560"/>
      <c r="AA49" s="1560"/>
      <c r="AB49" s="1560"/>
      <c r="AC49" s="1560"/>
    </row>
    <row r="50" spans="1:29" ht="21" thickBot="1">
      <c r="A50" s="621" t="s">
        <v>2943</v>
      </c>
      <c r="B50" s="622"/>
      <c r="C50" s="623">
        <f>R50</f>
        <v>18205</v>
      </c>
      <c r="D50" s="623"/>
      <c r="E50" s="623"/>
      <c r="F50" s="623"/>
      <c r="G50" s="623"/>
      <c r="H50" s="623"/>
      <c r="I50" s="623"/>
      <c r="J50" s="623"/>
      <c r="K50" s="1342"/>
      <c r="L50" s="2146"/>
      <c r="M50" s="2134"/>
      <c r="N50" s="2134"/>
      <c r="O50" s="2147"/>
      <c r="P50" s="3664" t="str">
        <f>A50</f>
        <v>估价对象XX用房的比较价格（楼面单价，元/平方米）</v>
      </c>
      <c r="Q50" s="3665"/>
      <c r="R50" s="3666">
        <f>ROUND(AVERAGE(R49:V49),0)</f>
        <v>18205</v>
      </c>
      <c r="S50" s="3666"/>
      <c r="T50" s="3666"/>
      <c r="U50" s="3666"/>
      <c r="V50" s="3666"/>
      <c r="W50" s="366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5.6895135262015062E-2</v>
      </c>
      <c r="F53" s="627" t="str">
        <f>IF(OR(E53&gt;=0.3,E53&lt;=-0.3),"超过30%","")</f>
        <v/>
      </c>
      <c r="G53" s="626">
        <f>IF(G48&lt;G49,G49/G48-1,G48/G49-1)</f>
        <v>7.66226912928758E-3</v>
      </c>
      <c r="H53" s="627" t="str">
        <f>IF(OR(G53&gt;=0.3,G53&lt;=-0.3),"超过30%","")</f>
        <v/>
      </c>
      <c r="I53" s="626">
        <f>IF(I48&lt;I49,I49/I48-1,I48/I49-1)</f>
        <v>7.4817439862542967E-2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0.11202394225690981</v>
      </c>
      <c r="F54" s="627" t="str">
        <f>IF(OR(E54&gt;=0.2,E54&lt;=-0.2),"超过20%","")</f>
        <v/>
      </c>
      <c r="G54" s="626">
        <f>IF(G49&lt;I49,I49/G49-1,G49/I49-1)</f>
        <v>1.7504295532646097E-2</v>
      </c>
      <c r="H54" s="627" t="str">
        <f>IF(OR(G54&gt;=0.2,G54&lt;=-0.2),"超过20%","")</f>
        <v/>
      </c>
      <c r="I54" s="626">
        <f>IF(I49&lt;E49,E49/I49-1,I49/E49-1)</f>
        <v>9.2893609529957066E-2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6.0223035942822412E-2</v>
      </c>
      <c r="F55" s="627" t="str">
        <f>IF(OR(E55&gt;=0.3,E55&lt;=-0.3),"超过30%","")</f>
        <v/>
      </c>
      <c r="G55" s="626">
        <f>IF(G48&lt;I48,I48/G48-1,G48/I48-1)</f>
        <v>4.8294859441116111E-2</v>
      </c>
      <c r="H55" s="627" t="str">
        <f>IF(OR(G55&gt;=0.3,G55&lt;=-0.3),"超过30%","")</f>
        <v/>
      </c>
      <c r="I55" s="626">
        <f>IF(I48&lt;E48,E48/I48-1,I48/E48-1)</f>
        <v>0.11142635843991444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3277</v>
      </c>
      <c r="D57" s="2229" t="s">
        <v>2297</v>
      </c>
      <c r="E57" s="631" t="s">
        <v>563</v>
      </c>
      <c r="F57" s="632" t="s">
        <v>564</v>
      </c>
      <c r="G57" s="3694" t="s">
        <v>2285</v>
      </c>
      <c r="H57" s="3695"/>
      <c r="I57" s="1556" t="s">
        <v>1724</v>
      </c>
      <c r="J57" s="1556" t="str">
        <f>项目基本情况!F41</f>
        <v>湖北省武汉市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18205</v>
      </c>
      <c r="C58" s="635">
        <v>1</v>
      </c>
      <c r="D58" s="2230">
        <v>1</v>
      </c>
      <c r="E58" s="635">
        <f>'数据-汇总表'!E8+'数据-汇总表'!E9</f>
        <v>180000</v>
      </c>
      <c r="F58" s="636">
        <f t="shared" ref="F58:F67" si="15">ROUND(B58*E58/10000,0)</f>
        <v>327690</v>
      </c>
      <c r="G58" s="3696"/>
      <c r="H58" s="369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98"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9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9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9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180000</v>
      </c>
      <c r="F68" s="644">
        <f>IF(B48="楼面地价",SUM(F58:F67),ROUND(C50*E68/10000,0))</f>
        <v>327690</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北京市平均增长率2.30%</v>
      </c>
      <c r="C73" s="894">
        <v>100</v>
      </c>
      <c r="D73" s="730">
        <v>99.5</v>
      </c>
      <c r="E73" s="730">
        <v>99</v>
      </c>
      <c r="F73" s="730">
        <v>98.5</v>
      </c>
      <c r="G73" s="730">
        <v>98</v>
      </c>
      <c r="H73" s="730">
        <v>97.5</v>
      </c>
      <c r="I73" s="730">
        <v>97</v>
      </c>
      <c r="J73" s="730">
        <v>96.5</v>
      </c>
      <c r="K73" s="730">
        <v>96</v>
      </c>
      <c r="L73" s="730">
        <v>95.5</v>
      </c>
      <c r="M73" s="2819">
        <v>95</v>
      </c>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8" t="s">
        <v>3272</v>
      </c>
      <c r="D77" s="3488" t="s">
        <v>3273</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102</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2（含）-4</v>
      </c>
      <c r="D81" s="682" t="str">
        <f t="shared" ref="D81:L81" si="20">D82&amp;"（含）"&amp;"-"&amp;E82</f>
        <v>4（含）-6</v>
      </c>
      <c r="E81" s="682" t="str">
        <f t="shared" si="20"/>
        <v>6（含）-8</v>
      </c>
      <c r="F81" s="682" t="str">
        <f t="shared" si="20"/>
        <v>8（含）-10</v>
      </c>
      <c r="G81" s="682" t="str">
        <f t="shared" si="20"/>
        <v>10（含）-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2</v>
      </c>
      <c r="D82" s="541">
        <v>4</v>
      </c>
      <c r="E82" s="541">
        <v>6</v>
      </c>
      <c r="F82" s="541">
        <v>8</v>
      </c>
      <c r="G82" s="541">
        <v>10</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485" t="s">
        <v>3267</v>
      </c>
      <c r="D108" s="3485" t="s">
        <v>3269</v>
      </c>
      <c r="E108" s="3485" t="s">
        <v>3271</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3485"/>
      <c r="D110" s="3485"/>
      <c r="E110" s="3485"/>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5000(含)-20000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5000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485" t="s">
        <v>3276</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3484" t="s">
        <v>3262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3263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484" t="s">
        <v>3264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是否临江</v>
      </c>
      <c r="C129" s="3484" t="s">
        <v>3259</v>
      </c>
      <c r="D129" s="3484" t="s">
        <v>3260</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90</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11" sqref="C1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9</v>
      </c>
    </row>
    <row r="2" spans="1:31" s="2043" customFormat="1" ht="18" customHeight="1">
      <c r="A2" s="2103" t="s">
        <v>467</v>
      </c>
      <c r="B2" s="2107">
        <f ca="1">C36</f>
        <v>349800</v>
      </c>
      <c r="C2" s="2106"/>
      <c r="D2" s="2106"/>
      <c r="E2" s="2106"/>
      <c r="F2" s="2106"/>
      <c r="G2" s="2106"/>
      <c r="H2" s="2106"/>
      <c r="I2" s="2106"/>
      <c r="J2" s="2106"/>
      <c r="K2" s="2106"/>
    </row>
    <row r="3" spans="1:31" s="2043" customFormat="1" ht="18" customHeight="1">
      <c r="A3" s="2108" t="s">
        <v>1686</v>
      </c>
      <c r="B3" s="2109">
        <f ca="1">ROUND(B2*10000/IF(B1="",'数据-汇总表'!E3,INDIRECT("'数据-取费表'!K"&amp;$K$1)),0)</f>
        <v>19433</v>
      </c>
      <c r="C3" s="2106"/>
      <c r="D3" s="2106"/>
      <c r="E3" s="2106"/>
      <c r="F3" s="2106"/>
      <c r="G3" s="2106"/>
      <c r="H3" s="2106"/>
      <c r="I3" s="2106"/>
      <c r="J3" s="2106"/>
      <c r="K3" s="2106"/>
    </row>
    <row r="4" spans="1:31" s="2043" customFormat="1" ht="18" customHeight="1">
      <c r="A4" s="426" t="s">
        <v>468</v>
      </c>
      <c r="B4" s="427">
        <f ca="1">ROUND(B2*10000/IF(B1="",'数据-汇总表'!D3,INDIRECT("'数据-取费表'!R"&amp;$K$1)),0)</f>
        <v>182736</v>
      </c>
      <c r="C4" s="428"/>
      <c r="D4" s="422"/>
      <c r="E4" s="422"/>
      <c r="F4" s="422"/>
      <c r="G4" s="422"/>
      <c r="H4" s="422"/>
      <c r="I4" s="422"/>
      <c r="J4" s="422"/>
      <c r="K4" s="422"/>
    </row>
    <row r="5" spans="1:31" s="2043" customFormat="1" ht="18" customHeight="1" thickBot="1">
      <c r="A5" s="429"/>
      <c r="B5" s="430">
        <f ca="1">ROUND(B2/(IF(B1="",'数据-汇总表'!D3,INDIRECT("'数据-取费表'!R"&amp;$K$1))/666.67),0)</f>
        <v>12182</v>
      </c>
      <c r="C5" s="431" t="s">
        <v>469</v>
      </c>
      <c r="D5" s="422"/>
      <c r="E5" s="422"/>
      <c r="F5" s="422"/>
      <c r="G5" s="422"/>
      <c r="H5" s="422"/>
      <c r="I5" s="422"/>
      <c r="J5" s="422"/>
      <c r="K5" s="422"/>
    </row>
    <row r="6" spans="1:31" s="2113" customFormat="1" ht="16.5" customHeight="1">
      <c r="A6" s="2855" t="s">
        <v>1844</v>
      </c>
      <c r="B6" s="2856"/>
      <c r="C6" s="2857">
        <f ca="1">SUM(C10:K10)</f>
        <v>608010</v>
      </c>
      <c r="D6" s="2856"/>
      <c r="E6" s="2856"/>
      <c r="F6" s="2856"/>
      <c r="G6" s="2856"/>
      <c r="H6" s="2856"/>
      <c r="I6" s="2856"/>
      <c r="J6" s="2856"/>
      <c r="K6" s="2858"/>
    </row>
    <row r="7" spans="1:31" s="2115" customFormat="1" ht="15">
      <c r="A7" s="2859" t="s">
        <v>470</v>
      </c>
      <c r="B7" s="2860" t="s">
        <v>471</v>
      </c>
      <c r="C7" s="436" t="s">
        <v>1679</v>
      </c>
      <c r="D7" s="436" t="s">
        <v>924</v>
      </c>
      <c r="E7" s="436" t="s">
        <v>3200</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f>'不动产比较法-办公'!B3</f>
        <v>30976</v>
      </c>
      <c r="D8" s="2861">
        <f>'不动产比较法-住宅'!B3</f>
        <v>33411</v>
      </c>
      <c r="E8" s="2861">
        <f ca="1">不动产收益法!B3</f>
        <v>41297</v>
      </c>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70000</v>
      </c>
      <c r="D9" s="441">
        <f>SUMIF('数据-汇总表'!$C19:$C33,'剩余法-待开发'!D7,'数据-汇总表'!$E19:$E33)</f>
        <v>80000</v>
      </c>
      <c r="E9" s="441">
        <f>SUMIF('数据-汇总表'!$C19:$C33,'剩余法-待开发'!E7,'数据-汇总表'!$E19:$E33)</f>
        <v>30000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'不动产比较法-办公'!B2</f>
        <v>216832</v>
      </c>
      <c r="D10" s="3056">
        <f>'不动产比较法-住宅'!B2</f>
        <v>267288</v>
      </c>
      <c r="E10" s="3056">
        <f ca="1">不动产收益法!B2</f>
        <v>123890</v>
      </c>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74000</v>
      </c>
      <c r="D13" s="2871"/>
      <c r="E13" s="2872"/>
      <c r="F13" s="2873"/>
      <c r="G13" s="2839"/>
      <c r="H13" s="2840"/>
      <c r="I13" s="2840"/>
      <c r="J13" s="2840"/>
      <c r="K13" s="2841"/>
    </row>
    <row r="14" spans="1:31" s="2118" customFormat="1" ht="13.5" customHeight="1">
      <c r="A14" s="2869" t="s">
        <v>1851</v>
      </c>
      <c r="B14" s="2870" t="s">
        <v>480</v>
      </c>
      <c r="C14" s="53">
        <f ca="1">ROUND(C13*F14,0)</f>
        <v>2220</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1600</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3600</v>
      </c>
      <c r="D16" s="2871">
        <f ca="1">IF(B1="",'数据-汇总表'!E3,INDIRECT("'数据-取费表'!K"&amp;$K$1)+INDIRECT("'数据-取费表'!S"&amp;$K$1))</f>
        <v>180000</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1110</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82530</v>
      </c>
      <c r="D18" s="2880"/>
      <c r="E18" s="468"/>
      <c r="F18" s="468"/>
      <c r="G18" s="2843" t="s">
        <v>2435</v>
      </c>
      <c r="H18" s="2844"/>
      <c r="I18" s="2844"/>
      <c r="J18" s="2844"/>
      <c r="K18" s="2845"/>
    </row>
    <row r="19" spans="1:14" s="2118" customFormat="1" ht="13.5" customHeight="1">
      <c r="A19" s="2877" t="s">
        <v>1856</v>
      </c>
      <c r="B19" s="2878" t="s">
        <v>488</v>
      </c>
      <c r="C19" s="2835">
        <f ca="1">ROUND(D19*E19/10000,0)</f>
        <v>0</v>
      </c>
      <c r="D19" s="2881">
        <f ca="1">D16</f>
        <v>180000</v>
      </c>
      <c r="E19" s="2835">
        <f>'数据-取费表'!B32</f>
        <v>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2160</v>
      </c>
      <c r="D20" s="2881"/>
      <c r="E20" s="2835"/>
      <c r="F20" s="2882"/>
      <c r="G20" s="3116"/>
      <c r="H20" s="2837"/>
      <c r="I20" s="2838" t="s">
        <v>2658</v>
      </c>
      <c r="J20" s="2844"/>
      <c r="K20" s="2845"/>
    </row>
    <row r="21" spans="1:14" s="2118" customFormat="1" ht="13.5" customHeight="1">
      <c r="A21" s="2869" t="s">
        <v>1858</v>
      </c>
      <c r="B21" s="2870" t="s">
        <v>491</v>
      </c>
      <c r="C21" s="53">
        <f ca="1">ROUND(D21*E21/10000,0)</f>
        <v>960</v>
      </c>
      <c r="D21" s="2871">
        <f ca="1">IF(B1="",'数据-汇总表'!E5,IF(INDIRECT("'数据-取费表'!c"&amp;$K$1)="住宅",INDIRECT("'数据-取费表'!k"&amp;$K$1),0))</f>
        <v>80000</v>
      </c>
      <c r="E21" s="53">
        <f>'数据-取费表'!B27</f>
        <v>120</v>
      </c>
      <c r="F21" s="2874"/>
      <c r="G21" s="26"/>
      <c r="H21" s="51"/>
      <c r="I21" s="51"/>
      <c r="J21" s="51"/>
      <c r="K21" s="2846"/>
    </row>
    <row r="22" spans="1:14" s="2118" customFormat="1" ht="13.5" customHeight="1">
      <c r="A22" s="2869" t="s">
        <v>1859</v>
      </c>
      <c r="B22" s="2870" t="s">
        <v>492</v>
      </c>
      <c r="C22" s="53">
        <f ca="1">ROUND(D22*E22/10000,0)</f>
        <v>1200</v>
      </c>
      <c r="D22" s="2871">
        <f ca="1">IF(B1="",'数据-汇总表'!E6,IF(INDIRECT("'数据-取费表'!c"&amp;$K$1)="住宅",INDIRECT("'数据-取费表'!s"&amp;$K$1),INDIRECT("'数据-取费表'!k"&amp;$K$1)+INDIRECT("'数据-取费表'!s"&amp;$K$1)))</f>
        <v>100000</v>
      </c>
      <c r="E22" s="53">
        <f>'数据-取费表'!B28</f>
        <v>120</v>
      </c>
      <c r="F22" s="2874"/>
      <c r="G22" s="26"/>
      <c r="H22" s="51"/>
      <c r="I22" s="51"/>
      <c r="J22" s="51"/>
      <c r="K22" s="2846"/>
    </row>
    <row r="23" spans="1:14" s="2118" customFormat="1" ht="13.5" customHeight="1">
      <c r="A23" s="2877" t="s">
        <v>1860</v>
      </c>
      <c r="B23" s="3062" t="s">
        <v>2841</v>
      </c>
      <c r="C23" s="2879">
        <f ca="1">ROUND((C18+C19+C20)*F23,0)</f>
        <v>1270</v>
      </c>
      <c r="D23" s="468"/>
      <c r="E23" s="468"/>
      <c r="F23" s="2883">
        <f>'数据-取费表'!B37</f>
        <v>1.4999999999999999E-2</v>
      </c>
      <c r="G23" s="2839" t="s">
        <v>2436</v>
      </c>
      <c r="H23" s="2840"/>
      <c r="I23" s="2840"/>
      <c r="J23" s="2840"/>
      <c r="K23" s="2841"/>
      <c r="L23" s="2120"/>
      <c r="M23" s="2120"/>
      <c r="N23" s="2120"/>
    </row>
    <row r="24" spans="1:14" s="2118" customFormat="1" ht="13.5" customHeight="1">
      <c r="A24" s="2877" t="s">
        <v>1861</v>
      </c>
      <c r="B24" s="3062" t="s">
        <v>2844</v>
      </c>
      <c r="C24" s="2879">
        <f ca="1">ROUND(C6*F24,0)</f>
        <v>15200</v>
      </c>
      <c r="D24" s="475"/>
      <c r="E24" s="473"/>
      <c r="F24" s="2883">
        <f>'数据-取费表'!B38</f>
        <v>2.5000000000000001E-2</v>
      </c>
      <c r="G24" s="2848" t="s">
        <v>499</v>
      </c>
      <c r="H24" s="2842"/>
      <c r="I24" s="2842"/>
      <c r="J24" s="2842"/>
      <c r="K24" s="279"/>
      <c r="L24" s="2120"/>
      <c r="M24" s="2120"/>
      <c r="N24" s="2120"/>
    </row>
    <row r="25" spans="1:14" s="2121" customFormat="1" ht="13.5" customHeight="1">
      <c r="A25" s="2877" t="s">
        <v>1862</v>
      </c>
      <c r="B25" s="3062" t="s">
        <v>2842</v>
      </c>
      <c r="C25" s="467">
        <f>ROUND(F25/(1+'数据-取费表'!C42),4)</f>
        <v>3.8600000000000002E-2</v>
      </c>
      <c r="D25" s="462" t="s">
        <v>2836</v>
      </c>
      <c r="E25" s="469"/>
      <c r="F25" s="2883">
        <f>'数据-取费表'!B48+'数据-取费表'!B49</f>
        <v>4.0500000000000001E-2</v>
      </c>
      <c r="G25" s="2847" t="s">
        <v>2293</v>
      </c>
      <c r="H25" s="2840"/>
      <c r="I25" s="2840"/>
      <c r="J25" s="2840"/>
      <c r="K25" s="2841"/>
    </row>
    <row r="26" spans="1:14" s="2120" customFormat="1" ht="13.5" customHeight="1">
      <c r="A26" s="2877" t="s">
        <v>1863</v>
      </c>
      <c r="B26" s="3063" t="s">
        <v>2843</v>
      </c>
      <c r="C26" s="2884">
        <f ca="1">C28</f>
        <v>6042</v>
      </c>
      <c r="D26" s="467">
        <f ca="1">C27</f>
        <v>0.1278</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0.1278</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6042</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 ca="1">ROUND(C6*F29/(1+'数据-取费表'!C42),0)</f>
        <v>32427</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139629</v>
      </c>
      <c r="D30" s="477">
        <f ca="1">C32</f>
        <v>0.16639999999999999</v>
      </c>
      <c r="E30" s="469" t="s">
        <v>495</v>
      </c>
      <c r="F30" s="471"/>
      <c r="G30" s="2839" t="s">
        <v>501</v>
      </c>
      <c r="H30" s="2840"/>
      <c r="I30" s="2840"/>
      <c r="J30" s="2840"/>
      <c r="K30" s="2841"/>
    </row>
    <row r="31" spans="1:14" s="2122" customFormat="1" ht="13.5" customHeight="1">
      <c r="A31" s="803" t="s">
        <v>1858</v>
      </c>
      <c r="B31" s="2885"/>
      <c r="C31" s="450">
        <f ca="1">C18+C19+C20+C23+C24+C26+C29</f>
        <v>139629</v>
      </c>
      <c r="D31" s="472"/>
      <c r="E31" s="473"/>
      <c r="F31" s="474"/>
      <c r="G31" s="261"/>
      <c r="H31" s="2842"/>
      <c r="I31" s="2842"/>
      <c r="J31" s="2842"/>
      <c r="K31" s="279"/>
    </row>
    <row r="32" spans="1:14" s="2122" customFormat="1" ht="13.5" customHeight="1">
      <c r="A32" s="803" t="s">
        <v>1859</v>
      </c>
      <c r="B32" s="2885"/>
      <c r="C32" s="53">
        <f ca="1">ROUND(C25+D26,4)</f>
        <v>0.16639999999999999</v>
      </c>
      <c r="D32" s="472"/>
      <c r="E32" s="473"/>
      <c r="F32" s="474"/>
      <c r="G32" s="261"/>
      <c r="H32" s="2842"/>
      <c r="I32" s="2842"/>
      <c r="J32" s="2842"/>
      <c r="K32" s="279"/>
    </row>
    <row r="33" spans="1:11" s="2124" customFormat="1" ht="13.5" customHeight="1">
      <c r="A33" s="3061" t="s">
        <v>2840</v>
      </c>
      <c r="B33" s="3059" t="s">
        <v>2838</v>
      </c>
      <c r="C33" s="478">
        <f ca="1">C35</f>
        <v>13151</v>
      </c>
      <c r="D33" s="467">
        <f ca="1">C34</f>
        <v>0.13500000000000001</v>
      </c>
      <c r="E33" s="469" t="s">
        <v>495</v>
      </c>
      <c r="F33" s="479">
        <f ca="1">IF(B1="",'数据-取费表'!Q16,INDIRECT("'数据-取费表'!q"&amp;$K$1))</f>
        <v>0.13</v>
      </c>
      <c r="G33" s="2843"/>
      <c r="H33" s="2844"/>
      <c r="I33" s="2844"/>
      <c r="J33" s="2844"/>
      <c r="K33" s="2845"/>
    </row>
    <row r="34" spans="1:11" s="2125" customFormat="1" ht="13.5" customHeight="1">
      <c r="A34" s="375" t="s">
        <v>1858</v>
      </c>
      <c r="B34" s="2890" t="s">
        <v>502</v>
      </c>
      <c r="C34" s="472">
        <f ca="1">ROUND((1+C25)*F33,4)</f>
        <v>0.13500000000000001</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13151</v>
      </c>
      <c r="D35" s="1630"/>
      <c r="E35" s="2891"/>
      <c r="F35" s="1631"/>
      <c r="G35" s="2849"/>
      <c r="H35" s="2850"/>
      <c r="I35" s="2850"/>
      <c r="J35" s="2850"/>
      <c r="K35" s="2851"/>
    </row>
    <row r="36" spans="1:11" s="2087" customFormat="1" ht="13.5" customHeight="1" thickBot="1">
      <c r="A36" s="284" t="s">
        <v>1846</v>
      </c>
      <c r="B36" s="2853"/>
      <c r="C36" s="2892">
        <f ca="1">ROUND((C6-C30-C33)/(1+D30+D33),0)</f>
        <v>349800</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74000</v>
      </c>
      <c r="D13" s="451"/>
      <c r="E13" s="365"/>
      <c r="F13" s="452"/>
      <c r="G13" s="444"/>
      <c r="H13" s="447"/>
      <c r="I13" s="447"/>
      <c r="J13" s="447"/>
      <c r="K13" s="448"/>
    </row>
    <row r="14" spans="1:41" s="2118" customFormat="1" ht="13.5" customHeight="1">
      <c r="A14" s="1634" t="s">
        <v>1851</v>
      </c>
      <c r="B14" s="449" t="s">
        <v>480</v>
      </c>
      <c r="C14" s="53">
        <f ca="1">ROUND(C13*F14,0)</f>
        <v>2220</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1600</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3600</v>
      </c>
      <c r="D16" s="451">
        <f ca="1">IF(B1="",'数据-汇总表'!E3,INDIRECT("'数据-取费表'!K"&amp;$K$1)+INDIRECT("'数据-取费表'!S"&amp;$K$1))</f>
        <v>180000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1110</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82530</v>
      </c>
      <c r="D18" s="461"/>
      <c r="E18" s="462"/>
      <c r="F18" s="462"/>
      <c r="G18" s="1327" t="s">
        <v>2437</v>
      </c>
      <c r="H18" s="447"/>
      <c r="I18" s="447"/>
      <c r="J18" s="447"/>
      <c r="K18" s="448"/>
    </row>
    <row r="19" spans="1:14" s="2121" customFormat="1" ht="13.5" customHeight="1">
      <c r="A19" s="1635" t="s">
        <v>1856</v>
      </c>
      <c r="B19" s="459" t="s">
        <v>493</v>
      </c>
      <c r="C19" s="460">
        <f ca="1">ROUND(C18*F19,0)</f>
        <v>1238</v>
      </c>
      <c r="D19" s="462"/>
      <c r="E19" s="462"/>
      <c r="F19" s="466">
        <f>'数据-取费表'!B37</f>
        <v>1.4999999999999999E-2</v>
      </c>
      <c r="G19" s="444" t="s">
        <v>504</v>
      </c>
      <c r="H19" s="447"/>
      <c r="I19" s="447"/>
      <c r="J19" s="447"/>
      <c r="K19" s="448"/>
      <c r="L19" s="2123"/>
      <c r="M19" s="2123"/>
      <c r="N19" s="2123"/>
    </row>
    <row r="20" spans="1:14" s="2121" customFormat="1" ht="13.5" customHeight="1">
      <c r="A20" s="1635" t="s">
        <v>1857</v>
      </c>
      <c r="B20" s="459" t="s">
        <v>505</v>
      </c>
      <c r="C20" s="3057">
        <f>F20</f>
        <v>2.5000000000000001E-2</v>
      </c>
      <c r="D20" s="469" t="s">
        <v>506</v>
      </c>
      <c r="E20" s="469"/>
      <c r="F20" s="486">
        <f>'数据-取费表'!B38</f>
        <v>2.5000000000000001E-2</v>
      </c>
      <c r="G20" s="1327" t="s">
        <v>507</v>
      </c>
      <c r="H20" s="447"/>
      <c r="I20" s="447"/>
      <c r="J20" s="447"/>
      <c r="K20" s="448"/>
      <c r="L20" s="2123"/>
      <c r="M20" s="2123"/>
      <c r="N20" s="2123"/>
    </row>
    <row r="21" spans="1:14" s="2123" customFormat="1" ht="13.5" customHeight="1">
      <c r="A21" s="1635" t="s">
        <v>1860</v>
      </c>
      <c r="B21" s="461" t="s">
        <v>494</v>
      </c>
      <c r="C21" s="470">
        <f ca="1">C22</f>
        <v>5003</v>
      </c>
      <c r="D21" s="467">
        <f ca="1">C23</f>
        <v>1.5E-3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5003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1.5E-3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10890</v>
      </c>
      <c r="D24" s="489">
        <f ca="1">C26</f>
        <v>3.3E-3</v>
      </c>
      <c r="E24" s="469" t="s">
        <v>508</v>
      </c>
      <c r="F24" s="479">
        <f ca="1">IF(B1="",'数据-取费表'!Q16,INDIRECT("'数据-取费表'!q"&amp;$K$1))</f>
        <v>0.13</v>
      </c>
      <c r="G24" s="444"/>
      <c r="H24" s="447"/>
      <c r="I24" s="447"/>
      <c r="J24" s="447"/>
      <c r="K24" s="448"/>
    </row>
    <row r="25" spans="1:14" s="2122" customFormat="1" ht="13.5" customHeight="1">
      <c r="A25" s="1634" t="s">
        <v>1850</v>
      </c>
      <c r="B25" s="1328" t="s">
        <v>2441</v>
      </c>
      <c r="C25" s="490">
        <f ca="1">ROUND((C18+C19)*F24,0)</f>
        <v>10890</v>
      </c>
      <c r="D25" s="472"/>
      <c r="E25" s="473"/>
      <c r="F25" s="480"/>
      <c r="G25" s="1326" t="s">
        <v>2438</v>
      </c>
      <c r="H25" s="457"/>
      <c r="I25" s="457"/>
      <c r="J25" s="457"/>
      <c r="K25" s="458"/>
    </row>
    <row r="26" spans="1:14" s="2122" customFormat="1" ht="13.5" customHeight="1">
      <c r="A26" s="1634" t="s">
        <v>1851</v>
      </c>
      <c r="B26" s="1328" t="s">
        <v>510</v>
      </c>
      <c r="C26" s="491">
        <f ca="1">ROUND(F20*F24,4)</f>
        <v>3.3E-3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108693</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73" t="s">
        <v>523</v>
      </c>
      <c r="D6" s="3674"/>
      <c r="E6" s="3708" t="s">
        <v>524</v>
      </c>
      <c r="F6" s="3709"/>
      <c r="G6" s="3673" t="s">
        <v>525</v>
      </c>
      <c r="H6" s="3674"/>
      <c r="I6" s="3673" t="s">
        <v>526</v>
      </c>
      <c r="J6" s="3674"/>
      <c r="K6" s="514" t="s">
        <v>527</v>
      </c>
      <c r="L6" s="2135"/>
      <c r="M6" s="2136"/>
      <c r="N6" s="2136"/>
      <c r="O6" s="2136"/>
      <c r="P6" s="3675" t="s">
        <v>528</v>
      </c>
      <c r="Q6" s="3676"/>
      <c r="R6" s="3681" t="s">
        <v>524</v>
      </c>
      <c r="S6" s="3682"/>
      <c r="T6" s="3681" t="s">
        <v>525</v>
      </c>
      <c r="U6" s="3682"/>
      <c r="V6" s="3668" t="s">
        <v>526</v>
      </c>
      <c r="W6" s="3668"/>
      <c r="X6" s="1568"/>
      <c r="Y6" s="3681" t="s">
        <v>528</v>
      </c>
      <c r="Z6" s="3682"/>
      <c r="AA6" s="3670" t="s">
        <v>524</v>
      </c>
      <c r="AB6" s="3671" t="s">
        <v>525</v>
      </c>
      <c r="AC6" s="3670" t="s">
        <v>526</v>
      </c>
    </row>
    <row r="7" spans="1:29" ht="15">
      <c r="A7" s="515"/>
      <c r="B7" s="516"/>
      <c r="C7" s="3689" t="s">
        <v>2937</v>
      </c>
      <c r="D7" s="3690"/>
      <c r="E7" s="3710" t="s">
        <v>2938</v>
      </c>
      <c r="F7" s="3711"/>
      <c r="G7" s="3689" t="s">
        <v>2939</v>
      </c>
      <c r="H7" s="3690"/>
      <c r="I7" s="3689" t="s">
        <v>2940</v>
      </c>
      <c r="J7" s="3690"/>
      <c r="K7" s="514"/>
      <c r="L7" s="2135"/>
      <c r="M7" s="2136"/>
      <c r="N7" s="2136"/>
      <c r="O7" s="2136"/>
      <c r="P7" s="3677"/>
      <c r="Q7" s="3678"/>
      <c r="R7" s="3683"/>
      <c r="S7" s="3684"/>
      <c r="T7" s="3683"/>
      <c r="U7" s="3684"/>
      <c r="V7" s="3668"/>
      <c r="W7" s="3668"/>
      <c r="X7" s="1568"/>
      <c r="Y7" s="3683"/>
      <c r="Z7" s="3684"/>
      <c r="AA7" s="3671"/>
      <c r="AB7" s="3671"/>
      <c r="AC7" s="3671"/>
    </row>
    <row r="8" spans="1:29" ht="15.75" thickBot="1">
      <c r="A8" s="517"/>
      <c r="B8" s="518"/>
      <c r="C8" s="3687" t="s">
        <v>2941</v>
      </c>
      <c r="D8" s="3688"/>
      <c r="E8" s="3706" t="s">
        <v>2941</v>
      </c>
      <c r="F8" s="3707"/>
      <c r="G8" s="3687" t="s">
        <v>2941</v>
      </c>
      <c r="H8" s="3688"/>
      <c r="I8" s="3687" t="s">
        <v>2941</v>
      </c>
      <c r="J8" s="3688"/>
      <c r="K8" s="514" t="s">
        <v>529</v>
      </c>
      <c r="L8" s="2135"/>
      <c r="M8" s="2136"/>
      <c r="N8" s="2136"/>
      <c r="O8" s="2136"/>
      <c r="P8" s="3679"/>
      <c r="Q8" s="3680"/>
      <c r="R8" s="3683"/>
      <c r="S8" s="3684"/>
      <c r="T8" s="3685"/>
      <c r="U8" s="3686"/>
      <c r="V8" s="3668"/>
      <c r="W8" s="3668"/>
      <c r="X8" s="1568"/>
      <c r="Y8" s="3685"/>
      <c r="Z8" s="3686"/>
      <c r="AA8" s="3672"/>
      <c r="AB8" s="3672"/>
      <c r="AC8" s="3672"/>
    </row>
    <row r="9" spans="1:29" s="1220" customFormat="1" ht="15.75" thickBot="1">
      <c r="A9" s="2939"/>
      <c r="B9" s="2946" t="s">
        <v>530</v>
      </c>
      <c r="C9" s="519">
        <f>'数据-取费表'!B2</f>
        <v>43117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99" t="s">
        <v>531</v>
      </c>
      <c r="Q9" s="3701"/>
      <c r="R9" s="1569" t="s">
        <v>8</v>
      </c>
      <c r="S9" s="1570">
        <f t="shared" ref="S9:S17" si="0">F9</f>
        <v>0</v>
      </c>
      <c r="T9" s="1569" t="s">
        <v>8</v>
      </c>
      <c r="U9" s="1570">
        <f t="shared" ref="U9:U17" si="1">H9</f>
        <v>0</v>
      </c>
      <c r="V9" s="1569" t="s">
        <v>8</v>
      </c>
      <c r="W9" s="1570">
        <f t="shared" ref="W9:W17" si="2">J9</f>
        <v>0</v>
      </c>
      <c r="X9" s="1571"/>
      <c r="Y9" s="3699" t="s">
        <v>531</v>
      </c>
      <c r="Z9" s="3700"/>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99" t="s">
        <v>534</v>
      </c>
      <c r="Q10" s="3700"/>
      <c r="R10" s="1569" t="s">
        <v>8</v>
      </c>
      <c r="S10" s="1570">
        <f t="shared" si="0"/>
        <v>0</v>
      </c>
      <c r="T10" s="1569" t="s">
        <v>8</v>
      </c>
      <c r="U10" s="1570">
        <f t="shared" si="1"/>
        <v>0</v>
      </c>
      <c r="V10" s="1569" t="s">
        <v>8</v>
      </c>
      <c r="W10" s="1570">
        <f t="shared" si="2"/>
        <v>0</v>
      </c>
      <c r="X10" s="1571"/>
      <c r="Y10" s="3699" t="s">
        <v>534</v>
      </c>
      <c r="Z10" s="3700"/>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67" t="s">
        <v>536</v>
      </c>
      <c r="Q11" s="1151" t="str">
        <f t="shared" ref="Q11:Q17" si="6">B11</f>
        <v>用途</v>
      </c>
      <c r="R11" s="1569" t="s">
        <v>8</v>
      </c>
      <c r="S11" s="1570">
        <f t="shared" si="0"/>
        <v>100</v>
      </c>
      <c r="T11" s="1569" t="s">
        <v>8</v>
      </c>
      <c r="U11" s="1570">
        <f t="shared" si="1"/>
        <v>100</v>
      </c>
      <c r="V11" s="1569" t="s">
        <v>8</v>
      </c>
      <c r="W11" s="1570">
        <f t="shared" si="2"/>
        <v>100</v>
      </c>
      <c r="X11" s="1571"/>
      <c r="Y11" s="3613"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667"/>
      <c r="Q12" s="1151" t="str">
        <f t="shared" si="6"/>
        <v>土地使用年限（年）</v>
      </c>
      <c r="R12" s="1569" t="s">
        <v>8</v>
      </c>
      <c r="S12" s="1570">
        <f t="shared" si="0"/>
        <v>100</v>
      </c>
      <c r="T12" s="1569" t="s">
        <v>8</v>
      </c>
      <c r="U12" s="1570">
        <f t="shared" si="1"/>
        <v>100</v>
      </c>
      <c r="V12" s="1569" t="s">
        <v>8</v>
      </c>
      <c r="W12" s="1570">
        <f t="shared" si="2"/>
        <v>100</v>
      </c>
      <c r="X12" s="1571"/>
      <c r="Y12" s="3613"/>
      <c r="Z12" s="1150" t="str">
        <f t="shared" si="7"/>
        <v>土地使用年限（年）</v>
      </c>
      <c r="AA12" s="1572">
        <f t="shared" si="3"/>
        <v>1</v>
      </c>
      <c r="AB12" s="1572">
        <f t="shared" si="4"/>
        <v>1</v>
      </c>
      <c r="AC12" s="1572">
        <f t="shared" si="5"/>
        <v>1</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67"/>
      <c r="Q13" s="1151" t="str">
        <f t="shared" si="6"/>
        <v>容积率</v>
      </c>
      <c r="R13" s="1569" t="s">
        <v>8</v>
      </c>
      <c r="S13" s="1570" t="e">
        <f t="shared" si="0"/>
        <v>#N/A</v>
      </c>
      <c r="T13" s="1569" t="s">
        <v>8</v>
      </c>
      <c r="U13" s="1570" t="e">
        <f t="shared" si="1"/>
        <v>#N/A</v>
      </c>
      <c r="V13" s="1569" t="s">
        <v>8</v>
      </c>
      <c r="W13" s="1570" t="e">
        <f t="shared" si="2"/>
        <v>#N/A</v>
      </c>
      <c r="X13" s="1571"/>
      <c r="Y13" s="3613"/>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67"/>
      <c r="Q15" s="1151">
        <f t="shared" si="6"/>
        <v>111</v>
      </c>
      <c r="R15" s="1569" t="s">
        <v>8</v>
      </c>
      <c r="S15" s="1570">
        <f t="shared" si="0"/>
        <v>100</v>
      </c>
      <c r="T15" s="1569" t="s">
        <v>8</v>
      </c>
      <c r="U15" s="1570">
        <f t="shared" si="1"/>
        <v>100</v>
      </c>
      <c r="V15" s="1569" t="s">
        <v>8</v>
      </c>
      <c r="W15" s="1570">
        <f t="shared" si="2"/>
        <v>100</v>
      </c>
      <c r="X15" s="1571"/>
      <c r="Y15" s="3613"/>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67"/>
      <c r="Q16" s="1151">
        <f t="shared" si="6"/>
        <v>111</v>
      </c>
      <c r="R16" s="1569" t="s">
        <v>8</v>
      </c>
      <c r="S16" s="1570">
        <f t="shared" si="0"/>
        <v>100</v>
      </c>
      <c r="T16" s="1569" t="s">
        <v>8</v>
      </c>
      <c r="U16" s="1570">
        <f t="shared" si="1"/>
        <v>100</v>
      </c>
      <c r="V16" s="1569" t="s">
        <v>8</v>
      </c>
      <c r="W16" s="1570">
        <f t="shared" si="2"/>
        <v>100</v>
      </c>
      <c r="X16" s="1571"/>
      <c r="Y16" s="3613"/>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702" t="s">
        <v>541</v>
      </c>
      <c r="Q17" s="1573" t="str">
        <f t="shared" si="6"/>
        <v>产业集聚程度</v>
      </c>
      <c r="R17" s="1574" t="s">
        <v>8</v>
      </c>
      <c r="S17" s="1575">
        <f t="shared" si="0"/>
        <v>100</v>
      </c>
      <c r="T17" s="1574" t="s">
        <v>8</v>
      </c>
      <c r="U17" s="1575">
        <f t="shared" si="1"/>
        <v>100</v>
      </c>
      <c r="V17" s="1574" t="s">
        <v>8</v>
      </c>
      <c r="W17" s="1575">
        <f t="shared" si="2"/>
        <v>100</v>
      </c>
      <c r="X17" s="1568"/>
      <c r="Y17" s="3702"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703"/>
      <c r="Q18" s="1573"/>
      <c r="R18" s="1574"/>
      <c r="S18" s="1575"/>
      <c r="T18" s="1574"/>
      <c r="U18" s="1575"/>
      <c r="V18" s="1574"/>
      <c r="W18" s="1575"/>
      <c r="X18" s="1568"/>
      <c r="Y18" s="3703"/>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703"/>
      <c r="Q19" s="1573" t="str">
        <f>B19</f>
        <v>交通便捷度</v>
      </c>
      <c r="R19" s="1574" t="s">
        <v>8</v>
      </c>
      <c r="S19" s="1575">
        <f>F19</f>
        <v>100</v>
      </c>
      <c r="T19" s="1574" t="s">
        <v>8</v>
      </c>
      <c r="U19" s="1575">
        <f>H19</f>
        <v>100</v>
      </c>
      <c r="V19" s="1574" t="s">
        <v>8</v>
      </c>
      <c r="W19" s="1575">
        <f>J19</f>
        <v>100</v>
      </c>
      <c r="X19" s="1568"/>
      <c r="Y19" s="370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703"/>
      <c r="Q20" s="1573"/>
      <c r="R20" s="1574"/>
      <c r="S20" s="1575"/>
      <c r="T20" s="1574"/>
      <c r="U20" s="1575"/>
      <c r="V20" s="1574"/>
      <c r="W20" s="1575"/>
      <c r="X20" s="1568"/>
      <c r="Y20" s="3703"/>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703"/>
      <c r="Q21" s="1573" t="str">
        <f t="shared" ref="Q21:Q35" si="8">B21</f>
        <v>区域土地利用方向</v>
      </c>
      <c r="R21" s="1574" t="s">
        <v>8</v>
      </c>
      <c r="S21" s="1575">
        <f>F21</f>
        <v>100</v>
      </c>
      <c r="T21" s="1574" t="s">
        <v>8</v>
      </c>
      <c r="U21" s="1575">
        <f>H21</f>
        <v>100</v>
      </c>
      <c r="V21" s="1574" t="s">
        <v>8</v>
      </c>
      <c r="W21" s="1575">
        <f>J21</f>
        <v>100</v>
      </c>
      <c r="X21" s="1568"/>
      <c r="Y21" s="370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703"/>
      <c r="Q22" s="1573"/>
      <c r="R22" s="1574"/>
      <c r="S22" s="1575"/>
      <c r="T22" s="1574"/>
      <c r="U22" s="1575"/>
      <c r="V22" s="1574"/>
      <c r="W22" s="1575"/>
      <c r="X22" s="1568"/>
      <c r="Y22" s="3703"/>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703"/>
      <c r="Q23" s="1573" t="str">
        <f t="shared" si="8"/>
        <v>环境状况</v>
      </c>
      <c r="R23" s="1574" t="s">
        <v>8</v>
      </c>
      <c r="S23" s="1575">
        <f>F23</f>
        <v>100</v>
      </c>
      <c r="T23" s="1574" t="s">
        <v>8</v>
      </c>
      <c r="U23" s="1575">
        <f>H23</f>
        <v>100</v>
      </c>
      <c r="V23" s="1574" t="s">
        <v>8</v>
      </c>
      <c r="W23" s="1575">
        <f>J23</f>
        <v>100</v>
      </c>
      <c r="X23" s="1568"/>
      <c r="Y23" s="370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703"/>
      <c r="Q24" s="1573"/>
      <c r="R24" s="1574"/>
      <c r="S24" s="1575"/>
      <c r="T24" s="1574"/>
      <c r="U24" s="1575"/>
      <c r="V24" s="1574"/>
      <c r="W24" s="1575"/>
      <c r="X24" s="1568"/>
      <c r="Y24" s="3703"/>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703"/>
      <c r="Q25" s="1151" t="str">
        <f t="shared" si="8"/>
        <v>公共配套设施</v>
      </c>
      <c r="R25" s="1569" t="s">
        <v>8</v>
      </c>
      <c r="S25" s="1570">
        <f>F25</f>
        <v>100</v>
      </c>
      <c r="T25" s="1569" t="s">
        <v>8</v>
      </c>
      <c r="U25" s="1570">
        <f>H25</f>
        <v>100</v>
      </c>
      <c r="V25" s="1569" t="s">
        <v>8</v>
      </c>
      <c r="W25" s="1570">
        <f>J25</f>
        <v>100</v>
      </c>
      <c r="X25" s="1571"/>
      <c r="Y25" s="3703"/>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703"/>
      <c r="Q26" s="1151"/>
      <c r="R26" s="1569"/>
      <c r="S26" s="1570"/>
      <c r="T26" s="1569"/>
      <c r="U26" s="1570"/>
      <c r="V26" s="1569"/>
      <c r="W26" s="1570"/>
      <c r="X26" s="1571"/>
      <c r="Y26" s="3703"/>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703"/>
      <c r="Q27" s="2604" t="str">
        <f t="shared" ref="Q27" si="9">B27</f>
        <v>基础设施水平</v>
      </c>
      <c r="R27" s="1569" t="s">
        <v>8</v>
      </c>
      <c r="S27" s="1570">
        <f>F27</f>
        <v>100</v>
      </c>
      <c r="T27" s="1569" t="s">
        <v>8</v>
      </c>
      <c r="U27" s="1570">
        <f>H27</f>
        <v>100</v>
      </c>
      <c r="V27" s="1569" t="s">
        <v>8</v>
      </c>
      <c r="W27" s="1570">
        <f>J27</f>
        <v>100</v>
      </c>
      <c r="X27" s="1571"/>
      <c r="Y27" s="3703"/>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703"/>
      <c r="Q28" s="2604"/>
      <c r="R28" s="1569"/>
      <c r="S28" s="1570"/>
      <c r="T28" s="1569"/>
      <c r="U28" s="1570"/>
      <c r="V28" s="1569"/>
      <c r="W28" s="1570"/>
      <c r="X28" s="1571"/>
      <c r="Y28" s="3703"/>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70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03"/>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703"/>
      <c r="Q30" s="1573" t="str">
        <f t="shared" si="8"/>
        <v>毗邻道路的类型与等级</v>
      </c>
      <c r="R30" s="1574" t="s">
        <v>8</v>
      </c>
      <c r="S30" s="1575">
        <f t="shared" si="10"/>
        <v>100</v>
      </c>
      <c r="T30" s="1574" t="s">
        <v>8</v>
      </c>
      <c r="U30" s="1575">
        <f t="shared" si="11"/>
        <v>100</v>
      </c>
      <c r="V30" s="1574" t="s">
        <v>8</v>
      </c>
      <c r="W30" s="1575">
        <f t="shared" si="12"/>
        <v>100</v>
      </c>
      <c r="X30" s="1568"/>
      <c r="Y30" s="370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703"/>
      <c r="Q31" s="1573"/>
      <c r="R31" s="1574"/>
      <c r="S31" s="1575"/>
      <c r="T31" s="1574"/>
      <c r="U31" s="1575"/>
      <c r="V31" s="1574"/>
      <c r="W31" s="1575"/>
      <c r="X31" s="1568"/>
      <c r="Y31" s="3703"/>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703"/>
      <c r="Q32" s="1573" t="str">
        <f t="shared" si="8"/>
        <v>土地级别</v>
      </c>
      <c r="R32" s="1574" t="s">
        <v>8</v>
      </c>
      <c r="S32" s="1575">
        <f t="shared" si="10"/>
        <v>100</v>
      </c>
      <c r="T32" s="1574" t="s">
        <v>8</v>
      </c>
      <c r="U32" s="1575">
        <f t="shared" si="11"/>
        <v>100</v>
      </c>
      <c r="V32" s="1574" t="s">
        <v>8</v>
      </c>
      <c r="W32" s="1575">
        <f t="shared" si="12"/>
        <v>100</v>
      </c>
      <c r="X32" s="1568"/>
      <c r="Y32" s="370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703"/>
      <c r="Q33" s="1573">
        <f t="shared" si="8"/>
        <v>111</v>
      </c>
      <c r="R33" s="1574" t="s">
        <v>8</v>
      </c>
      <c r="S33" s="1575">
        <f t="shared" si="10"/>
        <v>100</v>
      </c>
      <c r="T33" s="1574" t="s">
        <v>8</v>
      </c>
      <c r="U33" s="1575">
        <f t="shared" si="11"/>
        <v>100</v>
      </c>
      <c r="V33" s="1574" t="s">
        <v>8</v>
      </c>
      <c r="W33" s="1575">
        <f t="shared" si="12"/>
        <v>100</v>
      </c>
      <c r="X33" s="1568"/>
      <c r="Y33" s="370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704" t="s">
        <v>551</v>
      </c>
      <c r="Q34" s="1573">
        <f t="shared" si="8"/>
        <v>111</v>
      </c>
      <c r="R34" s="1574" t="s">
        <v>8</v>
      </c>
      <c r="S34" s="1575">
        <f t="shared" si="10"/>
        <v>100</v>
      </c>
      <c r="T34" s="1574" t="s">
        <v>8</v>
      </c>
      <c r="U34" s="1575">
        <f t="shared" si="11"/>
        <v>100</v>
      </c>
      <c r="V34" s="1574" t="s">
        <v>8</v>
      </c>
      <c r="W34" s="1575">
        <f t="shared" si="12"/>
        <v>100</v>
      </c>
      <c r="X34" s="1568"/>
      <c r="Y34" s="3705"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705"/>
      <c r="Q35" s="1573">
        <f t="shared" si="8"/>
        <v>111</v>
      </c>
      <c r="R35" s="1578" t="s">
        <v>8</v>
      </c>
      <c r="S35" s="1579">
        <f t="shared" si="10"/>
        <v>100</v>
      </c>
      <c r="T35" s="1578" t="s">
        <v>8</v>
      </c>
      <c r="U35" s="1579">
        <f t="shared" si="11"/>
        <v>100</v>
      </c>
      <c r="V35" s="1578" t="s">
        <v>8</v>
      </c>
      <c r="W35" s="1579">
        <f t="shared" si="12"/>
        <v>100</v>
      </c>
      <c r="X35" s="1580"/>
      <c r="Y35" s="3705"/>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705"/>
      <c r="Q36" s="1573" t="str">
        <f>B36</f>
        <v>宗地面积</v>
      </c>
      <c r="R36" s="1574" t="s">
        <v>8</v>
      </c>
      <c r="S36" s="1575" t="e">
        <f t="shared" si="10"/>
        <v>#N/A</v>
      </c>
      <c r="T36" s="1574" t="s">
        <v>8</v>
      </c>
      <c r="U36" s="1575" t="e">
        <f t="shared" si="11"/>
        <v>#N/A</v>
      </c>
      <c r="V36" s="1574" t="s">
        <v>8</v>
      </c>
      <c r="W36" s="1575" t="e">
        <f t="shared" si="12"/>
        <v>#N/A</v>
      </c>
      <c r="X36" s="1568"/>
      <c r="Y36" s="3705"/>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705"/>
      <c r="Q37" s="1573" t="str">
        <f t="shared" ref="Q37:Q42" si="14">B37</f>
        <v>宗地形状</v>
      </c>
      <c r="R37" s="1574" t="s">
        <v>8</v>
      </c>
      <c r="S37" s="1575">
        <f t="shared" si="10"/>
        <v>100</v>
      </c>
      <c r="T37" s="1574" t="s">
        <v>8</v>
      </c>
      <c r="U37" s="1575">
        <f t="shared" si="11"/>
        <v>100</v>
      </c>
      <c r="V37" s="1574" t="s">
        <v>8</v>
      </c>
      <c r="W37" s="1575">
        <f t="shared" si="12"/>
        <v>100</v>
      </c>
      <c r="X37" s="1568"/>
      <c r="Y37" s="3705"/>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705"/>
      <c r="Q38" s="1573" t="str">
        <f t="shared" si="14"/>
        <v>宗地开发程度</v>
      </c>
      <c r="R38" s="1569" t="s">
        <v>8</v>
      </c>
      <c r="S38" s="1570">
        <f t="shared" si="10"/>
        <v>100</v>
      </c>
      <c r="T38" s="1569" t="s">
        <v>8</v>
      </c>
      <c r="U38" s="1570">
        <f t="shared" si="11"/>
        <v>100</v>
      </c>
      <c r="V38" s="1569" t="s">
        <v>8</v>
      </c>
      <c r="W38" s="1570">
        <f t="shared" si="12"/>
        <v>100</v>
      </c>
      <c r="X38" s="1571"/>
      <c r="Y38" s="3705"/>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5" t="s">
        <v>602</v>
      </c>
      <c r="Q39" s="1573" t="str">
        <f t="shared" si="14"/>
        <v>工程地质条件</v>
      </c>
      <c r="R39" s="1574" t="s">
        <v>8</v>
      </c>
      <c r="S39" s="1575">
        <f t="shared" si="10"/>
        <v>100</v>
      </c>
      <c r="T39" s="1574" t="s">
        <v>8</v>
      </c>
      <c r="U39" s="1575">
        <f t="shared" si="11"/>
        <v>100</v>
      </c>
      <c r="V39" s="1574" t="s">
        <v>8</v>
      </c>
      <c r="W39" s="1575">
        <f t="shared" si="12"/>
        <v>100</v>
      </c>
      <c r="X39" s="1568"/>
      <c r="Y39" s="3705"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705"/>
      <c r="Q40" s="1573">
        <f t="shared" si="14"/>
        <v>111</v>
      </c>
      <c r="R40" s="1574" t="s">
        <v>8</v>
      </c>
      <c r="S40" s="1575">
        <f t="shared" si="10"/>
        <v>100</v>
      </c>
      <c r="T40" s="1574" t="s">
        <v>8</v>
      </c>
      <c r="U40" s="1575">
        <f t="shared" si="11"/>
        <v>100</v>
      </c>
      <c r="V40" s="1574" t="s">
        <v>8</v>
      </c>
      <c r="W40" s="1575">
        <f t="shared" si="12"/>
        <v>100</v>
      </c>
      <c r="X40" s="1568"/>
      <c r="Y40" s="370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705"/>
      <c r="Q41" s="1573">
        <f t="shared" si="14"/>
        <v>111</v>
      </c>
      <c r="R41" s="1574" t="s">
        <v>8</v>
      </c>
      <c r="S41" s="1575">
        <f t="shared" si="10"/>
        <v>100</v>
      </c>
      <c r="T41" s="1574" t="s">
        <v>8</v>
      </c>
      <c r="U41" s="1575">
        <f t="shared" si="11"/>
        <v>100</v>
      </c>
      <c r="V41" s="1574" t="s">
        <v>8</v>
      </c>
      <c r="W41" s="1575">
        <f t="shared" si="12"/>
        <v>100</v>
      </c>
      <c r="X41" s="1568"/>
      <c r="Y41" s="370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705"/>
      <c r="Q42" s="1573">
        <f t="shared" si="14"/>
        <v>111</v>
      </c>
      <c r="R42" s="1578" t="s">
        <v>8</v>
      </c>
      <c r="S42" s="1579">
        <f t="shared" si="10"/>
        <v>100</v>
      </c>
      <c r="T42" s="1578" t="s">
        <v>8</v>
      </c>
      <c r="U42" s="1579">
        <f t="shared" si="11"/>
        <v>100</v>
      </c>
      <c r="V42" s="1578" t="s">
        <v>8</v>
      </c>
      <c r="W42" s="1579">
        <f t="shared" si="12"/>
        <v>100</v>
      </c>
      <c r="X42" s="1580"/>
      <c r="Y42" s="3705"/>
      <c r="Z42" s="1581">
        <f t="shared" si="13"/>
        <v>111</v>
      </c>
      <c r="AA42" s="1577">
        <f t="shared" si="3"/>
        <v>1</v>
      </c>
      <c r="AB42" s="1577">
        <f t="shared" si="4"/>
        <v>1</v>
      </c>
      <c r="AC42" s="1577">
        <f t="shared" si="5"/>
        <v>1</v>
      </c>
    </row>
    <row r="43" spans="1:29" ht="15">
      <c r="A43" s="607" t="s">
        <v>557</v>
      </c>
      <c r="B43" s="608" t="s">
        <v>2942</v>
      </c>
      <c r="C43" s="609" t="s">
        <v>1</v>
      </c>
      <c r="D43" s="610"/>
      <c r="E43" s="611"/>
      <c r="F43" s="612"/>
      <c r="G43" s="613"/>
      <c r="H43" s="614"/>
      <c r="I43" s="611"/>
      <c r="J43" s="614"/>
      <c r="K43" s="1340"/>
      <c r="L43" s="2146"/>
      <c r="M43" s="2136"/>
      <c r="N43" s="2136"/>
      <c r="O43" s="2147"/>
      <c r="P43" s="3667" t="str">
        <f>A43</f>
        <v>成交单价</v>
      </c>
      <c r="Q43" s="3667"/>
      <c r="R43" s="3668">
        <f>E43</f>
        <v>0</v>
      </c>
      <c r="S43" s="3668"/>
      <c r="T43" s="3668">
        <f>G43</f>
        <v>0</v>
      </c>
      <c r="U43" s="3668"/>
      <c r="V43" s="3668">
        <f>I43</f>
        <v>0</v>
      </c>
      <c r="W43" s="3668"/>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67" t="str">
        <f>A44</f>
        <v>比较价格（元/平方米）</v>
      </c>
      <c r="Q44" s="3667"/>
      <c r="R44" s="3669" t="e">
        <f>ROUND(PRODUCT(R43,AA9:AA42),0)</f>
        <v>#DIV/0!</v>
      </c>
      <c r="S44" s="3669"/>
      <c r="T44" s="3669" t="e">
        <f>ROUND(PRODUCT(T43,AB9:AB42),0)</f>
        <v>#DIV/0!</v>
      </c>
      <c r="U44" s="3669"/>
      <c r="V44" s="3669" t="e">
        <f>ROUND(PRODUCT(V43,AC9:AC42),0)</f>
        <v>#DIV/0!</v>
      </c>
      <c r="W44" s="3669"/>
      <c r="X44" s="1560"/>
      <c r="Y44" s="1560"/>
      <c r="Z44" s="1560"/>
      <c r="AA44" s="1560"/>
      <c r="AB44" s="1560"/>
      <c r="AC44" s="1560"/>
    </row>
    <row r="45" spans="1:29" ht="15.75" thickBot="1">
      <c r="A45" s="621" t="s">
        <v>2943</v>
      </c>
      <c r="B45" s="622"/>
      <c r="C45" s="623" t="e">
        <f>R45</f>
        <v>#DIV/0!</v>
      </c>
      <c r="D45" s="623"/>
      <c r="E45" s="623"/>
      <c r="F45" s="623"/>
      <c r="G45" s="623"/>
      <c r="H45" s="623"/>
      <c r="I45" s="623"/>
      <c r="J45" s="623"/>
      <c r="K45" s="1342"/>
      <c r="L45" s="2146"/>
      <c r="M45" s="2136"/>
      <c r="N45" s="2136"/>
      <c r="O45" s="2147"/>
      <c r="P45" s="3664" t="str">
        <f>A45</f>
        <v>估价对象XX用房的比较价格（楼面单价，元/平方米）</v>
      </c>
      <c r="Q45" s="3665"/>
      <c r="R45" s="3666" t="e">
        <f>ROUND(AVERAGE(R44:V44),0)</f>
        <v>#DIV/0!</v>
      </c>
      <c r="S45" s="3666"/>
      <c r="T45" s="3666"/>
      <c r="U45" s="3666"/>
      <c r="V45" s="3666"/>
      <c r="W45" s="366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712" t="s">
        <v>2288</v>
      </c>
      <c r="H52" s="3713"/>
      <c r="I52" s="1954" t="s">
        <v>1949</v>
      </c>
      <c r="J52" s="1556" t="str">
        <f>项目基本情况!F41</f>
        <v>湖北省武汉市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180000</v>
      </c>
      <c r="F53" s="1952" t="e">
        <f t="shared" ref="F53:F62" si="15">ROUND(B53*E53/10000,0)</f>
        <v>#DIV/0!</v>
      </c>
      <c r="G53" s="3714"/>
      <c r="H53" s="3715"/>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16"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16"/>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16"/>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16"/>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19142.32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2944</v>
      </c>
      <c r="G3" s="1039">
        <f>IF(F3="宗地容积率",'数据-汇总表'!I4,IF(F3="估价对象容积率",'数据-汇总表'!I6,'数据-汇总表'!I7))</f>
        <v>9.4</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26"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9.4</v>
      </c>
      <c r="AA7" s="2194"/>
      <c r="AB7" s="2194"/>
      <c r="AC7" s="2195"/>
      <c r="AD7" s="2956"/>
      <c r="AE7" s="2956"/>
      <c r="AF7" s="2956"/>
      <c r="AG7" s="2956"/>
      <c r="AH7" s="2956"/>
      <c r="AI7" s="2956"/>
      <c r="AJ7" s="2957"/>
    </row>
    <row r="8" spans="1:39" ht="15">
      <c r="A8" s="3727"/>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18" t="s">
        <v>2790</v>
      </c>
      <c r="X8" s="3719"/>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27"/>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17"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27"/>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1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27"/>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17" t="s">
        <v>2788</v>
      </c>
      <c r="X11" s="1048" t="s">
        <v>2773</v>
      </c>
      <c r="Y11" s="1654">
        <f>$G$3</f>
        <v>9.4</v>
      </c>
      <c r="Z11" s="1654">
        <f t="shared" ref="Z11:AJ11" si="3">$G$3</f>
        <v>9.4</v>
      </c>
      <c r="AA11" s="1654">
        <f t="shared" si="3"/>
        <v>9.4</v>
      </c>
      <c r="AB11" s="1654">
        <f t="shared" si="3"/>
        <v>9.4</v>
      </c>
      <c r="AC11" s="1654">
        <f t="shared" si="3"/>
        <v>9.4</v>
      </c>
      <c r="AD11" s="1654">
        <f t="shared" si="3"/>
        <v>9.4</v>
      </c>
      <c r="AE11" s="1654">
        <f t="shared" si="3"/>
        <v>9.4</v>
      </c>
      <c r="AF11" s="1654">
        <f t="shared" si="3"/>
        <v>9.4</v>
      </c>
      <c r="AG11" s="1654">
        <f t="shared" si="3"/>
        <v>9.4</v>
      </c>
      <c r="AH11" s="1654">
        <f t="shared" si="3"/>
        <v>9.4</v>
      </c>
      <c r="AI11" s="1654">
        <f t="shared" si="3"/>
        <v>9.4</v>
      </c>
      <c r="AJ11" s="1654">
        <f t="shared" si="3"/>
        <v>9.4</v>
      </c>
    </row>
    <row r="12" spans="1:39" ht="25.5" thickBot="1">
      <c r="A12" s="3726"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17"/>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28"/>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17"/>
      <c r="X13" s="2961"/>
      <c r="Y13" s="2960">
        <f>(-0.163*(Y12^2)-0.59*Y12+7617)*(10^(-4))/Y11</f>
        <v>8.1031914893617024E-2</v>
      </c>
      <c r="Z13" s="2960">
        <f t="shared" ref="Z13:AJ13" si="5">(-0.163*(Z12^2)-0.59*Z12+7617)*(10^(-4))/Z11</f>
        <v>8.1031914893617024E-2</v>
      </c>
      <c r="AA13" s="2960">
        <f t="shared" si="5"/>
        <v>8.1031914893617024E-2</v>
      </c>
      <c r="AB13" s="2960">
        <f t="shared" si="5"/>
        <v>8.1031914893617024E-2</v>
      </c>
      <c r="AC13" s="2960">
        <f t="shared" si="5"/>
        <v>8.1031914893617024E-2</v>
      </c>
      <c r="AD13" s="2960">
        <f t="shared" si="5"/>
        <v>8.1031914893617024E-2</v>
      </c>
      <c r="AE13" s="2960">
        <f t="shared" si="5"/>
        <v>8.1031914893617024E-2</v>
      </c>
      <c r="AF13" s="2960">
        <f t="shared" si="5"/>
        <v>8.1031914893617024E-2</v>
      </c>
      <c r="AG13" s="2960">
        <f t="shared" si="5"/>
        <v>8.1031914893617024E-2</v>
      </c>
      <c r="AH13" s="2960">
        <f t="shared" si="5"/>
        <v>8.1031914893617024E-2</v>
      </c>
      <c r="AI13" s="2960">
        <f t="shared" si="5"/>
        <v>8.1031914893617024E-2</v>
      </c>
      <c r="AJ13" s="2960">
        <f t="shared" si="5"/>
        <v>8.1031914893617024E-2</v>
      </c>
    </row>
    <row r="14" spans="1:39" ht="12.75" customHeight="1" thickBot="1">
      <c r="A14" s="3728"/>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29"/>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26"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27"/>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43117</v>
      </c>
      <c r="H19" s="1476" t="s">
        <v>2945</v>
      </c>
      <c r="I19" s="2811" t="str">
        <f>IF(H19="季度增幅（自定义）",SUMIF(N21:N24,E2,O21:O24),"")</f>
        <v/>
      </c>
      <c r="J19" s="1472"/>
      <c r="K19" s="1482"/>
      <c r="L19" s="3067" t="s">
        <v>2848</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9.4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9.4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32" t="s">
        <v>2972</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33"/>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33"/>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34"/>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30" t="s">
        <v>1635</v>
      </c>
      <c r="B90" s="3730"/>
      <c r="C90" s="3730"/>
      <c r="D90" s="3730"/>
      <c r="E90" s="3730"/>
      <c r="F90" s="3730"/>
      <c r="G90" s="3730"/>
      <c r="H90" s="3730"/>
      <c r="I90" s="3730"/>
      <c r="J90" s="3730"/>
      <c r="K90" s="2476"/>
      <c r="L90" s="2476"/>
      <c r="M90" s="2476"/>
      <c r="N90" s="2476"/>
    </row>
    <row r="91" spans="1:40">
      <c r="A91" s="3731" t="s">
        <v>1445</v>
      </c>
      <c r="B91" s="3731" t="s">
        <v>1636</v>
      </c>
      <c r="C91" s="1140" t="s">
        <v>1637</v>
      </c>
      <c r="D91" s="1141"/>
      <c r="E91" s="1141"/>
      <c r="F91" s="1141"/>
      <c r="G91" s="1141"/>
      <c r="H91" s="1141"/>
      <c r="I91" s="1141"/>
      <c r="J91" s="1142"/>
      <c r="K91" s="1134"/>
      <c r="L91" s="1134"/>
      <c r="M91" s="1134"/>
      <c r="N91" s="1134"/>
    </row>
    <row r="92" spans="1:40">
      <c r="A92" s="3731"/>
      <c r="B92" s="3731"/>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20"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0" t="s">
        <v>1639</v>
      </c>
      <c r="B101" s="1147" t="s">
        <v>907</v>
      </c>
      <c r="C101" s="1148">
        <f>$G$3</f>
        <v>9.4</v>
      </c>
      <c r="D101" s="1148">
        <f t="shared" ref="D101:N101" si="31">$G$3</f>
        <v>9.4</v>
      </c>
      <c r="E101" s="1148">
        <f t="shared" si="31"/>
        <v>9.4</v>
      </c>
      <c r="F101" s="1148">
        <f t="shared" si="31"/>
        <v>9.4</v>
      </c>
      <c r="G101" s="1148">
        <f t="shared" si="31"/>
        <v>9.4</v>
      </c>
      <c r="H101" s="1148">
        <f t="shared" si="31"/>
        <v>9.4</v>
      </c>
      <c r="I101" s="1148">
        <f t="shared" si="31"/>
        <v>9.4</v>
      </c>
      <c r="J101" s="1148">
        <f t="shared" si="31"/>
        <v>9.4</v>
      </c>
      <c r="K101" s="1148">
        <f t="shared" si="31"/>
        <v>9.4</v>
      </c>
      <c r="L101" s="1148">
        <f t="shared" si="31"/>
        <v>9.4</v>
      </c>
      <c r="M101" s="1148">
        <f t="shared" si="31"/>
        <v>9.4</v>
      </c>
      <c r="N101" s="1148">
        <f t="shared" si="31"/>
        <v>9.4</v>
      </c>
    </row>
    <row r="102" spans="1:14">
      <c r="A102" s="3721"/>
      <c r="B102" s="1143">
        <v>1</v>
      </c>
      <c r="C102" s="1144">
        <f>1.9362/C101</f>
        <v>0.2059787234042553</v>
      </c>
      <c r="D102" s="1144">
        <f>1.9362/D101</f>
        <v>0.2059787234042553</v>
      </c>
      <c r="E102" s="1144">
        <f>1.8629/E101</f>
        <v>0.19818085106382977</v>
      </c>
      <c r="F102" s="1144">
        <f>1.8629/F101</f>
        <v>0.19818085106382977</v>
      </c>
      <c r="G102" s="1144">
        <f>1.8629/G101</f>
        <v>0.19818085106382977</v>
      </c>
      <c r="H102" s="1144">
        <f>1.8629/H101</f>
        <v>0.19818085106382977</v>
      </c>
      <c r="I102" s="1144">
        <f>1.8629/I101</f>
        <v>0.19818085106382977</v>
      </c>
      <c r="J102" s="1144">
        <f>1.942/J101</f>
        <v>0.20659574468085104</v>
      </c>
      <c r="K102" s="1144">
        <f>1.942/K101</f>
        <v>0.20659574468085104</v>
      </c>
      <c r="L102" s="1144">
        <f>1.942/L101</f>
        <v>0.20659574468085104</v>
      </c>
      <c r="M102" s="1144">
        <f>1.942/M101</f>
        <v>0.20659574468085104</v>
      </c>
      <c r="N102" s="1144">
        <f>1.942/N101</f>
        <v>0.20659574468085104</v>
      </c>
    </row>
    <row r="103" spans="1:14">
      <c r="A103" s="3721"/>
      <c r="B103" s="1143">
        <v>2</v>
      </c>
      <c r="C103" s="1144">
        <f>1.4198/C101</f>
        <v>0.15104255319148935</v>
      </c>
      <c r="D103" s="1144">
        <f>1.4198/D101</f>
        <v>0.15104255319148935</v>
      </c>
      <c r="E103" s="1144">
        <f>1.3372/E101</f>
        <v>0.14225531914893616</v>
      </c>
      <c r="F103" s="1144">
        <f>1.3372/F101</f>
        <v>0.14225531914893616</v>
      </c>
      <c r="G103" s="1144">
        <f>1.3372/G101</f>
        <v>0.14225531914893616</v>
      </c>
      <c r="H103" s="1144">
        <f>1.3372/H101</f>
        <v>0.14225531914893616</v>
      </c>
      <c r="I103" s="1144">
        <f>1.3372/I101</f>
        <v>0.14225531914893616</v>
      </c>
      <c r="J103" s="1144">
        <f>1.2799/J101</f>
        <v>0.1361595744680851</v>
      </c>
      <c r="K103" s="1144">
        <f>1.2799/K101</f>
        <v>0.1361595744680851</v>
      </c>
      <c r="L103" s="1144">
        <f>1.2799/L101</f>
        <v>0.1361595744680851</v>
      </c>
      <c r="M103" s="1144">
        <f>1.2799/M101</f>
        <v>0.1361595744680851</v>
      </c>
      <c r="N103" s="1144">
        <f>1.2799/N101</f>
        <v>0.1361595744680851</v>
      </c>
    </row>
    <row r="104" spans="1:14">
      <c r="A104" s="3721"/>
      <c r="B104" s="1143">
        <v>3</v>
      </c>
      <c r="C104" s="1144">
        <f>1.1594/C101</f>
        <v>0.12334042553191489</v>
      </c>
      <c r="D104" s="1144">
        <f>1.1594/D101</f>
        <v>0.12334042553191489</v>
      </c>
      <c r="E104" s="1144">
        <f>1.0788/E101</f>
        <v>0.11476595744680851</v>
      </c>
      <c r="F104" s="1144">
        <f>1.0788/F101</f>
        <v>0.11476595744680851</v>
      </c>
      <c r="G104" s="1144">
        <f>1.0788/G101</f>
        <v>0.11476595744680851</v>
      </c>
      <c r="H104" s="1144">
        <f>1.0788/H101</f>
        <v>0.11476595744680851</v>
      </c>
      <c r="I104" s="1144">
        <f>1.0788/I101</f>
        <v>0.11476595744680851</v>
      </c>
      <c r="J104" s="1144">
        <f>1.0072/J101</f>
        <v>0.10714893617021277</v>
      </c>
      <c r="K104" s="1144">
        <f>1.0072/K101</f>
        <v>0.10714893617021277</v>
      </c>
      <c r="L104" s="1144">
        <f>1.0072/L101</f>
        <v>0.10714893617021277</v>
      </c>
      <c r="M104" s="1144">
        <f>1.0072/M101</f>
        <v>0.10714893617021277</v>
      </c>
      <c r="N104" s="1144">
        <f>1.0072/N101</f>
        <v>0.10714893617021277</v>
      </c>
    </row>
    <row r="105" spans="1:14">
      <c r="A105" s="3721"/>
      <c r="B105" s="1143">
        <v>4</v>
      </c>
      <c r="C105" s="1144">
        <f>0.9622/C101</f>
        <v>0.10236170212765958</v>
      </c>
      <c r="D105" s="1144">
        <f>0.9622/D101</f>
        <v>0.10236170212765958</v>
      </c>
      <c r="E105" s="1144">
        <f>0.8656/E101</f>
        <v>9.2085106382978718E-2</v>
      </c>
      <c r="F105" s="1144">
        <f>0.8656/F101</f>
        <v>9.2085106382978718E-2</v>
      </c>
      <c r="G105" s="1144">
        <f>0.8656/G101</f>
        <v>9.2085106382978718E-2</v>
      </c>
      <c r="H105" s="1144">
        <f>0.8656/H101</f>
        <v>9.2085106382978718E-2</v>
      </c>
      <c r="I105" s="1144">
        <f>0.8656/I101</f>
        <v>9.2085106382978718E-2</v>
      </c>
      <c r="J105" s="1144">
        <f>0.7525/J101</f>
        <v>8.00531914893617E-2</v>
      </c>
      <c r="K105" s="1144">
        <f>0.7525/K101</f>
        <v>8.00531914893617E-2</v>
      </c>
      <c r="L105" s="1144">
        <f>0.7525/L101</f>
        <v>8.00531914893617E-2</v>
      </c>
      <c r="M105" s="1144">
        <f>0.7525/M101</f>
        <v>8.00531914893617E-2</v>
      </c>
      <c r="N105" s="1144">
        <f>0.7525/N101</f>
        <v>8.00531914893617E-2</v>
      </c>
    </row>
    <row r="106" spans="1:14">
      <c r="A106" s="3721"/>
      <c r="B106" s="1143">
        <v>5</v>
      </c>
      <c r="C106" s="1144">
        <f>0.8417/C101</f>
        <v>8.9542553191489363E-2</v>
      </c>
      <c r="D106" s="1144">
        <f>0.8417/D101</f>
        <v>8.9542553191489363E-2</v>
      </c>
      <c r="E106" s="1144">
        <f>0.7371/E101</f>
        <v>7.8414893617021267E-2</v>
      </c>
      <c r="F106" s="1144">
        <f>0.7371/F101</f>
        <v>7.8414893617021267E-2</v>
      </c>
      <c r="G106" s="1144">
        <f>0.7371/G101</f>
        <v>7.8414893617021267E-2</v>
      </c>
      <c r="H106" s="1144">
        <f>0.7371/H101</f>
        <v>7.8414893617021267E-2</v>
      </c>
      <c r="I106" s="1144">
        <f>0.7371/I101</f>
        <v>7.8414893617021267E-2</v>
      </c>
      <c r="J106" s="1144">
        <f>0.5659/J101</f>
        <v>6.0202127659574459E-2</v>
      </c>
      <c r="K106" s="1144">
        <f>0.5659/K101</f>
        <v>6.0202127659574459E-2</v>
      </c>
      <c r="L106" s="1144">
        <f>0.5659/L101</f>
        <v>6.0202127659574459E-2</v>
      </c>
      <c r="M106" s="1144">
        <f>0.5659/M101</f>
        <v>6.0202127659574459E-2</v>
      </c>
      <c r="N106" s="1144">
        <f>0.5659/N101</f>
        <v>6.0202127659574459E-2</v>
      </c>
    </row>
    <row r="107" spans="1:14">
      <c r="A107" s="3721"/>
      <c r="B107" s="1143">
        <v>6</v>
      </c>
      <c r="C107" s="1144">
        <f>0.7608/C101</f>
        <v>8.0936170212765959E-2</v>
      </c>
      <c r="D107" s="1144">
        <f>0.7608/D101</f>
        <v>8.0936170212765959E-2</v>
      </c>
      <c r="E107" s="1144">
        <f>0.6482/E101</f>
        <v>6.8957446808510639E-2</v>
      </c>
      <c r="F107" s="1144">
        <f>0.6482/F101</f>
        <v>6.8957446808510639E-2</v>
      </c>
      <c r="G107" s="1144">
        <f>0.6482/G101</f>
        <v>6.8957446808510639E-2</v>
      </c>
      <c r="H107" s="1144">
        <f>0.6482/H101</f>
        <v>6.8957446808510639E-2</v>
      </c>
      <c r="I107" s="1144">
        <f>0.6482/I101</f>
        <v>6.8957446808510639E-2</v>
      </c>
      <c r="J107" s="1144">
        <f>0.4525/J101</f>
        <v>4.8138297872340426E-2</v>
      </c>
      <c r="K107" s="1144">
        <f>0.4525/K101</f>
        <v>4.8138297872340426E-2</v>
      </c>
      <c r="L107" s="1144">
        <f>0.4525/L101</f>
        <v>4.8138297872340426E-2</v>
      </c>
      <c r="M107" s="1144">
        <f>0.4525/M101</f>
        <v>4.8138297872340426E-2</v>
      </c>
      <c r="N107" s="1144">
        <f>0.4525/N101</f>
        <v>4.8138297872340426E-2</v>
      </c>
    </row>
    <row r="108" spans="1:14">
      <c r="A108" s="3721"/>
      <c r="B108" s="372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2"/>
      <c r="B109" s="3724"/>
      <c r="C109" s="1146">
        <f>(-0.163*(C108^2)-0.59*C108+7617)*(10^(-4))/C101</f>
        <v>8.0870723404255315E-2</v>
      </c>
      <c r="D109" s="1146">
        <f>(-0.163*(D108^2)-0.59*D108+7617)*(10^(-4))/D101</f>
        <v>8.0870723404255315E-2</v>
      </c>
      <c r="E109" s="1146">
        <f>(-0.161*(E108^2)-7.509*E108+6533)*(10^(-4))/E101</f>
        <v>6.8751319148936174E-2</v>
      </c>
      <c r="F109" s="1146">
        <f>(-0.161*(F108^2)-7.509*F108+6533)*(10^(-4))/F101</f>
        <v>6.8751319148936174E-2</v>
      </c>
      <c r="G109" s="1146">
        <f>(-0.161*(G108^2)-7.509*G108+6533)*(10^(-4))/G101</f>
        <v>6.8751319148936174E-2</v>
      </c>
      <c r="H109" s="1146">
        <f>(-0.161*(H108^2)-7.509*H108+6533)*(10^(-4))/H101</f>
        <v>6.8751319148936174E-2</v>
      </c>
      <c r="I109" s="1146">
        <f>(-0.161*(I108^2)-7.509*I108+6533)*(10^(-4))/I101</f>
        <v>6.8751319148936174E-2</v>
      </c>
      <c r="J109" s="1146">
        <f>(-0.214*(J108^2)-21.991*J108+4665)*(10^(-4))/J101</f>
        <v>4.7610382978723408E-2</v>
      </c>
      <c r="K109" s="1146">
        <f>(-0.214*(K108^2)-21.991*K108+4665)*(10^(-4))/K101</f>
        <v>4.7610382978723408E-2</v>
      </c>
      <c r="L109" s="1146">
        <f>(-0.214*(L108^2)-21.991*L108+4665)*(10^(-4))/L101</f>
        <v>4.7610382978723408E-2</v>
      </c>
      <c r="M109" s="1146">
        <f>(-0.214*(M108^2)-21.991*M108+4665)*(10^(-4))/M101</f>
        <v>4.7610382978723408E-2</v>
      </c>
      <c r="N109" s="1146">
        <f>(-0.214*(N108^2)-21.991*N108+4665)*(10^(-4))/N101</f>
        <v>4.7610382978723408E-2</v>
      </c>
    </row>
    <row r="110" spans="1:14">
      <c r="A110" s="3725" t="s">
        <v>1641</v>
      </c>
      <c r="B110" s="3725"/>
      <c r="C110" s="3725"/>
      <c r="D110" s="3725"/>
      <c r="E110" s="3725"/>
      <c r="F110" s="3725"/>
      <c r="G110" s="3725"/>
      <c r="H110" s="3725"/>
      <c r="I110" s="3725"/>
      <c r="J110" s="3725"/>
      <c r="K110" s="2474"/>
      <c r="L110" s="2474"/>
      <c r="M110" s="2474"/>
      <c r="N110" s="2474"/>
    </row>
    <row r="112" spans="1:14" ht="12.75" thickBot="1"/>
    <row r="113" spans="1:13" ht="25.5" thickBot="1">
      <c r="A113" s="1016" t="s">
        <v>897</v>
      </c>
      <c r="B113" s="2477">
        <f>G3</f>
        <v>9.4</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0.84509999999999996</v>
      </c>
      <c r="C115" s="1030">
        <f>B115</f>
        <v>0.84509999999999996</v>
      </c>
      <c r="D115" s="1030">
        <f>ROUND(0.8331-0.0109*B113,4)</f>
        <v>0.73060000000000003</v>
      </c>
      <c r="E115" s="1030">
        <f>D115</f>
        <v>0.73060000000000003</v>
      </c>
      <c r="F115" s="1030">
        <f>E115</f>
        <v>0.73060000000000003</v>
      </c>
      <c r="G115" s="1030">
        <f>F115</f>
        <v>0.73060000000000003</v>
      </c>
      <c r="H115" s="1030">
        <f>G115</f>
        <v>0.73060000000000003</v>
      </c>
      <c r="I115" s="1030">
        <f>ROUND(0.689-0.0155*B113,4)</f>
        <v>0.54330000000000001</v>
      </c>
      <c r="J115" s="1030">
        <f t="shared" ref="J115:M118" si="33">I115</f>
        <v>0.54330000000000001</v>
      </c>
      <c r="K115" s="1030">
        <f t="shared" si="33"/>
        <v>0.54330000000000001</v>
      </c>
      <c r="L115" s="1030">
        <f t="shared" si="33"/>
        <v>0.54330000000000001</v>
      </c>
      <c r="M115" s="1031">
        <f t="shared" si="33"/>
        <v>0.54330000000000001</v>
      </c>
    </row>
    <row r="116" spans="1:13" ht="12.75">
      <c r="A116" s="1029" t="s">
        <v>902</v>
      </c>
      <c r="B116" s="1030">
        <f>ROUND(0.949-0.012*B113,4)</f>
        <v>0.83620000000000005</v>
      </c>
      <c r="C116" s="1030">
        <f>B116</f>
        <v>0.83620000000000005</v>
      </c>
      <c r="D116" s="1030">
        <f>ROUND(0.8567-0.013*B113,4)</f>
        <v>0.73450000000000004</v>
      </c>
      <c r="E116" s="1030">
        <f t="shared" ref="E116:H117" si="34">D116</f>
        <v>0.73450000000000004</v>
      </c>
      <c r="F116" s="1030">
        <f t="shared" si="34"/>
        <v>0.73450000000000004</v>
      </c>
      <c r="G116" s="1030">
        <f t="shared" si="34"/>
        <v>0.73450000000000004</v>
      </c>
      <c r="H116" s="1030">
        <f t="shared" si="34"/>
        <v>0.73450000000000004</v>
      </c>
      <c r="I116" s="1030">
        <f>ROUND(0.7694-0.014*B113,4)</f>
        <v>0.63780000000000003</v>
      </c>
      <c r="J116" s="1030">
        <f t="shared" si="33"/>
        <v>0.63780000000000003</v>
      </c>
      <c r="K116" s="1030">
        <f t="shared" si="33"/>
        <v>0.63780000000000003</v>
      </c>
      <c r="L116" s="1030">
        <f t="shared" si="33"/>
        <v>0.63780000000000003</v>
      </c>
      <c r="M116" s="1031">
        <f t="shared" si="33"/>
        <v>0.63780000000000003</v>
      </c>
    </row>
    <row r="117" spans="1:13" ht="12.75">
      <c r="A117" s="1032" t="s">
        <v>903</v>
      </c>
      <c r="B117" s="1030">
        <f>ROUND(0.8808-0.006*B113,4)</f>
        <v>0.82440000000000002</v>
      </c>
      <c r="C117" s="1030">
        <f>B117</f>
        <v>0.82440000000000002</v>
      </c>
      <c r="D117" s="1030">
        <f>ROUND(0.8748-0.008*B113,4)</f>
        <v>0.79959999999999998</v>
      </c>
      <c r="E117" s="1030">
        <f t="shared" si="34"/>
        <v>0.79959999999999998</v>
      </c>
      <c r="F117" s="1030">
        <f t="shared" si="34"/>
        <v>0.79959999999999998</v>
      </c>
      <c r="G117" s="1030">
        <f t="shared" si="34"/>
        <v>0.79959999999999998</v>
      </c>
      <c r="H117" s="1030">
        <f t="shared" si="34"/>
        <v>0.79959999999999998</v>
      </c>
      <c r="I117" s="1030">
        <f>ROUND(0.7412-0.0095*B113,4)</f>
        <v>0.65190000000000003</v>
      </c>
      <c r="J117" s="1030">
        <f t="shared" si="33"/>
        <v>0.65190000000000003</v>
      </c>
      <c r="K117" s="1030">
        <f t="shared" si="33"/>
        <v>0.65190000000000003</v>
      </c>
      <c r="L117" s="1030">
        <f t="shared" si="33"/>
        <v>0.65190000000000003</v>
      </c>
      <c r="M117" s="1031">
        <f t="shared" si="33"/>
        <v>0.65190000000000003</v>
      </c>
    </row>
    <row r="118" spans="1:13" ht="13.5" thickBot="1">
      <c r="A118" s="1033" t="s">
        <v>904</v>
      </c>
      <c r="B118" s="1034">
        <f>ROUND(0.7275-0.01*B113,4)</f>
        <v>0.63349999999999995</v>
      </c>
      <c r="C118" s="1034">
        <f>B118</f>
        <v>0.63349999999999995</v>
      </c>
      <c r="D118" s="1034">
        <f>ROUND(0.7043-0.012*B113,4)</f>
        <v>0.59150000000000003</v>
      </c>
      <c r="E118" s="1034">
        <f>D118</f>
        <v>0.59150000000000003</v>
      </c>
      <c r="F118" s="1034">
        <f>E118</f>
        <v>0.59150000000000003</v>
      </c>
      <c r="G118" s="1034">
        <f>ROUND(0.6299-0.0122*B113,4)</f>
        <v>0.51519999999999999</v>
      </c>
      <c r="H118" s="1034">
        <f>G118</f>
        <v>0.51519999999999999</v>
      </c>
      <c r="I118" s="1034">
        <f>ROUND(0.5667-0.0136*B113,4)</f>
        <v>0.43890000000000001</v>
      </c>
      <c r="J118" s="1034">
        <f t="shared" si="33"/>
        <v>0.43890000000000001</v>
      </c>
      <c r="K118" s="1034">
        <f t="shared" si="33"/>
        <v>0.43890000000000001</v>
      </c>
      <c r="L118" s="1034">
        <f t="shared" si="33"/>
        <v>0.43890000000000001</v>
      </c>
      <c r="M118" s="1035">
        <f t="shared" si="33"/>
        <v>0.43890000000000001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31" t="s">
        <v>1009</v>
      </c>
      <c r="B18" s="1154" t="s">
        <v>1448</v>
      </c>
      <c r="C18" s="1131" t="s">
        <v>1449</v>
      </c>
      <c r="D18" s="1132"/>
      <c r="E18" s="1154">
        <v>1</v>
      </c>
      <c r="F18" s="1133" t="s">
        <v>1450</v>
      </c>
      <c r="G18" s="1134"/>
      <c r="H18" s="1105"/>
      <c r="I18" s="1105"/>
    </row>
    <row r="19" spans="1:9" s="1600" customFormat="1" ht="19.5" customHeight="1">
      <c r="A19" s="3731"/>
      <c r="B19" s="3731" t="s">
        <v>1451</v>
      </c>
      <c r="C19" s="1131" t="s">
        <v>1452</v>
      </c>
      <c r="D19" s="1132"/>
      <c r="E19" s="1154">
        <v>0.9</v>
      </c>
      <c r="F19" s="1133" t="s">
        <v>1453</v>
      </c>
      <c r="G19" s="1134"/>
      <c r="H19" s="1105"/>
      <c r="I19" s="1105"/>
    </row>
    <row r="20" spans="1:9" s="1600" customFormat="1" ht="19.5" customHeight="1">
      <c r="A20" s="3731"/>
      <c r="B20" s="3731"/>
      <c r="C20" s="1131" t="s">
        <v>1454</v>
      </c>
      <c r="D20" s="1132"/>
      <c r="E20" s="1154">
        <v>1.1000000000000001</v>
      </c>
      <c r="F20" s="1133" t="s">
        <v>1455</v>
      </c>
      <c r="G20" s="1134"/>
      <c r="H20" s="1105"/>
      <c r="I20" s="1105"/>
    </row>
    <row r="21" spans="1:9" s="1600" customFormat="1" ht="19.5" customHeight="1">
      <c r="A21" s="3731"/>
      <c r="B21" s="3731"/>
      <c r="C21" s="1131" t="s">
        <v>1456</v>
      </c>
      <c r="D21" s="1132"/>
      <c r="E21" s="1154">
        <v>0.8</v>
      </c>
      <c r="F21" s="1133" t="s">
        <v>1457</v>
      </c>
      <c r="G21" s="1134"/>
      <c r="H21" s="1105"/>
      <c r="I21" s="1105"/>
    </row>
    <row r="22" spans="1:9" s="1600" customFormat="1" ht="19.5" customHeight="1">
      <c r="A22" s="3731"/>
      <c r="B22" s="3731"/>
      <c r="C22" s="1131" t="s">
        <v>1458</v>
      </c>
      <c r="D22" s="1132"/>
      <c r="E22" s="1154">
        <v>0.5</v>
      </c>
      <c r="F22" s="1133"/>
      <c r="G22" s="1134"/>
      <c r="H22" s="1105"/>
      <c r="I22" s="1105"/>
    </row>
    <row r="23" spans="1:9" s="1600" customFormat="1" ht="19.5" customHeight="1">
      <c r="A23" s="3731" t="s">
        <v>1031</v>
      </c>
      <c r="B23" s="1154" t="s">
        <v>1448</v>
      </c>
      <c r="C23" s="1131" t="s">
        <v>1459</v>
      </c>
      <c r="D23" s="1132"/>
      <c r="E23" s="1154">
        <v>1</v>
      </c>
      <c r="F23" s="1133" t="s">
        <v>1460</v>
      </c>
      <c r="G23" s="1134"/>
      <c r="H23" s="1105"/>
      <c r="I23" s="1105"/>
    </row>
    <row r="24" spans="1:9" s="1600" customFormat="1" ht="19.5" customHeight="1">
      <c r="A24" s="3731"/>
      <c r="B24" s="3731" t="s">
        <v>1451</v>
      </c>
      <c r="C24" s="1131" t="s">
        <v>1461</v>
      </c>
      <c r="D24" s="1132"/>
      <c r="E24" s="1154">
        <v>0.5</v>
      </c>
      <c r="F24" s="1133"/>
      <c r="G24" s="1134"/>
      <c r="H24" s="1105"/>
      <c r="I24" s="1105"/>
    </row>
    <row r="25" spans="1:9" s="1600" customFormat="1" ht="19.5" customHeight="1">
      <c r="A25" s="3731"/>
      <c r="B25" s="3731"/>
      <c r="C25" s="1131" t="s">
        <v>1462</v>
      </c>
      <c r="D25" s="1132"/>
      <c r="E25" s="1154">
        <v>1.1000000000000001</v>
      </c>
      <c r="F25" s="1133"/>
      <c r="G25" s="1134"/>
      <c r="H25" s="1105"/>
      <c r="I25" s="1105"/>
    </row>
    <row r="26" spans="1:9" s="1600" customFormat="1" ht="19.5" customHeight="1">
      <c r="A26" s="3731"/>
      <c r="B26" s="3731"/>
      <c r="C26" s="1131" t="s">
        <v>1463</v>
      </c>
      <c r="D26" s="1132"/>
      <c r="E26" s="1154">
        <v>1.1000000000000001</v>
      </c>
      <c r="F26" s="1133"/>
      <c r="G26" s="1134"/>
      <c r="H26" s="1105"/>
      <c r="I26" s="1105"/>
    </row>
    <row r="27" spans="1:9" s="1600" customFormat="1" ht="19.5" customHeight="1">
      <c r="A27" s="3731"/>
      <c r="B27" s="3731"/>
      <c r="C27" s="1131" t="s">
        <v>1464</v>
      </c>
      <c r="D27" s="1132"/>
      <c r="E27" s="1154">
        <v>0.9</v>
      </c>
      <c r="F27" s="1133" t="s">
        <v>1465</v>
      </c>
      <c r="G27" s="1134"/>
      <c r="H27" s="1105"/>
      <c r="I27" s="1105"/>
    </row>
    <row r="28" spans="1:9" s="1600" customFormat="1" ht="19.5" customHeight="1">
      <c r="A28" s="3731"/>
      <c r="B28" s="3731"/>
      <c r="C28" s="1131" t="s">
        <v>1466</v>
      </c>
      <c r="D28" s="1132"/>
      <c r="E28" s="1154">
        <v>0.9</v>
      </c>
      <c r="F28" s="1133" t="s">
        <v>1467</v>
      </c>
      <c r="G28" s="1134"/>
      <c r="H28" s="1105"/>
      <c r="I28" s="1105"/>
    </row>
    <row r="29" spans="1:9" s="1600" customFormat="1" ht="19.5" customHeight="1">
      <c r="A29" s="3731"/>
      <c r="B29" s="3731"/>
      <c r="C29" s="1131" t="s">
        <v>1468</v>
      </c>
      <c r="D29" s="1132"/>
      <c r="E29" s="1154">
        <v>0.9</v>
      </c>
      <c r="F29" s="1133" t="s">
        <v>1469</v>
      </c>
      <c r="G29" s="1134"/>
      <c r="H29" s="1105"/>
      <c r="I29" s="1105"/>
    </row>
    <row r="30" spans="1:9" s="1600" customFormat="1" ht="19.5" customHeight="1">
      <c r="A30" s="3731"/>
      <c r="B30" s="3731"/>
      <c r="C30" s="1131" t="s">
        <v>1470</v>
      </c>
      <c r="D30" s="1132"/>
      <c r="E30" s="1154">
        <v>0.9</v>
      </c>
      <c r="F30" s="1133" t="s">
        <v>1471</v>
      </c>
      <c r="G30" s="1134"/>
      <c r="H30" s="1105"/>
      <c r="I30" s="1105"/>
    </row>
    <row r="31" spans="1:9" s="1600" customFormat="1" ht="19.5" customHeight="1">
      <c r="A31" s="3731"/>
      <c r="B31" s="3731"/>
      <c r="C31" s="1131" t="s">
        <v>1472</v>
      </c>
      <c r="D31" s="1132"/>
      <c r="E31" s="1154">
        <v>0.8</v>
      </c>
      <c r="F31" s="1133" t="s">
        <v>1473</v>
      </c>
      <c r="G31" s="1134"/>
      <c r="H31" s="1105"/>
      <c r="I31" s="1105"/>
    </row>
    <row r="32" spans="1:9" s="1600" customFormat="1" ht="19.5" customHeight="1">
      <c r="A32" s="3731"/>
      <c r="B32" s="3731"/>
      <c r="C32" s="1131" t="s">
        <v>1474</v>
      </c>
      <c r="D32" s="1132"/>
      <c r="E32" s="1154">
        <v>0.8</v>
      </c>
      <c r="F32" s="1133" t="s">
        <v>1475</v>
      </c>
      <c r="G32" s="1134"/>
      <c r="H32" s="1105"/>
      <c r="I32" s="1105"/>
    </row>
    <row r="33" spans="1:9" s="1600" customFormat="1" ht="19.5" customHeight="1">
      <c r="A33" s="3731" t="s">
        <v>1476</v>
      </c>
      <c r="B33" s="1154" t="s">
        <v>1448</v>
      </c>
      <c r="C33" s="1131" t="s">
        <v>1477</v>
      </c>
      <c r="D33" s="1132"/>
      <c r="E33" s="1154">
        <v>1</v>
      </c>
      <c r="F33" s="1133" t="s">
        <v>1478</v>
      </c>
      <c r="G33" s="1134"/>
      <c r="H33" s="1105"/>
      <c r="I33" s="1105"/>
    </row>
    <row r="34" spans="1:9" s="1600" customFormat="1" ht="19.5" customHeight="1">
      <c r="A34" s="3731"/>
      <c r="B34" s="1154" t="s">
        <v>1451</v>
      </c>
      <c r="C34" s="1131" t="s">
        <v>1479</v>
      </c>
      <c r="D34" s="1132"/>
      <c r="E34" s="1154">
        <v>1.5</v>
      </c>
      <c r="F34" s="1133" t="s">
        <v>1480</v>
      </c>
      <c r="G34" s="1134"/>
      <c r="H34" s="1105"/>
      <c r="I34" s="1105"/>
    </row>
    <row r="35" spans="1:9" s="1600" customFormat="1" ht="19.5" customHeight="1">
      <c r="A35" s="3731" t="s">
        <v>1434</v>
      </c>
      <c r="B35" s="1154" t="s">
        <v>1448</v>
      </c>
      <c r="C35" s="1131" t="s">
        <v>1481</v>
      </c>
      <c r="D35" s="1132"/>
      <c r="E35" s="1154">
        <v>1</v>
      </c>
      <c r="F35" s="1133" t="s">
        <v>1482</v>
      </c>
      <c r="G35" s="1134"/>
      <c r="H35" s="1105"/>
      <c r="I35" s="1105"/>
    </row>
    <row r="36" spans="1:9" s="1600" customFormat="1" ht="19.5" customHeight="1">
      <c r="A36" s="3731"/>
      <c r="B36" s="3731" t="s">
        <v>1451</v>
      </c>
      <c r="C36" s="1131" t="s">
        <v>1483</v>
      </c>
      <c r="D36" s="1132"/>
      <c r="E36" s="1154">
        <v>1</v>
      </c>
      <c r="F36" s="1133" t="s">
        <v>1484</v>
      </c>
      <c r="G36" s="1134"/>
      <c r="H36" s="1105"/>
      <c r="I36" s="1105"/>
    </row>
    <row r="37" spans="1:9" s="1600" customFormat="1" ht="19.5" customHeight="1">
      <c r="A37" s="3731"/>
      <c r="B37" s="3731"/>
      <c r="C37" s="1131" t="s">
        <v>1485</v>
      </c>
      <c r="D37" s="1132"/>
      <c r="E37" s="1154">
        <v>1.5</v>
      </c>
      <c r="F37" s="1133" t="s">
        <v>1486</v>
      </c>
      <c r="G37" s="1134"/>
      <c r="H37" s="1105"/>
      <c r="I37" s="1105"/>
    </row>
    <row r="38" spans="1:9" s="1600" customFormat="1" ht="19.5" customHeight="1">
      <c r="A38" s="3731"/>
      <c r="B38" s="3731"/>
      <c r="C38" s="1131" t="s">
        <v>1487</v>
      </c>
      <c r="D38" s="1132"/>
      <c r="E38" s="1154">
        <v>1</v>
      </c>
      <c r="F38" s="1133" t="s">
        <v>1488</v>
      </c>
      <c r="G38" s="1134"/>
      <c r="H38" s="1105"/>
      <c r="I38" s="1105"/>
    </row>
    <row r="39" spans="1:9" s="1600" customFormat="1" ht="19.5" customHeight="1">
      <c r="A39" s="3731"/>
      <c r="B39" s="3731"/>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31" t="s">
        <v>1503</v>
      </c>
      <c r="C61" s="1068" t="s">
        <v>1504</v>
      </c>
      <c r="D61" s="1068" t="s">
        <v>1505</v>
      </c>
      <c r="E61" s="1139">
        <v>0.5</v>
      </c>
      <c r="F61" s="1154">
        <v>80</v>
      </c>
      <c r="H61" s="1105">
        <f>SUMIF(C59:C119,基准地价!C8,E59:E119)</f>
        <v>0</v>
      </c>
    </row>
    <row r="62" spans="1:8" s="1105" customFormat="1" ht="24">
      <c r="A62" s="1154">
        <v>2</v>
      </c>
      <c r="B62" s="3731"/>
      <c r="C62" s="1068" t="s">
        <v>1506</v>
      </c>
      <c r="D62" s="1068" t="s">
        <v>1507</v>
      </c>
      <c r="E62" s="1139">
        <v>0.5</v>
      </c>
      <c r="F62" s="1154">
        <v>80</v>
      </c>
    </row>
    <row r="63" spans="1:8" s="1105" customFormat="1" ht="36">
      <c r="A63" s="1154">
        <v>3</v>
      </c>
      <c r="B63" s="3731"/>
      <c r="C63" s="1068" t="s">
        <v>1508</v>
      </c>
      <c r="D63" s="1068" t="s">
        <v>1509</v>
      </c>
      <c r="E63" s="1139">
        <v>0.5</v>
      </c>
      <c r="F63" s="1154">
        <v>80</v>
      </c>
    </row>
    <row r="64" spans="1:8" s="1105" customFormat="1" ht="36">
      <c r="A64" s="1154">
        <v>4</v>
      </c>
      <c r="B64" s="3731"/>
      <c r="C64" s="1068" t="s">
        <v>1510</v>
      </c>
      <c r="D64" s="1068" t="s">
        <v>1511</v>
      </c>
      <c r="E64" s="1139">
        <v>0.4</v>
      </c>
      <c r="F64" s="1154">
        <v>60</v>
      </c>
    </row>
    <row r="65" spans="1:6" s="1105" customFormat="1" ht="36">
      <c r="A65" s="1154">
        <v>5</v>
      </c>
      <c r="B65" s="3731"/>
      <c r="C65" s="1068" t="s">
        <v>1512</v>
      </c>
      <c r="D65" s="1068" t="s">
        <v>1513</v>
      </c>
      <c r="E65" s="1139">
        <v>0.2</v>
      </c>
      <c r="F65" s="1154">
        <v>30</v>
      </c>
    </row>
    <row r="66" spans="1:6" s="1105" customFormat="1" ht="36">
      <c r="A66" s="1154">
        <v>6</v>
      </c>
      <c r="B66" s="3731"/>
      <c r="C66" s="1068" t="s">
        <v>1514</v>
      </c>
      <c r="D66" s="1068" t="s">
        <v>1515</v>
      </c>
      <c r="E66" s="1139">
        <v>0.3</v>
      </c>
      <c r="F66" s="1154">
        <v>50</v>
      </c>
    </row>
    <row r="67" spans="1:6" s="1105" customFormat="1" ht="36">
      <c r="A67" s="1154">
        <v>7</v>
      </c>
      <c r="B67" s="3731"/>
      <c r="C67" s="1068" t="s">
        <v>1516</v>
      </c>
      <c r="D67" s="1068" t="s">
        <v>1517</v>
      </c>
      <c r="E67" s="1139">
        <v>0.2</v>
      </c>
      <c r="F67" s="1154">
        <v>30</v>
      </c>
    </row>
    <row r="68" spans="1:6" s="1105" customFormat="1" ht="36">
      <c r="A68" s="1154">
        <v>8</v>
      </c>
      <c r="B68" s="3731"/>
      <c r="C68" s="1068" t="s">
        <v>1518</v>
      </c>
      <c r="D68" s="1068" t="s">
        <v>1519</v>
      </c>
      <c r="E68" s="1139">
        <v>0.2</v>
      </c>
      <c r="F68" s="1154">
        <v>30</v>
      </c>
    </row>
    <row r="69" spans="1:6" s="1105" customFormat="1" ht="36">
      <c r="A69" s="1154">
        <v>9</v>
      </c>
      <c r="B69" s="3731"/>
      <c r="C69" s="1068" t="s">
        <v>1520</v>
      </c>
      <c r="D69" s="1068" t="s">
        <v>1521</v>
      </c>
      <c r="E69" s="1139">
        <v>0.2</v>
      </c>
      <c r="F69" s="1154">
        <v>30</v>
      </c>
    </row>
    <row r="70" spans="1:6" s="1105" customFormat="1" ht="48">
      <c r="A70" s="1154">
        <v>10</v>
      </c>
      <c r="B70" s="3731"/>
      <c r="C70" s="1068" t="s">
        <v>1522</v>
      </c>
      <c r="D70" s="1068" t="s">
        <v>1523</v>
      </c>
      <c r="E70" s="1139">
        <v>0.2</v>
      </c>
      <c r="F70" s="1154">
        <v>30</v>
      </c>
    </row>
    <row r="71" spans="1:6" s="1105" customFormat="1" ht="48">
      <c r="A71" s="1154">
        <v>11</v>
      </c>
      <c r="B71" s="3731"/>
      <c r="C71" s="1068" t="s">
        <v>1524</v>
      </c>
      <c r="D71" s="1068" t="s">
        <v>1525</v>
      </c>
      <c r="E71" s="1139">
        <v>0.2</v>
      </c>
      <c r="F71" s="1154">
        <v>30</v>
      </c>
    </row>
    <row r="72" spans="1:6" s="1105" customFormat="1" ht="36">
      <c r="A72" s="1154">
        <v>12</v>
      </c>
      <c r="B72" s="3731"/>
      <c r="C72" s="1068" t="s">
        <v>1526</v>
      </c>
      <c r="D72" s="1068" t="s">
        <v>1527</v>
      </c>
      <c r="E72" s="1139">
        <v>0.5</v>
      </c>
      <c r="F72" s="1154">
        <v>80</v>
      </c>
    </row>
    <row r="73" spans="1:6" s="1105" customFormat="1" ht="24">
      <c r="A73" s="1154">
        <v>13</v>
      </c>
      <c r="B73" s="3731"/>
      <c r="C73" s="1068" t="s">
        <v>1528</v>
      </c>
      <c r="D73" s="1068" t="s">
        <v>1529</v>
      </c>
      <c r="E73" s="1139">
        <v>0.4</v>
      </c>
      <c r="F73" s="1154">
        <v>60</v>
      </c>
    </row>
    <row r="74" spans="1:6" s="1105" customFormat="1" ht="24">
      <c r="A74" s="1154">
        <v>14</v>
      </c>
      <c r="B74" s="3731"/>
      <c r="C74" s="1068" t="s">
        <v>1530</v>
      </c>
      <c r="D74" s="1068" t="s">
        <v>1531</v>
      </c>
      <c r="E74" s="1139">
        <v>0.2</v>
      </c>
      <c r="F74" s="1154">
        <v>30</v>
      </c>
    </row>
    <row r="75" spans="1:6" s="1105" customFormat="1" ht="24">
      <c r="A75" s="1154">
        <v>15</v>
      </c>
      <c r="B75" s="3731"/>
      <c r="C75" s="1068" t="s">
        <v>1532</v>
      </c>
      <c r="D75" s="1068" t="s">
        <v>1533</v>
      </c>
      <c r="E75" s="1139">
        <v>0.2</v>
      </c>
      <c r="F75" s="1154">
        <v>30</v>
      </c>
    </row>
    <row r="76" spans="1:6" s="1105" customFormat="1" ht="24">
      <c r="A76" s="1154">
        <v>16</v>
      </c>
      <c r="B76" s="3731" t="s">
        <v>1534</v>
      </c>
      <c r="C76" s="1068" t="s">
        <v>1535</v>
      </c>
      <c r="D76" s="1068" t="s">
        <v>1536</v>
      </c>
      <c r="E76" s="1139">
        <v>0.5</v>
      </c>
      <c r="F76" s="1154">
        <v>80</v>
      </c>
    </row>
    <row r="77" spans="1:6" s="1105" customFormat="1" ht="24">
      <c r="A77" s="1154">
        <v>17</v>
      </c>
      <c r="B77" s="3731"/>
      <c r="C77" s="1068" t="s">
        <v>1537</v>
      </c>
      <c r="D77" s="1068" t="s">
        <v>1538</v>
      </c>
      <c r="E77" s="1139">
        <v>0.5</v>
      </c>
      <c r="F77" s="1154">
        <v>80</v>
      </c>
    </row>
    <row r="78" spans="1:6" s="1105" customFormat="1" ht="24">
      <c r="A78" s="1154">
        <v>18</v>
      </c>
      <c r="B78" s="3731"/>
      <c r="C78" s="1068" t="s">
        <v>1539</v>
      </c>
      <c r="D78" s="1068" t="s">
        <v>1540</v>
      </c>
      <c r="E78" s="1139">
        <v>0.2</v>
      </c>
      <c r="F78" s="1154">
        <v>30</v>
      </c>
    </row>
    <row r="79" spans="1:6" s="1105" customFormat="1" ht="24">
      <c r="A79" s="1154">
        <v>19</v>
      </c>
      <c r="B79" s="3731"/>
      <c r="C79" s="1068" t="s">
        <v>1541</v>
      </c>
      <c r="D79" s="1068" t="s">
        <v>1542</v>
      </c>
      <c r="E79" s="1139">
        <v>0.5</v>
      </c>
      <c r="F79" s="1154">
        <v>80</v>
      </c>
    </row>
    <row r="80" spans="1:6" s="1105" customFormat="1" ht="36">
      <c r="A80" s="1154">
        <v>20</v>
      </c>
      <c r="B80" s="3731"/>
      <c r="C80" s="1068" t="s">
        <v>1543</v>
      </c>
      <c r="D80" s="1068" t="s">
        <v>1544</v>
      </c>
      <c r="E80" s="1139">
        <v>0.2</v>
      </c>
      <c r="F80" s="1154">
        <v>30</v>
      </c>
    </row>
    <row r="81" spans="1:6" s="1105" customFormat="1" ht="36">
      <c r="A81" s="1154">
        <v>21</v>
      </c>
      <c r="B81" s="3731"/>
      <c r="C81" s="1068" t="s">
        <v>1545</v>
      </c>
      <c r="D81" s="1068" t="s">
        <v>1546</v>
      </c>
      <c r="E81" s="1139">
        <v>0.2</v>
      </c>
      <c r="F81" s="1154">
        <v>30</v>
      </c>
    </row>
    <row r="82" spans="1:6" s="1105" customFormat="1" ht="48">
      <c r="A82" s="1154">
        <v>22</v>
      </c>
      <c r="B82" s="3731"/>
      <c r="C82" s="1068" t="s">
        <v>1547</v>
      </c>
      <c r="D82" s="1068" t="s">
        <v>1548</v>
      </c>
      <c r="E82" s="1139">
        <v>0.2</v>
      </c>
      <c r="F82" s="1154">
        <v>30</v>
      </c>
    </row>
    <row r="83" spans="1:6" s="1105" customFormat="1" ht="48">
      <c r="A83" s="1154">
        <v>23</v>
      </c>
      <c r="B83" s="3731"/>
      <c r="C83" s="1068" t="s">
        <v>1549</v>
      </c>
      <c r="D83" s="1068" t="s">
        <v>1550</v>
      </c>
      <c r="E83" s="1139">
        <v>0.2</v>
      </c>
      <c r="F83" s="1154">
        <v>30</v>
      </c>
    </row>
    <row r="84" spans="1:6" s="1105" customFormat="1" ht="36">
      <c r="A84" s="1154">
        <v>24</v>
      </c>
      <c r="B84" s="3731"/>
      <c r="C84" s="1068" t="s">
        <v>1551</v>
      </c>
      <c r="D84" s="1068" t="s">
        <v>1552</v>
      </c>
      <c r="E84" s="1139">
        <v>0.2</v>
      </c>
      <c r="F84" s="1154">
        <v>30</v>
      </c>
    </row>
    <row r="85" spans="1:6" s="1105" customFormat="1" ht="36">
      <c r="A85" s="1154">
        <v>25</v>
      </c>
      <c r="B85" s="3731"/>
      <c r="C85" s="1068" t="s">
        <v>1553</v>
      </c>
      <c r="D85" s="1068" t="s">
        <v>1554</v>
      </c>
      <c r="E85" s="1139">
        <v>0.5</v>
      </c>
      <c r="F85" s="1154">
        <v>80</v>
      </c>
    </row>
    <row r="86" spans="1:6" s="1105" customFormat="1" ht="36">
      <c r="A86" s="1154">
        <v>26</v>
      </c>
      <c r="B86" s="3731"/>
      <c r="C86" s="1068" t="s">
        <v>1555</v>
      </c>
      <c r="D86" s="1068" t="s">
        <v>1556</v>
      </c>
      <c r="E86" s="1139">
        <v>0.2</v>
      </c>
      <c r="F86" s="1154">
        <v>30</v>
      </c>
    </row>
    <row r="87" spans="1:6" s="1105" customFormat="1" ht="36">
      <c r="A87" s="1154">
        <v>27</v>
      </c>
      <c r="B87" s="3731"/>
      <c r="C87" s="1068" t="s">
        <v>1557</v>
      </c>
      <c r="D87" s="1068" t="s">
        <v>1558</v>
      </c>
      <c r="E87" s="1139">
        <v>0.2</v>
      </c>
      <c r="F87" s="1154">
        <v>30</v>
      </c>
    </row>
    <row r="88" spans="1:6" s="1105" customFormat="1" ht="36">
      <c r="A88" s="1154">
        <v>28</v>
      </c>
      <c r="B88" s="3731"/>
      <c r="C88" s="1068" t="s">
        <v>1559</v>
      </c>
      <c r="D88" s="1068" t="s">
        <v>1560</v>
      </c>
      <c r="E88" s="1139">
        <v>0.2</v>
      </c>
      <c r="F88" s="1154">
        <v>30</v>
      </c>
    </row>
    <row r="89" spans="1:6" s="1105" customFormat="1" ht="24">
      <c r="A89" s="1154">
        <v>29</v>
      </c>
      <c r="B89" s="3731"/>
      <c r="C89" s="1068" t="s">
        <v>1561</v>
      </c>
      <c r="D89" s="1068" t="s">
        <v>1562</v>
      </c>
      <c r="E89" s="1139">
        <v>0.2</v>
      </c>
      <c r="F89" s="1154">
        <v>30</v>
      </c>
    </row>
    <row r="90" spans="1:6" s="1105" customFormat="1" ht="24">
      <c r="A90" s="1154">
        <v>30</v>
      </c>
      <c r="B90" s="3731"/>
      <c r="C90" s="1068" t="s">
        <v>1563</v>
      </c>
      <c r="D90" s="1068" t="s">
        <v>1564</v>
      </c>
      <c r="E90" s="1139">
        <v>0.2</v>
      </c>
      <c r="F90" s="1154">
        <v>30</v>
      </c>
    </row>
    <row r="91" spans="1:6" s="1105" customFormat="1" ht="36">
      <c r="A91" s="1154">
        <v>31</v>
      </c>
      <c r="B91" s="3731"/>
      <c r="C91" s="1068" t="s">
        <v>1565</v>
      </c>
      <c r="D91" s="1068" t="s">
        <v>1566</v>
      </c>
      <c r="E91" s="1139">
        <v>0.2</v>
      </c>
      <c r="F91" s="1154">
        <v>30</v>
      </c>
    </row>
    <row r="92" spans="1:6" s="1105" customFormat="1" ht="24">
      <c r="A92" s="1154">
        <v>32</v>
      </c>
      <c r="B92" s="3731" t="s">
        <v>1567</v>
      </c>
      <c r="C92" s="1154" t="s">
        <v>1568</v>
      </c>
      <c r="D92" s="1068" t="s">
        <v>1569</v>
      </c>
      <c r="E92" s="1139">
        <v>0.2</v>
      </c>
      <c r="F92" s="1154">
        <v>30</v>
      </c>
    </row>
    <row r="93" spans="1:6" s="1105" customFormat="1" ht="36">
      <c r="A93" s="1154">
        <v>33</v>
      </c>
      <c r="B93" s="3731"/>
      <c r="C93" s="1154" t="s">
        <v>1570</v>
      </c>
      <c r="D93" s="1068" t="s">
        <v>1571</v>
      </c>
      <c r="E93" s="1139">
        <v>0.2</v>
      </c>
      <c r="F93" s="1154">
        <v>30</v>
      </c>
    </row>
    <row r="94" spans="1:6" s="1105" customFormat="1" ht="48">
      <c r="A94" s="1154">
        <v>34</v>
      </c>
      <c r="B94" s="3731"/>
      <c r="C94" s="1154" t="s">
        <v>1572</v>
      </c>
      <c r="D94" s="1068" t="s">
        <v>1573</v>
      </c>
      <c r="E94" s="1139">
        <v>0.2</v>
      </c>
      <c r="F94" s="1154">
        <v>30</v>
      </c>
    </row>
    <row r="95" spans="1:6" s="1105" customFormat="1" ht="36">
      <c r="A95" s="1154">
        <v>35</v>
      </c>
      <c r="B95" s="3731"/>
      <c r="C95" s="1154" t="s">
        <v>1574</v>
      </c>
      <c r="D95" s="1068" t="s">
        <v>1575</v>
      </c>
      <c r="E95" s="1139">
        <v>0.2</v>
      </c>
      <c r="F95" s="1154">
        <v>30</v>
      </c>
    </row>
    <row r="96" spans="1:6" s="1105" customFormat="1" ht="48">
      <c r="A96" s="1154">
        <v>36</v>
      </c>
      <c r="B96" s="3731"/>
      <c r="C96" s="1068" t="s">
        <v>1576</v>
      </c>
      <c r="D96" s="1068" t="s">
        <v>1577</v>
      </c>
      <c r="E96" s="1139">
        <v>0.2</v>
      </c>
      <c r="F96" s="1154">
        <v>30</v>
      </c>
    </row>
    <row r="97" spans="1:6" s="1105" customFormat="1" ht="36">
      <c r="A97" s="1154">
        <v>37</v>
      </c>
      <c r="B97" s="3731"/>
      <c r="C97" s="1154" t="s">
        <v>1578</v>
      </c>
      <c r="D97" s="1068" t="s">
        <v>1579</v>
      </c>
      <c r="E97" s="1139">
        <v>0.2</v>
      </c>
      <c r="F97" s="1154">
        <v>30</v>
      </c>
    </row>
    <row r="98" spans="1:6" s="1105" customFormat="1" ht="36">
      <c r="A98" s="1154">
        <v>38</v>
      </c>
      <c r="B98" s="3731"/>
      <c r="C98" s="1154" t="s">
        <v>1580</v>
      </c>
      <c r="D98" s="1068" t="s">
        <v>1581</v>
      </c>
      <c r="E98" s="1139">
        <v>0.2</v>
      </c>
      <c r="F98" s="1154">
        <v>30</v>
      </c>
    </row>
    <row r="99" spans="1:6" s="1105" customFormat="1" ht="36">
      <c r="A99" s="1154">
        <v>39</v>
      </c>
      <c r="B99" s="3731" t="s">
        <v>1582</v>
      </c>
      <c r="C99" s="1154" t="s">
        <v>1583</v>
      </c>
      <c r="D99" s="1068" t="s">
        <v>1584</v>
      </c>
      <c r="E99" s="1139">
        <v>0.3</v>
      </c>
      <c r="F99" s="1154">
        <v>50</v>
      </c>
    </row>
    <row r="100" spans="1:6" s="1105" customFormat="1" ht="24">
      <c r="A100" s="1154">
        <v>40</v>
      </c>
      <c r="B100" s="3731"/>
      <c r="C100" s="1154" t="s">
        <v>1585</v>
      </c>
      <c r="D100" s="1068" t="s">
        <v>1586</v>
      </c>
      <c r="E100" s="1139">
        <v>0.2</v>
      </c>
      <c r="F100" s="1154">
        <v>30</v>
      </c>
    </row>
    <row r="101" spans="1:6" s="1105" customFormat="1" ht="36">
      <c r="A101" s="1154">
        <v>41</v>
      </c>
      <c r="B101" s="373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31" t="s">
        <v>1597</v>
      </c>
      <c r="C105" s="1154" t="s">
        <v>1598</v>
      </c>
      <c r="D105" s="1068" t="s">
        <v>1599</v>
      </c>
      <c r="E105" s="1139">
        <v>0.2</v>
      </c>
      <c r="F105" s="1154">
        <v>30</v>
      </c>
    </row>
    <row r="106" spans="1:6" s="1105" customFormat="1" ht="36">
      <c r="A106" s="1154">
        <v>46</v>
      </c>
      <c r="B106" s="3731"/>
      <c r="C106" s="1154" t="s">
        <v>1600</v>
      </c>
      <c r="D106" s="1068" t="s">
        <v>1601</v>
      </c>
      <c r="E106" s="1139">
        <v>0.2</v>
      </c>
      <c r="F106" s="1154">
        <v>30</v>
      </c>
    </row>
    <row r="107" spans="1:6" s="1105" customFormat="1" ht="36">
      <c r="A107" s="1154">
        <v>47</v>
      </c>
      <c r="B107" s="3731" t="s">
        <v>1602</v>
      </c>
      <c r="C107" s="1154" t="s">
        <v>1603</v>
      </c>
      <c r="D107" s="1068" t="s">
        <v>1604</v>
      </c>
      <c r="E107" s="1139">
        <v>0.3</v>
      </c>
      <c r="F107" s="1154">
        <v>50</v>
      </c>
    </row>
    <row r="108" spans="1:6" s="1105" customFormat="1" ht="36">
      <c r="A108" s="1154">
        <v>48</v>
      </c>
      <c r="B108" s="373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31" t="s">
        <v>1613</v>
      </c>
      <c r="C111" s="1154" t="s">
        <v>1614</v>
      </c>
      <c r="D111" s="1068" t="s">
        <v>1615</v>
      </c>
      <c r="E111" s="1139">
        <v>0.2</v>
      </c>
      <c r="F111" s="1154">
        <v>30</v>
      </c>
    </row>
    <row r="112" spans="1:6" s="1105" customFormat="1" ht="24">
      <c r="A112" s="1154">
        <v>52</v>
      </c>
      <c r="B112" s="3731"/>
      <c r="C112" s="1154" t="s">
        <v>1616</v>
      </c>
      <c r="D112" s="1068" t="s">
        <v>1617</v>
      </c>
      <c r="E112" s="1139">
        <v>0.2</v>
      </c>
      <c r="F112" s="1154">
        <v>30</v>
      </c>
    </row>
    <row r="113" spans="1:14" s="1105" customFormat="1" ht="24">
      <c r="A113" s="1154">
        <v>53</v>
      </c>
      <c r="B113" s="373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31" t="s">
        <v>1626</v>
      </c>
      <c r="C116" s="1154" t="s">
        <v>1627</v>
      </c>
      <c r="D116" s="1068" t="s">
        <v>1628</v>
      </c>
      <c r="E116" s="1139">
        <v>0.2</v>
      </c>
      <c r="F116" s="1154">
        <v>30</v>
      </c>
    </row>
    <row r="117" spans="1:14" ht="36">
      <c r="A117" s="1154">
        <v>57</v>
      </c>
      <c r="B117" s="373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30" t="s">
        <v>1635</v>
      </c>
      <c r="B121" s="3730"/>
      <c r="C121" s="3730"/>
      <c r="D121" s="3730"/>
      <c r="E121" s="3730"/>
      <c r="F121" s="3730"/>
      <c r="G121" s="3730"/>
      <c r="H121" s="3730"/>
      <c r="I121" s="3730"/>
      <c r="J121" s="373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5" t="s">
        <v>1041</v>
      </c>
      <c r="B1" s="3735"/>
      <c r="C1" s="3735"/>
      <c r="D1" s="3735"/>
      <c r="E1" s="3735"/>
      <c r="F1" s="373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36" t="s">
        <v>1054</v>
      </c>
      <c r="B2" s="3736"/>
      <c r="C2" s="3736"/>
      <c r="D2" s="3736"/>
      <c r="E2" s="3736"/>
      <c r="F2" s="373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3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39" t="s">
        <v>2083</v>
      </c>
      <c r="B1" s="3739"/>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2960</v>
      </c>
      <c r="B1" s="3137"/>
      <c r="C1" s="3137"/>
      <c r="D1" s="3137"/>
      <c r="E1" s="3137"/>
      <c r="F1" s="3137"/>
    </row>
    <row r="2" spans="1:6" ht="14.25">
      <c r="A2" s="3138" t="s">
        <v>2954</v>
      </c>
      <c r="B2" s="3139" t="e">
        <f ca="1">SUMIF(B7:B14,"&lt;&gt;#ref!",B7:B14)</f>
        <v>#DIV/0!</v>
      </c>
      <c r="C2" s="3138" t="s">
        <v>2955</v>
      </c>
      <c r="D2" s="3137"/>
      <c r="E2" s="3137"/>
      <c r="F2" s="3137"/>
    </row>
    <row r="3" spans="1:6" ht="14.25">
      <c r="A3" s="3138" t="s">
        <v>2957</v>
      </c>
      <c r="B3" s="3139" t="e">
        <f ca="1">ROUND(B2*10000/E3,0)</f>
        <v>#DIV/0!</v>
      </c>
      <c r="C3" s="3138" t="s">
        <v>2082</v>
      </c>
      <c r="D3" s="3138" t="s">
        <v>2956</v>
      </c>
      <c r="E3" s="3139" t="e">
        <f ca="1">SUM(E7:E14)</f>
        <v>#REF!</v>
      </c>
      <c r="F3" s="3137"/>
    </row>
    <row r="4" spans="1:6" ht="14.25">
      <c r="A4" s="3138" t="s">
        <v>2964</v>
      </c>
      <c r="B4" s="3139" t="e">
        <f ca="1">ROUND(B2*10000/E4,0)</f>
        <v>#DIV/0!</v>
      </c>
      <c r="C4" s="3138" t="s">
        <v>2082</v>
      </c>
      <c r="D4" s="3138" t="s">
        <v>2965</v>
      </c>
      <c r="E4" s="3139" t="e">
        <f ca="1">SUM(F7:F14)</f>
        <v>#REF!</v>
      </c>
      <c r="F4" s="3137"/>
    </row>
    <row r="5" spans="1:6" ht="14.25">
      <c r="A5" s="3140"/>
      <c r="B5" s="1883"/>
      <c r="C5" s="1883"/>
      <c r="D5" s="1883"/>
      <c r="E5" s="1883"/>
      <c r="F5" s="3137"/>
    </row>
    <row r="6" spans="1:6" ht="28.5">
      <c r="A6" s="3141" t="s">
        <v>2961</v>
      </c>
      <c r="B6" s="3138" t="s">
        <v>2958</v>
      </c>
      <c r="C6" s="3139"/>
      <c r="D6" s="1883"/>
      <c r="E6" s="3138" t="s">
        <v>2959</v>
      </c>
      <c r="F6" s="3138" t="s">
        <v>2963</v>
      </c>
    </row>
    <row r="7" spans="1:6" ht="14.25">
      <c r="A7" s="260" t="s">
        <v>2962</v>
      </c>
      <c r="B7" s="3142" t="e">
        <f ca="1">SUMIF(INDIRECT("'"&amp;A7&amp;"'"&amp;"!A:A"),"总价",INDIRECT("'"&amp;A7&amp;"'"&amp;"!B:B"))</f>
        <v>#DIV/0!</v>
      </c>
      <c r="C7" s="3138" t="s">
        <v>2955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2955</v>
      </c>
      <c r="D9" s="1883"/>
      <c r="E9" s="3143" t="e">
        <f t="shared" ca="1" si="1"/>
        <v>#REF!</v>
      </c>
      <c r="F9" s="3143" t="e">
        <f t="shared" ca="1" si="2"/>
        <v>#REF!</v>
      </c>
    </row>
    <row r="10" spans="1:6" ht="14.25">
      <c r="A10" s="260"/>
      <c r="B10" s="3142" t="e">
        <f t="shared" ca="1" si="0"/>
        <v>#REF!</v>
      </c>
      <c r="C10" s="3138" t="s">
        <v>2955</v>
      </c>
      <c r="D10" s="1883"/>
      <c r="E10" s="3143" t="e">
        <f t="shared" ca="1" si="1"/>
        <v>#REF!</v>
      </c>
      <c r="F10" s="3143" t="e">
        <f t="shared" ca="1" si="2"/>
        <v>#REF!</v>
      </c>
    </row>
    <row r="11" spans="1:6" ht="14.25">
      <c r="A11" s="260"/>
      <c r="B11" s="3142" t="e">
        <f t="shared" ca="1" si="0"/>
        <v>#REF!</v>
      </c>
      <c r="C11" s="3138" t="s">
        <v>2955</v>
      </c>
      <c r="D11" s="1883"/>
      <c r="E11" s="3143" t="e">
        <f t="shared" ca="1" si="1"/>
        <v>#REF!</v>
      </c>
      <c r="F11" s="3143" t="e">
        <f t="shared" ca="1" si="2"/>
        <v>#REF!</v>
      </c>
    </row>
    <row r="12" spans="1:6" ht="14.25">
      <c r="A12" s="260"/>
      <c r="B12" s="3142" t="e">
        <f t="shared" ca="1" si="0"/>
        <v>#REF!</v>
      </c>
      <c r="C12" s="3138" t="s">
        <v>2955</v>
      </c>
      <c r="D12" s="1883"/>
      <c r="E12" s="3143" t="e">
        <f t="shared" ca="1" si="1"/>
        <v>#REF!</v>
      </c>
      <c r="F12" s="3143" t="e">
        <f t="shared" ca="1" si="2"/>
        <v>#REF!</v>
      </c>
    </row>
    <row r="13" spans="1:6" ht="14.25">
      <c r="A13" s="260"/>
      <c r="B13" s="3142" t="e">
        <f t="shared" ca="1" si="0"/>
        <v>#REF!</v>
      </c>
      <c r="C13" s="3138" t="s">
        <v>2955</v>
      </c>
      <c r="D13" s="1883"/>
      <c r="E13" s="3143" t="e">
        <f t="shared" ca="1" si="1"/>
        <v>#REF!</v>
      </c>
      <c r="F13" s="3143" t="e">
        <f t="shared" ca="1" si="2"/>
        <v>#REF!</v>
      </c>
    </row>
    <row r="14" spans="1:6" ht="14.25">
      <c r="A14" s="3136"/>
      <c r="B14" s="3142" t="e">
        <f t="shared" ca="1" si="0"/>
        <v>#REF!</v>
      </c>
      <c r="C14" s="3138" t="s">
        <v>2955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9" t="str">
        <f>项目基本情况!B1</f>
        <v>湖北省武汉市江岸区澳门路与解放大道交汇处出让国有建设用地使用权抵押价格预评估</v>
      </c>
      <c r="C37" s="3499"/>
      <c r="D37" s="3499"/>
      <c r="E37" s="3499"/>
      <c r="F37" s="3499"/>
      <c r="G37" s="3499"/>
      <c r="H37" s="3499"/>
      <c r="I37" s="3499"/>
    </row>
    <row r="38" spans="1:9">
      <c r="A38" s="1657"/>
      <c r="B38" s="1657"/>
    </row>
    <row r="39" spans="1:9">
      <c r="A39" s="1655" t="s">
        <v>1903</v>
      </c>
      <c r="B39" s="1655" t="s">
        <v>2050</v>
      </c>
    </row>
    <row r="40" spans="1:9">
      <c r="A40" s="1655"/>
      <c r="B40" s="1655" t="str">
        <f>项目基本情况!B5</f>
        <v>湖北长江联合置地有限公司</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康正预评字2018-1-0036号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41" t="s">
        <v>2469</v>
      </c>
      <c r="C8" s="1827">
        <f ca="1">ROUND(F8*F10*F9*(1-F11)/10000,0)</f>
        <v>0</v>
      </c>
      <c r="D8" s="1824" t="s">
        <v>2541</v>
      </c>
      <c r="E8" s="61" t="s">
        <v>638</v>
      </c>
      <c r="F8" s="785">
        <f ca="1">INDIRECT("'数据-取费表'!u"&amp;$G$1)</f>
        <v>0</v>
      </c>
      <c r="G8" s="1593"/>
      <c r="H8" s="2530" t="s">
        <v>1826</v>
      </c>
      <c r="I8" s="3741" t="s">
        <v>2469</v>
      </c>
      <c r="J8" s="783">
        <f ca="1">ROUND(M8*M10*M9*(1-M11)/10000,0)</f>
        <v>0</v>
      </c>
      <c r="K8" s="341" t="s">
        <v>2541</v>
      </c>
      <c r="L8" s="784" t="s">
        <v>1740</v>
      </c>
      <c r="M8" s="785">
        <f ca="1">INDIRECT("'数据-取费表'!z"&amp;$G$1)</f>
        <v>0</v>
      </c>
    </row>
    <row r="9" spans="1:25" ht="18" customHeight="1">
      <c r="A9" s="2526"/>
      <c r="B9" s="3742"/>
      <c r="C9" s="1828"/>
      <c r="D9" s="1825"/>
      <c r="E9" s="61" t="s">
        <v>639</v>
      </c>
      <c r="F9" s="785">
        <f ca="1">IF(INDIRECT("'数据-取费表'!ah"&amp;$G$1)="",INDIRECT("'数据-取费表'!k"&amp;$G$1),INDIRECT("'数据-取费表'!ah"&amp;$G$1))</f>
        <v>0</v>
      </c>
      <c r="G9" s="1593"/>
      <c r="H9" s="2515"/>
      <c r="I9" s="3742"/>
      <c r="J9" s="788"/>
      <c r="K9" s="789"/>
      <c r="L9" s="784" t="s">
        <v>1741</v>
      </c>
      <c r="M9" s="785">
        <f ca="1">F9</f>
        <v>0</v>
      </c>
    </row>
    <row r="10" spans="1:25" ht="18" customHeight="1">
      <c r="A10" s="2519"/>
      <c r="B10" s="3743"/>
      <c r="C10" s="1828"/>
      <c r="D10" s="1825"/>
      <c r="E10" s="61" t="s">
        <v>640</v>
      </c>
      <c r="F10" s="785">
        <f ca="1">INDIRECT("'数据-取费表'!ai"&amp;$G$1)</f>
        <v>0</v>
      </c>
      <c r="G10" s="1593"/>
      <c r="H10" s="2515"/>
      <c r="I10" s="3743"/>
      <c r="J10" s="788"/>
      <c r="K10" s="789"/>
      <c r="L10" s="784" t="s">
        <v>1742</v>
      </c>
      <c r="M10" s="785">
        <f ca="1">INDIRECT("'数据-取费表'!ai"&amp;$G$1)</f>
        <v>0</v>
      </c>
    </row>
    <row r="11" spans="1:25" ht="18" customHeight="1">
      <c r="A11" s="786"/>
      <c r="B11" s="3744"/>
      <c r="C11" s="1828"/>
      <c r="D11" s="1825"/>
      <c r="E11" s="61" t="s">
        <v>641</v>
      </c>
      <c r="F11" s="794">
        <f ca="1">INDIRECT("'数据-取费表'!w"&amp;$G$1)</f>
        <v>0</v>
      </c>
      <c r="G11" s="1593"/>
      <c r="H11" s="2531"/>
      <c r="I11" s="3743"/>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1.4999999999999999E-2</v>
      </c>
      <c r="G22" s="1594"/>
      <c r="H22" s="1834" t="s">
        <v>1852</v>
      </c>
      <c r="I22" s="1824" t="s">
        <v>669</v>
      </c>
      <c r="J22" s="54">
        <f ca="1">ROUND(M22*M23/10000,0)</f>
        <v>0</v>
      </c>
      <c r="K22" s="814" t="s">
        <v>670</v>
      </c>
      <c r="L22" s="784" t="s">
        <v>671</v>
      </c>
      <c r="M22" s="640">
        <f>'数据-取费表'!B52</f>
        <v>20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2.5000000000000001E-2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2.5</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1.5E-3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20</v>
      </c>
      <c r="G36" s="2064"/>
      <c r="H36" s="2067"/>
      <c r="I36" s="3740"/>
      <c r="J36" s="2081"/>
      <c r="K36" s="2082"/>
      <c r="L36" s="2081"/>
      <c r="M36" s="2081"/>
    </row>
    <row r="37" spans="1:18" ht="18" customHeight="1">
      <c r="A37" s="815"/>
      <c r="B37" s="793"/>
      <c r="C37" s="69"/>
      <c r="D37" s="816"/>
      <c r="E37" s="784" t="s">
        <v>675</v>
      </c>
      <c r="F37" s="785">
        <f ca="1">INDIRECT("'数据-取费表'!r"&amp;$G$1)</f>
        <v>0</v>
      </c>
      <c r="G37" s="2064"/>
      <c r="H37" s="2067"/>
      <c r="I37" s="3740"/>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2973</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45"/>
      <c r="L54" s="3746"/>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2952</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53" t="s">
        <v>2583</v>
      </c>
      <c r="C1" s="3753"/>
      <c r="D1" s="3753"/>
      <c r="E1" s="3753"/>
      <c r="F1" s="3753"/>
      <c r="G1" s="3752" t="s">
        <v>2584</v>
      </c>
      <c r="H1" s="3752"/>
      <c r="I1" s="3752"/>
      <c r="J1" s="3752"/>
      <c r="K1" s="3752"/>
      <c r="L1" s="3752"/>
      <c r="N1" s="3752" t="s">
        <v>2585</v>
      </c>
      <c r="O1" s="3752"/>
      <c r="P1" s="3752"/>
      <c r="Q1" s="3752"/>
      <c r="R1" s="2681"/>
      <c r="S1" s="3752" t="s">
        <v>2586</v>
      </c>
      <c r="T1" s="3752"/>
      <c r="U1" s="3752"/>
      <c r="V1" s="3752"/>
      <c r="X1" s="3751" t="s">
        <v>2646</v>
      </c>
      <c r="Y1" s="3752"/>
      <c r="Z1" s="3752"/>
      <c r="AA1" s="3752"/>
      <c r="AB1" s="3752"/>
      <c r="AD1" s="3751" t="s">
        <v>2650</v>
      </c>
      <c r="AE1" s="3752"/>
      <c r="AF1" s="3752"/>
      <c r="AG1" s="3752"/>
      <c r="AH1" s="3752"/>
    </row>
    <row r="2" spans="1:34" s="2783" customFormat="1" ht="14.25" thickBot="1">
      <c r="B2" s="2791" t="s">
        <v>2587</v>
      </c>
      <c r="C2" s="2791" t="s">
        <v>2648</v>
      </c>
      <c r="D2" s="2784" t="s">
        <v>1646</v>
      </c>
      <c r="E2" s="2784" t="s">
        <v>1953</v>
      </c>
      <c r="F2" s="2791" t="s">
        <v>2649</v>
      </c>
      <c r="G2" s="2787"/>
      <c r="H2" s="2786"/>
      <c r="I2" s="2791" t="s">
        <v>2967</v>
      </c>
      <c r="J2" s="2784" t="s">
        <v>2969</v>
      </c>
      <c r="K2" s="2784" t="s">
        <v>2970</v>
      </c>
      <c r="L2" s="2791" t="s">
        <v>2971</v>
      </c>
      <c r="N2" s="2791" t="s">
        <v>2587</v>
      </c>
      <c r="O2" s="2784" t="s">
        <v>2968</v>
      </c>
      <c r="P2" s="2784" t="s">
        <v>1953</v>
      </c>
      <c r="Q2" s="2791" t="s">
        <v>2649</v>
      </c>
      <c r="R2" s="2785"/>
      <c r="S2" s="2791" t="s">
        <v>2587</v>
      </c>
      <c r="T2" s="2784" t="s">
        <v>2968</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50">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48"/>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48"/>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49"/>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47">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48"/>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48"/>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49"/>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47">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48"/>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48"/>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49"/>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54">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55"/>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55"/>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56"/>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47">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48"/>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48"/>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49"/>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47">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48">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48">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49">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47">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48">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48">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49">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47">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48">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48">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49">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47">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48">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48">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49">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47">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48">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48">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49">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47">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48">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48">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49">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47">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48">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48">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49">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47">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48">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48">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49">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47">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48">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48">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49">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47">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48">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48">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49">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3200</v>
      </c>
      <c r="D1" s="3159" t="s">
        <v>3237</v>
      </c>
      <c r="E1" s="2413" t="s">
        <v>2379</v>
      </c>
      <c r="F1" s="2414">
        <f ca="1">J53</f>
        <v>37.39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123890</v>
      </c>
      <c r="C2" s="2059"/>
      <c r="D2" s="2057"/>
      <c r="E2" s="2058"/>
      <c r="F2" s="2058"/>
      <c r="G2" s="1591"/>
      <c r="H2" s="2059"/>
      <c r="I2" s="2059"/>
      <c r="J2" s="2059"/>
      <c r="K2" s="2060"/>
      <c r="L2" s="2059"/>
      <c r="M2" s="2059"/>
    </row>
    <row r="3" spans="1:33" ht="18" customHeight="1" thickBot="1">
      <c r="A3" s="833" t="s">
        <v>1729</v>
      </c>
      <c r="B3" s="834">
        <f ca="1">IF(ISERROR(B2*10000/F43),0,ROUND(B2*10000/F43,0))</f>
        <v>41297</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5826</v>
      </c>
      <c r="D5" s="2522" t="s">
        <v>2467</v>
      </c>
      <c r="E5" s="2516"/>
      <c r="F5" s="2517"/>
      <c r="G5" s="1593"/>
      <c r="H5" s="781">
        <v>1</v>
      </c>
      <c r="I5" s="782" t="s">
        <v>2464</v>
      </c>
      <c r="J5" s="55">
        <f ca="1">J6+J10+J12</f>
        <v>0</v>
      </c>
      <c r="K5" s="2522" t="s">
        <v>2467</v>
      </c>
      <c r="L5" s="2516"/>
      <c r="M5" s="2517"/>
    </row>
    <row r="6" spans="1:33" ht="18" customHeight="1">
      <c r="A6" s="1832" t="s">
        <v>1826</v>
      </c>
      <c r="B6" s="3741" t="s">
        <v>2469</v>
      </c>
      <c r="C6" s="783">
        <f ca="1">ROUND(F6*F8*F7*(1-F9)/10000,0)</f>
        <v>5817</v>
      </c>
      <c r="D6" s="2523" t="s">
        <v>2468</v>
      </c>
      <c r="E6" s="784" t="s">
        <v>1740</v>
      </c>
      <c r="F6" s="785">
        <f ca="1">INDIRECT("'数据-取费表'!u"&amp;$G$1)</f>
        <v>6.25</v>
      </c>
      <c r="G6" s="1593"/>
      <c r="H6" s="2530" t="s">
        <v>2475</v>
      </c>
      <c r="I6" s="3741" t="s">
        <v>2469</v>
      </c>
      <c r="J6" s="783">
        <f ca="1">ROUND(M6*M8*M7*(1-M9)/10000,0)</f>
        <v>0</v>
      </c>
      <c r="K6" s="341" t="s">
        <v>1739</v>
      </c>
      <c r="L6" s="784" t="s">
        <v>1740</v>
      </c>
      <c r="M6" s="785">
        <f ca="1">INDIRECT("'数据-取费表'!z"&amp;$G$1)</f>
        <v>0</v>
      </c>
    </row>
    <row r="7" spans="1:33" ht="18" customHeight="1">
      <c r="A7" s="2526"/>
      <c r="B7" s="3742"/>
      <c r="C7" s="788"/>
      <c r="D7" s="789"/>
      <c r="E7" s="784" t="s">
        <v>1741</v>
      </c>
      <c r="F7" s="785">
        <f ca="1">IF(INDIRECT("'数据-取费表'!ah"&amp;$G$1)="",INDIRECT("'数据-取费表'!k"&amp;$G$1),INDIRECT("'数据-取费表'!ah"&amp;$G$1))</f>
        <v>30000</v>
      </c>
      <c r="G7" s="1593"/>
      <c r="H7" s="2515"/>
      <c r="I7" s="3742"/>
      <c r="J7" s="788"/>
      <c r="K7" s="789"/>
      <c r="L7" s="784" t="s">
        <v>1741</v>
      </c>
      <c r="M7" s="785">
        <f ca="1">F7</f>
        <v>30000</v>
      </c>
    </row>
    <row r="8" spans="1:33" ht="18" customHeight="1">
      <c r="A8" s="2519"/>
      <c r="B8" s="3743"/>
      <c r="C8" s="788"/>
      <c r="D8" s="789"/>
      <c r="E8" s="784" t="s">
        <v>1742</v>
      </c>
      <c r="F8" s="785">
        <f ca="1">INDIRECT("'数据-取费表'!ai"&amp;$G$1)</f>
        <v>365</v>
      </c>
      <c r="G8" s="1593"/>
      <c r="H8" s="2515"/>
      <c r="I8" s="3743"/>
      <c r="J8" s="788"/>
      <c r="K8" s="789"/>
      <c r="L8" s="784" t="s">
        <v>1742</v>
      </c>
      <c r="M8" s="785">
        <f ca="1">INDIRECT("'数据-取费表'!ai"&amp;$G$1)</f>
        <v>365</v>
      </c>
    </row>
    <row r="9" spans="1:33" ht="18" customHeight="1">
      <c r="A9" s="786"/>
      <c r="B9" s="3744"/>
      <c r="C9" s="788"/>
      <c r="D9" s="789"/>
      <c r="E9" s="784" t="s">
        <v>1743</v>
      </c>
      <c r="F9" s="794">
        <f ca="1">INDIRECT("'数据-取费表'!w"&amp;$G$1)</f>
        <v>0.15</v>
      </c>
      <c r="G9" s="1593"/>
      <c r="H9" s="2531"/>
      <c r="I9" s="3743"/>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9</v>
      </c>
      <c r="D10" s="2527" t="s">
        <v>2472</v>
      </c>
      <c r="E10" s="2524" t="s">
        <v>2470</v>
      </c>
      <c r="F10" s="3493" t="s">
        <v>3325</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18447</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12600</v>
      </c>
      <c r="D14" s="1981" t="s">
        <v>1747</v>
      </c>
      <c r="E14" s="1982"/>
      <c r="F14" s="805"/>
      <c r="G14" s="1593"/>
      <c r="H14" s="1650" t="s">
        <v>1832</v>
      </c>
      <c r="I14" s="2233" t="s">
        <v>2833</v>
      </c>
      <c r="J14" s="53">
        <f ca="1">C29</f>
        <v>18447</v>
      </c>
      <c r="K14" s="26"/>
      <c r="L14" s="801"/>
      <c r="M14" s="802"/>
    </row>
    <row r="15" spans="1:33" s="2066" customFormat="1" ht="18" customHeight="1" thickBot="1">
      <c r="A15" s="1649" t="s">
        <v>1887</v>
      </c>
      <c r="B15" s="784" t="s">
        <v>648</v>
      </c>
      <c r="C15" s="53">
        <f ca="1">ROUND(C14*F15,0)</f>
        <v>378</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530</v>
      </c>
      <c r="K16" s="1823" t="s">
        <v>1752</v>
      </c>
      <c r="L16" s="2512"/>
      <c r="M16" s="2517"/>
    </row>
    <row r="17" spans="1:33" s="2066" customFormat="1" ht="18" customHeight="1">
      <c r="A17" s="1649" t="s">
        <v>1889</v>
      </c>
      <c r="B17" s="784" t="s">
        <v>654</v>
      </c>
      <c r="C17" s="53">
        <f ca="1">ROUND(F17*(F43+INDIRECT("'数据-取费表'!S"&amp;$G$1))/10000,0)</f>
        <v>600</v>
      </c>
      <c r="D17" s="784" t="s">
        <v>1753</v>
      </c>
      <c r="E17" s="784" t="s">
        <v>1754</v>
      </c>
      <c r="F17" s="56">
        <f>'数据-取费表'!B35</f>
        <v>200</v>
      </c>
      <c r="G17" s="1594"/>
      <c r="H17" s="1650" t="s">
        <v>1832</v>
      </c>
      <c r="I17" s="784" t="s">
        <v>657</v>
      </c>
      <c r="J17" s="53">
        <f ca="1">ROUND(IF(项目基本情况!B11="自然人",J5*M17,J18+J19+J20),0)</f>
        <v>161</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189</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13767</v>
      </c>
      <c r="D19" s="261" t="s">
        <v>1759</v>
      </c>
      <c r="E19" s="1984"/>
      <c r="F19" s="56"/>
      <c r="G19" s="1593"/>
      <c r="H19" s="1649" t="s">
        <v>1887</v>
      </c>
      <c r="I19" s="784" t="s">
        <v>1760</v>
      </c>
      <c r="J19" s="53">
        <f ca="1">IF(K19="按租金收入计税",ROUND(J5*M19,1),ROUND(C29*F33*0.7,1))</f>
        <v>155</v>
      </c>
      <c r="K19" s="811" t="s">
        <v>666</v>
      </c>
      <c r="L19" s="784" t="s">
        <v>1749</v>
      </c>
      <c r="M19" s="809">
        <f>IF(K19="按租金收入计税",'数据-取费表'!B51,'数据-取费表'!B50)</f>
        <v>1.2E-2</v>
      </c>
    </row>
    <row r="20" spans="1:33" s="2066" customFormat="1" ht="18" customHeight="1">
      <c r="A20" s="1650" t="s">
        <v>1891</v>
      </c>
      <c r="B20" s="784" t="s">
        <v>667</v>
      </c>
      <c r="C20" s="53">
        <f ca="1">ROUND(C19*F20,0)</f>
        <v>207</v>
      </c>
      <c r="D20" s="812" t="s">
        <v>1761</v>
      </c>
      <c r="E20" s="784" t="s">
        <v>1749</v>
      </c>
      <c r="F20" s="809">
        <f>'数据-取费表'!B37</f>
        <v>1.4999999999999999E-2</v>
      </c>
      <c r="G20" s="1594"/>
      <c r="H20" s="1652" t="s">
        <v>1882</v>
      </c>
      <c r="I20" s="341" t="s">
        <v>1762</v>
      </c>
      <c r="J20" s="54">
        <f ca="1">ROUND(M20*M21/10000,0)</f>
        <v>6</v>
      </c>
      <c r="K20" s="814" t="s">
        <v>1763</v>
      </c>
      <c r="L20" s="784" t="s">
        <v>1764</v>
      </c>
      <c r="M20" s="640">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2.5000000000000001E-2</v>
      </c>
      <c r="G21" s="1594"/>
      <c r="H21" s="2532"/>
      <c r="I21" s="793"/>
      <c r="J21" s="69"/>
      <c r="K21" s="816"/>
      <c r="L21" s="784" t="s">
        <v>1768</v>
      </c>
      <c r="M21" s="785">
        <f ca="1">INDIRECT("'数据-取费表'!r"&amp;$G$1)</f>
        <v>3190.39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369</v>
      </c>
      <c r="K22" s="2510" t="s">
        <v>1771</v>
      </c>
      <c r="L22" s="784" t="s">
        <v>1749</v>
      </c>
      <c r="M22" s="817">
        <f ca="1">INDIRECT("'数据-取费表'!Ak"&amp;$G$1)</f>
        <v>0.02</v>
      </c>
    </row>
    <row r="23" spans="1:33" s="2066" customFormat="1" ht="18" customHeight="1">
      <c r="A23" s="1649" t="s">
        <v>1833</v>
      </c>
      <c r="B23" s="784" t="s">
        <v>2542</v>
      </c>
      <c r="C23" s="53">
        <f ca="1">ROUND(IF('数据-取费表'!B22&lt;=1,(C19+C20)*F24*F23/2,(C19+C20)*(POWER((1+F24),F23/2)-1)),0)</f>
        <v>835</v>
      </c>
      <c r="D23" s="2597" t="str">
        <f>IF(F23&lt;=1,"(建造成本+管理费用)×利率×(建设周期÷2)","(建造成本+管理费用)×((1+利率)^(建设周期÷2)-1)")</f>
        <v>(建造成本+管理费用)×((1+利率)^(建设周期÷2)-1)</v>
      </c>
      <c r="E23" s="784" t="s">
        <v>1772</v>
      </c>
      <c r="F23" s="640">
        <f>'数据-取费表'!B20</f>
        <v>2.5</v>
      </c>
      <c r="G23" s="1594"/>
      <c r="H23" s="1650" t="s">
        <v>1892</v>
      </c>
      <c r="I23" s="784" t="s">
        <v>680</v>
      </c>
      <c r="J23" s="53">
        <f ca="1">ROUND(J13*M23,0)</f>
        <v>0</v>
      </c>
      <c r="K23" s="2510" t="s">
        <v>1773</v>
      </c>
      <c r="L23" s="784" t="s">
        <v>1749</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1.5E-3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-530</v>
      </c>
      <c r="K25" s="2574" t="s">
        <v>1779</v>
      </c>
      <c r="L25" s="2575"/>
      <c r="M25" s="2576"/>
    </row>
    <row r="26" spans="1:33" ht="18" customHeight="1">
      <c r="A26" s="1649" t="s">
        <v>1833</v>
      </c>
      <c r="B26" s="784" t="s">
        <v>2443</v>
      </c>
      <c r="C26" s="53">
        <f ca="1">ROUND((C19+C20)*F26,0)</f>
        <v>2096</v>
      </c>
      <c r="D26" s="812" t="s">
        <v>1780</v>
      </c>
      <c r="E26" s="795" t="s">
        <v>1781</v>
      </c>
      <c r="F26" s="794">
        <f ca="1">INDIRECT("'数据-取费表'!q"&amp;$G$1)</f>
        <v>0.15</v>
      </c>
      <c r="G26" s="1593"/>
      <c r="H26" s="2528" t="s">
        <v>1782</v>
      </c>
      <c r="I26" s="2234" t="s">
        <v>2834</v>
      </c>
      <c r="J26" s="783">
        <f ca="1">IF(J5&lt;&gt;0,ROUND(J25*(1-((1+M28)/(1+M26))^M27)/(M26-M28),0),0)</f>
        <v>0</v>
      </c>
      <c r="K26" s="814" t="s">
        <v>1783</v>
      </c>
      <c r="L26" s="784" t="s">
        <v>2424</v>
      </c>
      <c r="M26" s="794">
        <f ca="1">INDIRECT("'数据-取费表'!I"&amp;$G$1)</f>
        <v>0.05</v>
      </c>
    </row>
    <row r="27" spans="1:33" ht="18" customHeight="1">
      <c r="A27" s="1649" t="s">
        <v>1834</v>
      </c>
      <c r="B27" s="784" t="s">
        <v>687</v>
      </c>
      <c r="C27" s="53">
        <f ca="1">ROUND(F21*F26,4)</f>
        <v>3.8E-3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18447</v>
      </c>
      <c r="D29" s="2571"/>
      <c r="E29" s="2572"/>
      <c r="F29" s="2573"/>
      <c r="G29" s="1594"/>
      <c r="H29" s="823" t="s">
        <v>1789</v>
      </c>
      <c r="I29" s="824" t="s">
        <v>1790</v>
      </c>
      <c r="J29" s="825">
        <f ca="1">ROUND(J26/(1+F40)^F41,0)</f>
        <v>0</v>
      </c>
      <c r="K29" s="826" t="s">
        <v>1791</v>
      </c>
      <c r="L29" s="827"/>
      <c r="M29" s="828">
        <f ca="1">INDIRECT("'数据-取费表'!k"&amp;$G$1)</f>
        <v>30000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994</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472.1</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310.7</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155</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6.4</v>
      </c>
      <c r="D34" s="814" t="s">
        <v>1801</v>
      </c>
      <c r="E34" s="784" t="s">
        <v>1802</v>
      </c>
      <c r="F34" s="640">
        <f>'数据-取费表'!B52</f>
        <v>20</v>
      </c>
      <c r="G34" s="2064"/>
      <c r="H34" s="2067"/>
      <c r="I34" s="835" t="s">
        <v>1815</v>
      </c>
      <c r="J34" s="836"/>
      <c r="K34" s="2082"/>
      <c r="L34" s="2081"/>
      <c r="M34" s="2081"/>
    </row>
    <row r="35" spans="1:18" ht="18" customHeight="1">
      <c r="A35" s="815"/>
      <c r="B35" s="793"/>
      <c r="C35" s="69"/>
      <c r="D35" s="816"/>
      <c r="E35" s="784" t="s">
        <v>1803</v>
      </c>
      <c r="F35" s="785">
        <f ca="1">INDIRECT("'数据-取费表'!r"&amp;$G$1)</f>
        <v>3190.39</v>
      </c>
      <c r="G35" s="2064"/>
      <c r="H35" s="2067"/>
      <c r="I35" s="837" t="s">
        <v>1816</v>
      </c>
      <c r="J35" s="838">
        <f ca="1">ROUND(C13*J36,0)</f>
        <v>1568</v>
      </c>
      <c r="K35" s="2080"/>
      <c r="L35" s="2079"/>
      <c r="M35" s="2079"/>
    </row>
    <row r="36" spans="1:18" ht="18" customHeight="1">
      <c r="A36" s="1650" t="s">
        <v>1891</v>
      </c>
      <c r="B36" s="784" t="s">
        <v>1804</v>
      </c>
      <c r="C36" s="53">
        <f ca="1">ROUND(C29*F36,1)</f>
        <v>368.9</v>
      </c>
      <c r="D36" s="1979" t="s">
        <v>1805</v>
      </c>
      <c r="E36" s="784" t="s">
        <v>1798</v>
      </c>
      <c r="F36" s="817">
        <f ca="1">INDIRECT("'数据-取费表'!Ak"&amp;$G$1)</f>
        <v>0.02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36.9</v>
      </c>
      <c r="D37" s="1979" t="s">
        <v>1806</v>
      </c>
      <c r="E37" s="784" t="s">
        <v>1798</v>
      </c>
      <c r="F37" s="818">
        <f ca="1">INDIRECT("'数据-取费表'!Al"&amp;$G$1)</f>
        <v>2E-3</v>
      </c>
      <c r="G37" s="2064"/>
      <c r="H37" s="2079"/>
      <c r="I37" s="841" t="s">
        <v>1818</v>
      </c>
      <c r="J37" s="842"/>
      <c r="K37" s="2084"/>
      <c r="L37" s="2079"/>
      <c r="M37" s="2079"/>
    </row>
    <row r="38" spans="1:18" ht="18" customHeight="1" thickBot="1">
      <c r="A38" s="2577" t="s">
        <v>1893</v>
      </c>
      <c r="B38" s="2572" t="s">
        <v>667</v>
      </c>
      <c r="C38" s="2570">
        <f ca="1">ROUND(C5*F38,1)</f>
        <v>116.5</v>
      </c>
      <c r="D38" s="2571" t="s">
        <v>1807</v>
      </c>
      <c r="E38" s="2572" t="s">
        <v>1798</v>
      </c>
      <c r="F38" s="2568">
        <f ca="1">INDIRECT("'数据-取费表'!Am"&amp;$G$1)</f>
        <v>0.02</v>
      </c>
      <c r="G38" s="2064"/>
      <c r="H38" s="2079"/>
      <c r="I38" s="843" t="s">
        <v>1819</v>
      </c>
      <c r="J38" s="844"/>
      <c r="K38" s="2085"/>
      <c r="L38" s="2079"/>
      <c r="M38" s="2079"/>
    </row>
    <row r="39" spans="1:18" ht="24.6" customHeight="1" thickTop="1">
      <c r="A39" s="1831" t="s">
        <v>1896</v>
      </c>
      <c r="B39" s="3037" t="s">
        <v>2829</v>
      </c>
      <c r="C39" s="792">
        <f ca="1">C5-C30</f>
        <v>4832</v>
      </c>
      <c r="D39" s="2574" t="s">
        <v>1808</v>
      </c>
      <c r="E39" s="2575"/>
      <c r="F39" s="2576"/>
      <c r="G39" s="2064"/>
      <c r="H39" s="2079"/>
      <c r="I39" s="837" t="s">
        <v>1820</v>
      </c>
      <c r="J39" s="845">
        <f ca="1">ROUND(J35/C39,3)</f>
        <v>0.32500000000000001</v>
      </c>
      <c r="K39" s="2085"/>
      <c r="L39" s="2079"/>
      <c r="M39" s="2079"/>
    </row>
    <row r="40" spans="1:18" ht="18" customHeight="1">
      <c r="A40" s="781" t="s">
        <v>1897</v>
      </c>
      <c r="B40" s="2234" t="s">
        <v>2305</v>
      </c>
      <c r="C40" s="783">
        <f ca="1">ROUND(C39*(1-((1+F42)/(1+F40))^F41)/(F40-F42),0)</f>
        <v>123890</v>
      </c>
      <c r="D40" s="814" t="s">
        <v>1809</v>
      </c>
      <c r="E40" s="784" t="s">
        <v>2424</v>
      </c>
      <c r="F40" s="794">
        <f ca="1">INDIRECT("'数据-取费表'!I"&amp;$G$1)</f>
        <v>0.05</v>
      </c>
      <c r="G40" s="2064"/>
      <c r="H40" s="2064"/>
      <c r="I40" s="837" t="s">
        <v>1821</v>
      </c>
      <c r="J40" s="845">
        <f ca="1">1-J39</f>
        <v>0.67500000000000004</v>
      </c>
      <c r="K40" s="2085"/>
      <c r="L40" s="2064"/>
      <c r="M40" s="2064"/>
    </row>
    <row r="41" spans="1:18" ht="18" customHeight="1">
      <c r="A41" s="786"/>
      <c r="B41" s="787"/>
      <c r="C41" s="788"/>
      <c r="D41" s="821" t="s">
        <v>1810</v>
      </c>
      <c r="E41" s="784" t="s">
        <v>2975</v>
      </c>
      <c r="F41" s="822">
        <f ca="1">IF(INDIRECT("'数据-取费表'!af"&amp;$G$1)=0,INDIRECT("'数据-取费表'!ae"&amp;$G$1),INDIRECT("'数据-取费表'!af"&amp;$G$1))</f>
        <v>37.39</v>
      </c>
      <c r="G41" s="2064"/>
      <c r="H41" s="1990"/>
      <c r="I41" s="843" t="s">
        <v>1822</v>
      </c>
      <c r="J41" s="846"/>
      <c r="K41" s="2084"/>
      <c r="L41" s="1990"/>
      <c r="M41" s="1990"/>
    </row>
    <row r="42" spans="1:18" ht="18" customHeight="1">
      <c r="A42" s="790"/>
      <c r="B42" s="791"/>
      <c r="C42" s="792"/>
      <c r="D42" s="816"/>
      <c r="E42" s="784" t="s">
        <v>1811</v>
      </c>
      <c r="F42" s="794">
        <f ca="1">INDIRECT("'数据-取费表'!v"&amp;$G$1)</f>
        <v>0.03</v>
      </c>
      <c r="G42" s="2064"/>
      <c r="H42" s="1990"/>
      <c r="I42" s="847" t="s">
        <v>1823</v>
      </c>
      <c r="J42" s="845">
        <f ca="1">ROUND(C13/C40,3)</f>
        <v>0.14899999999999999</v>
      </c>
      <c r="K42" s="2084"/>
      <c r="L42" s="1990"/>
      <c r="M42" s="1990"/>
    </row>
    <row r="43" spans="1:18" ht="18" customHeight="1" thickBot="1">
      <c r="A43" s="823" t="s">
        <v>1789</v>
      </c>
      <c r="B43" s="824" t="s">
        <v>1812</v>
      </c>
      <c r="C43" s="825">
        <f ca="1">ROUND(C40*10000/F43,0)</f>
        <v>41297</v>
      </c>
      <c r="D43" s="826" t="s">
        <v>1813</v>
      </c>
      <c r="E43" s="827" t="s">
        <v>1814</v>
      </c>
      <c r="F43" s="828">
        <f ca="1">INDIRECT("'数据-取费表'!k"&amp;$G$1)</f>
        <v>30000</v>
      </c>
      <c r="G43" s="2064"/>
      <c r="H43" s="1990"/>
      <c r="I43" s="847" t="s">
        <v>1824</v>
      </c>
      <c r="J43" s="848">
        <f ca="1">1-J42</f>
        <v>0.85099999999999998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-133400</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3239</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39.89</v>
      </c>
      <c r="O48" s="2424" t="s">
        <v>2384</v>
      </c>
      <c r="P48" s="2425" t="s">
        <v>2410</v>
      </c>
      <c r="Q48" s="2426">
        <f ca="1">C40+J29</f>
        <v>123890</v>
      </c>
      <c r="R48" s="2425" t="s">
        <v>2385</v>
      </c>
    </row>
    <row r="49" spans="1:18" s="2061" customFormat="1" ht="18" customHeight="1" thickBot="1">
      <c r="A49" s="786"/>
      <c r="B49" s="787"/>
      <c r="C49" s="788"/>
      <c r="D49" s="789"/>
      <c r="E49" s="784" t="s">
        <v>1741</v>
      </c>
      <c r="F49" s="785">
        <f ca="1">F7</f>
        <v>30000</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80</v>
      </c>
      <c r="K50" s="2396" t="s">
        <v>2358</v>
      </c>
      <c r="L50" s="2397"/>
      <c r="O50" s="2427" t="s">
        <v>2388</v>
      </c>
      <c r="P50" s="2425" t="s">
        <v>2412</v>
      </c>
      <c r="Q50" s="2426">
        <f ca="1">C29</f>
        <v>18447</v>
      </c>
      <c r="R50" s="2425" t="s">
        <v>2385</v>
      </c>
    </row>
    <row r="51" spans="1:18" s="2061" customFormat="1" ht="18" customHeight="1" thickBot="1">
      <c r="A51" s="786"/>
      <c r="B51" s="787"/>
      <c r="C51" s="788"/>
      <c r="D51" s="789"/>
      <c r="E51" s="784" t="s">
        <v>641</v>
      </c>
      <c r="F51" s="2373"/>
      <c r="H51" s="2095"/>
      <c r="I51" s="2386" t="s">
        <v>2352</v>
      </c>
      <c r="J51" s="2399">
        <f>IF(J49="",J50,J49+J50-YEAR('数据-取费表'!B2))</f>
        <v>82</v>
      </c>
      <c r="K51" s="2385" t="s">
        <v>2359</v>
      </c>
      <c r="L51" s="2400">
        <f ca="1">ROUND(-PV(INDIRECT("'数据-取费表'!h"&amp;$G$1),L48,(C39-C13*J36),0),0)</f>
        <v>64530</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37.39</v>
      </c>
      <c r="K53" s="3757" t="s">
        <v>2977</v>
      </c>
      <c r="L53" s="3758"/>
      <c r="O53" s="2427" t="s">
        <v>2393</v>
      </c>
      <c r="P53" s="2425" t="s">
        <v>2394</v>
      </c>
      <c r="Q53" s="2426">
        <f ca="1">J53</f>
        <v>37.39</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123890</v>
      </c>
      <c r="R54" s="2429" t="s">
        <v>2397</v>
      </c>
    </row>
    <row r="55" spans="1:18" s="2061" customFormat="1" ht="18" customHeight="1" thickTop="1" thickBot="1">
      <c r="A55" s="797">
        <v>2</v>
      </c>
      <c r="B55" s="798" t="s">
        <v>645</v>
      </c>
      <c r="C55" s="799">
        <f ca="1">C13</f>
        <v>18447</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18447</v>
      </c>
      <c r="D56" s="2666"/>
      <c r="E56" s="784"/>
      <c r="F56" s="809"/>
      <c r="I56" s="2405" t="s">
        <v>2362</v>
      </c>
      <c r="J56" s="3153"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567</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123890</v>
      </c>
      <c r="R57" s="2425" t="s">
        <v>2385</v>
      </c>
    </row>
    <row r="58" spans="1:18" s="2061" customFormat="1" ht="28.5" customHeight="1" thickBot="1">
      <c r="A58" s="1650" t="s">
        <v>1826</v>
      </c>
      <c r="B58" s="784" t="s">
        <v>657</v>
      </c>
      <c r="C58" s="53">
        <f ca="1">ROUND(IF(项目基本情况!B11="自然人",C47*F58,C59+C60+C61),1)</f>
        <v>161.4</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155</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6.4</v>
      </c>
      <c r="D61" s="814" t="s">
        <v>670</v>
      </c>
      <c r="E61" s="784" t="s">
        <v>671</v>
      </c>
      <c r="F61" s="640">
        <f t="shared" si="0"/>
        <v>20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3190.39</v>
      </c>
      <c r="I62" s="2411" t="s">
        <v>2372</v>
      </c>
      <c r="J62" s="2412" t="s">
        <v>2373</v>
      </c>
      <c r="K62" s="2412" t="s">
        <v>2374</v>
      </c>
      <c r="L62" s="2412" t="s">
        <v>2355</v>
      </c>
      <c r="M62" s="3132" t="s">
        <v>2952</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368.9</v>
      </c>
      <c r="D63" s="2666" t="s">
        <v>1805</v>
      </c>
      <c r="E63" s="784" t="s">
        <v>1749</v>
      </c>
      <c r="F63" s="817">
        <f t="shared" ca="1" si="0"/>
        <v>0.02</v>
      </c>
      <c r="I63" s="2411" t="s">
        <v>2375</v>
      </c>
      <c r="J63" s="2412">
        <v>70</v>
      </c>
      <c r="K63" s="2412">
        <v>50</v>
      </c>
      <c r="L63" s="2412">
        <v>80</v>
      </c>
      <c r="M63" s="3133">
        <v>0.02</v>
      </c>
      <c r="O63" s="2424" t="s">
        <v>2396</v>
      </c>
      <c r="P63" s="2425" t="s">
        <v>2413</v>
      </c>
      <c r="Q63" s="2426">
        <f ca="1">Q57+Q58</f>
        <v>123890</v>
      </c>
      <c r="R63" s="2429" t="s">
        <v>2397</v>
      </c>
    </row>
    <row r="64" spans="1:18" s="2061" customFormat="1" ht="16.5" thickBot="1">
      <c r="A64" s="1650" t="s">
        <v>1892</v>
      </c>
      <c r="B64" s="784" t="s">
        <v>680</v>
      </c>
      <c r="C64" s="53">
        <f ca="1">ROUND(C55*F64,1)</f>
        <v>36.9</v>
      </c>
      <c r="D64" s="2666" t="s">
        <v>681</v>
      </c>
      <c r="E64" s="784" t="s">
        <v>1749</v>
      </c>
      <c r="F64" s="818">
        <f t="shared" ca="1" si="0"/>
        <v>2E-3</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-567</v>
      </c>
      <c r="D66" s="2665" t="s">
        <v>701</v>
      </c>
      <c r="E66" s="2664"/>
      <c r="F66" s="820"/>
      <c r="K66" s="2088"/>
      <c r="O66" s="2424" t="s">
        <v>2384</v>
      </c>
      <c r="P66" s="2425" t="s">
        <v>2414</v>
      </c>
      <c r="Q66" s="2426">
        <f ca="1">C40+J29</f>
        <v>123890</v>
      </c>
      <c r="R66" s="2425" t="s">
        <v>2385</v>
      </c>
    </row>
    <row r="67" spans="1:18" s="2061" customFormat="1" ht="20.25" thickBot="1">
      <c r="A67" s="781" t="s">
        <v>1782</v>
      </c>
      <c r="B67" s="2234" t="s">
        <v>2305</v>
      </c>
      <c r="C67" s="783">
        <f ca="1">ROUND(C66*(1-((1+F69)/(1+F67))^F68)/(F67-F69),0)</f>
        <v>-9510</v>
      </c>
      <c r="D67" s="814" t="s">
        <v>705</v>
      </c>
      <c r="E67" s="784" t="s">
        <v>706</v>
      </c>
      <c r="F67" s="794">
        <f ca="1">F40</f>
        <v>0.05</v>
      </c>
      <c r="K67" s="2088"/>
      <c r="O67" s="2424" t="s">
        <v>2386</v>
      </c>
      <c r="P67" s="2425" t="s">
        <v>2417</v>
      </c>
      <c r="Q67" s="2426">
        <f ca="1">L60</f>
        <v>0</v>
      </c>
      <c r="R67" s="2429" t="s">
        <v>2419</v>
      </c>
    </row>
    <row r="68" spans="1:18" ht="21.75" thickBot="1">
      <c r="A68" s="786"/>
      <c r="B68" s="787"/>
      <c r="C68" s="788"/>
      <c r="D68" s="821" t="s">
        <v>1810</v>
      </c>
      <c r="E68" s="784" t="s">
        <v>1786</v>
      </c>
      <c r="F68" s="822">
        <f ca="1">F41</f>
        <v>37.39</v>
      </c>
      <c r="O68" s="2427" t="s">
        <v>2388</v>
      </c>
      <c r="P68" s="2425" t="s">
        <v>2418</v>
      </c>
      <c r="Q68" s="2431">
        <f ca="1">L51</f>
        <v>64530</v>
      </c>
      <c r="R68" s="2432" t="s">
        <v>2421</v>
      </c>
    </row>
    <row r="69" spans="1:18" ht="20.25" thickBot="1">
      <c r="A69" s="790"/>
      <c r="B69" s="791"/>
      <c r="C69" s="792"/>
      <c r="D69" s="816"/>
      <c r="E69" s="784" t="s">
        <v>711</v>
      </c>
      <c r="F69" s="2373"/>
      <c r="O69" s="2427" t="s">
        <v>2389</v>
      </c>
      <c r="P69" s="2433" t="s">
        <v>2403</v>
      </c>
      <c r="Q69" s="2426">
        <f ca="1">ROUND(Q70-Q71*Q72,0)</f>
        <v>3264</v>
      </c>
      <c r="R69" s="2429"/>
    </row>
    <row r="70" spans="1:18" ht="15.75" thickBot="1">
      <c r="A70" s="823" t="s">
        <v>1789</v>
      </c>
      <c r="B70" s="824" t="s">
        <v>1812</v>
      </c>
      <c r="C70" s="825">
        <f ca="1">ROUND(C67*10000/F70,0)</f>
        <v>-3170</v>
      </c>
      <c r="D70" s="826" t="s">
        <v>1813</v>
      </c>
      <c r="E70" s="827" t="s">
        <v>1814</v>
      </c>
      <c r="F70" s="828">
        <f ca="1">F43</f>
        <v>30000</v>
      </c>
      <c r="O70" s="2427" t="s">
        <v>2404</v>
      </c>
      <c r="P70" s="2433" t="s">
        <v>2405</v>
      </c>
      <c r="Q70" s="2426">
        <f ca="1">C39</f>
        <v>4832</v>
      </c>
      <c r="R70" s="2425" t="s">
        <v>2385</v>
      </c>
    </row>
    <row r="71" spans="1:18" ht="15.75" thickBot="1">
      <c r="O71" s="2427" t="s">
        <v>2406</v>
      </c>
      <c r="P71" s="2433" t="s">
        <v>2407</v>
      </c>
      <c r="Q71" s="2426">
        <f ca="1">C13</f>
        <v>18447</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123890</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9" t="s">
        <v>2478</v>
      </c>
      <c r="B1" s="3760"/>
      <c r="C1" s="3761"/>
      <c r="D1" s="3762">
        <f>SUM(I10,I15,I20,I21,I23)</f>
        <v>0</v>
      </c>
      <c r="E1" s="3762"/>
      <c r="F1" s="3762"/>
      <c r="G1" s="3762"/>
      <c r="H1" s="3762"/>
      <c r="I1" s="3763"/>
    </row>
    <row r="2" spans="1:9">
      <c r="A2" s="3764" t="s">
        <v>2479</v>
      </c>
      <c r="B2" s="3765" t="s">
        <v>2480</v>
      </c>
      <c r="C2" s="3765"/>
      <c r="D2" s="2533" t="s">
        <v>2481</v>
      </c>
      <c r="E2" s="2533" t="s">
        <v>2482</v>
      </c>
      <c r="F2" s="2533" t="s">
        <v>2483</v>
      </c>
      <c r="G2" s="2533" t="s">
        <v>2484</v>
      </c>
      <c r="H2" s="2533" t="s">
        <v>2485</v>
      </c>
      <c r="I2" s="2534" t="s">
        <v>2486</v>
      </c>
    </row>
    <row r="3" spans="1:9">
      <c r="A3" s="3764"/>
      <c r="B3" s="3765" t="s">
        <v>2487</v>
      </c>
      <c r="C3" s="3765"/>
      <c r="D3" s="2535"/>
      <c r="E3" s="2533"/>
      <c r="F3" s="2536"/>
      <c r="G3" s="2536"/>
      <c r="H3" s="2537"/>
      <c r="I3" s="2538">
        <f>ROUND(D3*E3*F3*G3*H3/10000,0)</f>
        <v>0</v>
      </c>
    </row>
    <row r="4" spans="1:9">
      <c r="A4" s="3764"/>
      <c r="B4" s="3765" t="s">
        <v>2488</v>
      </c>
      <c r="C4" s="3765"/>
      <c r="D4" s="2535"/>
      <c r="E4" s="2533"/>
      <c r="F4" s="2536"/>
      <c r="G4" s="2536"/>
      <c r="H4" s="2537"/>
      <c r="I4" s="2538">
        <f t="shared" ref="I4:I9" si="0">ROUND(D4*E4*F4*G4*H4/10000,0)</f>
        <v>0</v>
      </c>
    </row>
    <row r="5" spans="1:9">
      <c r="A5" s="3764"/>
      <c r="B5" s="3765" t="s">
        <v>2489</v>
      </c>
      <c r="C5" s="3765"/>
      <c r="D5" s="2535"/>
      <c r="E5" s="2533"/>
      <c r="F5" s="2536"/>
      <c r="G5" s="2536"/>
      <c r="H5" s="2537"/>
      <c r="I5" s="2538">
        <f t="shared" si="0"/>
        <v>0</v>
      </c>
    </row>
    <row r="6" spans="1:9">
      <c r="A6" s="3764"/>
      <c r="B6" s="3765" t="s">
        <v>2490</v>
      </c>
      <c r="C6" s="3765"/>
      <c r="D6" s="2535"/>
      <c r="E6" s="2533"/>
      <c r="F6" s="2536"/>
      <c r="G6" s="2536"/>
      <c r="H6" s="2537"/>
      <c r="I6" s="2538">
        <f t="shared" si="0"/>
        <v>0</v>
      </c>
    </row>
    <row r="7" spans="1:9">
      <c r="A7" s="3764"/>
      <c r="B7" s="3765" t="s">
        <v>2491</v>
      </c>
      <c r="C7" s="3765"/>
      <c r="D7" s="2535"/>
      <c r="E7" s="2533"/>
      <c r="F7" s="2536"/>
      <c r="G7" s="2536"/>
      <c r="H7" s="2537"/>
      <c r="I7" s="2538">
        <f t="shared" si="0"/>
        <v>0</v>
      </c>
    </row>
    <row r="8" spans="1:9">
      <c r="A8" s="3764"/>
      <c r="B8" s="3765" t="s">
        <v>2492</v>
      </c>
      <c r="C8" s="3765"/>
      <c r="D8" s="2535"/>
      <c r="E8" s="2533"/>
      <c r="F8" s="2536"/>
      <c r="G8" s="2536"/>
      <c r="H8" s="2537"/>
      <c r="I8" s="2538">
        <f t="shared" si="0"/>
        <v>0</v>
      </c>
    </row>
    <row r="9" spans="1:9">
      <c r="A9" s="3764"/>
      <c r="B9" s="3765" t="s">
        <v>2493</v>
      </c>
      <c r="C9" s="3765"/>
      <c r="D9" s="2535"/>
      <c r="E9" s="2533"/>
      <c r="F9" s="2536"/>
      <c r="G9" s="2536"/>
      <c r="H9" s="2537"/>
      <c r="I9" s="2538">
        <f t="shared" si="0"/>
        <v>0</v>
      </c>
    </row>
    <row r="10" spans="1:9">
      <c r="A10" s="3764"/>
      <c r="B10" s="3766" t="s">
        <v>2494</v>
      </c>
      <c r="C10" s="3766"/>
      <c r="D10" s="2539">
        <v>527</v>
      </c>
      <c r="E10" s="2539" t="e">
        <f>ROUND(D1*10000/D10/H9,0)</f>
        <v>#DIV/0!</v>
      </c>
      <c r="F10" s="2540"/>
      <c r="G10" s="2540"/>
      <c r="H10" s="2541"/>
      <c r="I10" s="2542">
        <f>SUM(I3:I9)</f>
        <v>0</v>
      </c>
    </row>
    <row r="11" spans="1:9" ht="14.25">
      <c r="A11" s="3764" t="s">
        <v>2495</v>
      </c>
      <c r="B11" s="3765" t="s">
        <v>2496</v>
      </c>
      <c r="C11" s="3765"/>
      <c r="D11" s="2535" t="s">
        <v>2497</v>
      </c>
      <c r="E11" s="2535" t="s">
        <v>2498</v>
      </c>
      <c r="F11" s="2536" t="s">
        <v>2499</v>
      </c>
      <c r="G11" s="2536" t="s">
        <v>2500</v>
      </c>
      <c r="H11" s="2543" t="s">
        <v>2501</v>
      </c>
      <c r="I11" s="2534" t="s">
        <v>2502</v>
      </c>
    </row>
    <row r="12" spans="1:9">
      <c r="A12" s="3764"/>
      <c r="B12" s="3765" t="s">
        <v>2503</v>
      </c>
      <c r="C12" s="3765"/>
      <c r="D12" s="2535"/>
      <c r="E12" s="2535"/>
      <c r="F12" s="2536"/>
      <c r="G12" s="2537"/>
      <c r="H12" s="2544"/>
      <c r="I12" s="2534">
        <f>ROUND(D12*E12*F12*G12/10000,0)</f>
        <v>0</v>
      </c>
    </row>
    <row r="13" spans="1:9">
      <c r="A13" s="3764"/>
      <c r="B13" s="3765" t="s">
        <v>2504</v>
      </c>
      <c r="C13" s="3765"/>
      <c r="D13" s="2535"/>
      <c r="E13" s="2535"/>
      <c r="F13" s="2536"/>
      <c r="G13" s="2537"/>
      <c r="H13" s="2544"/>
      <c r="I13" s="2534">
        <f>ROUND(D13*E13*F13*G13/10000,0)</f>
        <v>0</v>
      </c>
    </row>
    <row r="14" spans="1:9">
      <c r="A14" s="3764"/>
      <c r="B14" s="3765" t="s">
        <v>2505</v>
      </c>
      <c r="C14" s="3765"/>
      <c r="D14" s="2535"/>
      <c r="E14" s="2535"/>
      <c r="F14" s="2536"/>
      <c r="G14" s="2537"/>
      <c r="H14" s="2544"/>
      <c r="I14" s="2534">
        <f>ROUND(D14*E14*F14*G14/10000,0)</f>
        <v>0</v>
      </c>
    </row>
    <row r="15" spans="1:9">
      <c r="A15" s="3764"/>
      <c r="B15" s="3766" t="s">
        <v>2494</v>
      </c>
      <c r="C15" s="3766"/>
      <c r="D15" s="2539"/>
      <c r="E15" s="2539">
        <f>SUM(E12:E14)</f>
        <v>0</v>
      </c>
      <c r="F15" s="2540"/>
      <c r="G15" s="2537"/>
      <c r="H15" s="2544"/>
      <c r="I15" s="2545">
        <f>SUM(I12:I14)</f>
        <v>0</v>
      </c>
    </row>
    <row r="16" spans="1:9" ht="24">
      <c r="A16" s="3764" t="s">
        <v>2506</v>
      </c>
      <c r="B16" s="3765" t="s">
        <v>2507</v>
      </c>
      <c r="C16" s="3765"/>
      <c r="D16" s="2535" t="s">
        <v>2508</v>
      </c>
      <c r="E16" s="2546" t="s">
        <v>2509</v>
      </c>
      <c r="F16" s="2536" t="s">
        <v>2510</v>
      </c>
      <c r="G16" s="2537" t="s">
        <v>2500</v>
      </c>
      <c r="H16" s="2543" t="s">
        <v>2501</v>
      </c>
      <c r="I16" s="2534" t="s">
        <v>2502</v>
      </c>
    </row>
    <row r="17" spans="1:9" ht="14.25">
      <c r="A17" s="3764"/>
      <c r="B17" s="3765" t="s">
        <v>2511</v>
      </c>
      <c r="C17" s="3765"/>
      <c r="D17" s="2535"/>
      <c r="E17" s="2535"/>
      <c r="F17" s="2536"/>
      <c r="G17" s="2537"/>
      <c r="H17" s="2547"/>
      <c r="I17" s="2548">
        <f>ROUND(D17*E17*F17*G17/10000,0)</f>
        <v>0</v>
      </c>
    </row>
    <row r="18" spans="1:9" ht="14.25">
      <c r="A18" s="3764"/>
      <c r="B18" s="3765" t="s">
        <v>2512</v>
      </c>
      <c r="C18" s="3765"/>
      <c r="D18" s="2535"/>
      <c r="E18" s="2535"/>
      <c r="F18" s="2536"/>
      <c r="G18" s="2537"/>
      <c r="H18" s="2547"/>
      <c r="I18" s="2548">
        <f>ROUND(D18*E18*F18*G18/10000,0)</f>
        <v>0</v>
      </c>
    </row>
    <row r="19" spans="1:9" ht="14.25">
      <c r="A19" s="3764"/>
      <c r="B19" s="3765" t="s">
        <v>2513</v>
      </c>
      <c r="C19" s="3765"/>
      <c r="D19" s="2535"/>
      <c r="E19" s="2535"/>
      <c r="F19" s="2536"/>
      <c r="G19" s="2537"/>
      <c r="H19" s="2547"/>
      <c r="I19" s="2548">
        <f>ROUND(D19*E19*F19*G19/10000,0)</f>
        <v>0</v>
      </c>
    </row>
    <row r="20" spans="1:9">
      <c r="A20" s="3764"/>
      <c r="B20" s="3766" t="s">
        <v>2494</v>
      </c>
      <c r="C20" s="3766"/>
      <c r="D20" s="2539">
        <f>SUM(D17:D19)</f>
        <v>0</v>
      </c>
      <c r="E20" s="2539"/>
      <c r="F20" s="2540"/>
      <c r="G20" s="2537"/>
      <c r="H20" s="2544"/>
      <c r="I20" s="2545">
        <f>SUM(I17:I19)</f>
        <v>0</v>
      </c>
    </row>
    <row r="21" spans="1:9">
      <c r="A21" s="3764" t="s">
        <v>2514</v>
      </c>
      <c r="B21" s="3768"/>
      <c r="C21" s="3768"/>
      <c r="D21" s="3768"/>
      <c r="E21" s="3768"/>
      <c r="F21" s="3768"/>
      <c r="G21" s="3768"/>
      <c r="H21" s="2549">
        <v>0.1</v>
      </c>
      <c r="I21" s="2542">
        <f>ROUND(I10*H21,0)</f>
        <v>0</v>
      </c>
    </row>
    <row r="22" spans="1:9" ht="14.25">
      <c r="A22" s="3769" t="s">
        <v>2515</v>
      </c>
      <c r="B22" s="3770"/>
      <c r="C22" s="3771"/>
      <c r="D22" s="2550" t="s">
        <v>2516</v>
      </c>
      <c r="E22" s="2550" t="s">
        <v>2517</v>
      </c>
      <c r="F22" s="2551" t="s">
        <v>2518</v>
      </c>
      <c r="G22" s="2551" t="s">
        <v>2519</v>
      </c>
      <c r="H22" s="2543" t="s">
        <v>2520</v>
      </c>
      <c r="I22" s="2534" t="s">
        <v>2521</v>
      </c>
    </row>
    <row r="23" spans="1:9" ht="14.25" thickBot="1">
      <c r="A23" s="3772"/>
      <c r="B23" s="3773"/>
      <c r="C23" s="3774"/>
      <c r="D23" s="2552"/>
      <c r="E23" s="2552"/>
      <c r="F23" s="2552"/>
      <c r="G23" s="2553"/>
      <c r="H23" s="2554"/>
      <c r="I23" s="2555">
        <f>ROUND(E23*D23*F23*(1-G23)/10000,0)</f>
        <v>0</v>
      </c>
    </row>
    <row r="26" spans="1:9">
      <c r="A26" s="2556" t="s">
        <v>2522</v>
      </c>
      <c r="B26" s="2556"/>
      <c r="C26" s="2556"/>
      <c r="D26" s="2556"/>
      <c r="E26" s="3775">
        <f>C27-C30-C31-C32</f>
        <v>0</v>
      </c>
      <c r="F26" s="3775"/>
      <c r="G26" s="3775"/>
      <c r="H26" s="3071" t="s">
        <v>2850</v>
      </c>
    </row>
    <row r="27" spans="1:9">
      <c r="A27" s="2557">
        <v>1</v>
      </c>
      <c r="B27" s="2558" t="s">
        <v>2523</v>
      </c>
      <c r="C27" s="2558"/>
      <c r="D27" s="2558"/>
      <c r="E27" s="3776"/>
      <c r="F27" s="3776"/>
      <c r="G27" s="3776"/>
    </row>
    <row r="28" spans="1:9">
      <c r="A28" s="2559" t="s">
        <v>2524</v>
      </c>
      <c r="B28" s="2558" t="s">
        <v>2525</v>
      </c>
      <c r="C28" s="2558"/>
      <c r="D28" s="2558"/>
      <c r="E28" s="3776"/>
      <c r="F28" s="3776"/>
      <c r="G28" s="3776"/>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67"/>
      <c r="F32" s="3767"/>
      <c r="G32" s="3767"/>
    </row>
    <row r="33" spans="1:7" hidden="1">
      <c r="A33" s="3777" t="s">
        <v>2533</v>
      </c>
      <c r="B33" s="3778"/>
      <c r="C33" s="3778"/>
      <c r="D33" s="3779"/>
      <c r="E33" s="3775"/>
      <c r="F33" s="3775"/>
      <c r="G33" s="3775"/>
    </row>
    <row r="34" spans="1:7" hidden="1">
      <c r="A34" s="2561">
        <v>1</v>
      </c>
      <c r="B34" s="2558" t="s">
        <v>2534</v>
      </c>
      <c r="C34" s="2558"/>
      <c r="D34" s="2558"/>
      <c r="E34" s="3776"/>
      <c r="F34" s="3776"/>
      <c r="G34" s="3776"/>
    </row>
    <row r="35" spans="1:7" hidden="1">
      <c r="A35" s="2561">
        <v>2</v>
      </c>
      <c r="B35" s="2558" t="s">
        <v>2535</v>
      </c>
      <c r="C35" s="2558"/>
      <c r="D35" s="2558"/>
      <c r="E35" s="3776"/>
      <c r="F35" s="3776"/>
      <c r="G35" s="3776"/>
    </row>
    <row r="36" spans="1:7" hidden="1">
      <c r="A36" s="2561">
        <v>3</v>
      </c>
      <c r="B36" s="2558" t="s">
        <v>2536</v>
      </c>
      <c r="C36" s="2558"/>
      <c r="D36" s="2558"/>
      <c r="E36" s="3776"/>
      <c r="F36" s="3776"/>
      <c r="G36" s="3776"/>
    </row>
    <row r="37" spans="1:7" hidden="1">
      <c r="A37" s="2561">
        <v>4</v>
      </c>
      <c r="B37" s="2558" t="s">
        <v>2537</v>
      </c>
      <c r="C37" s="2558"/>
      <c r="D37" s="2558"/>
      <c r="E37" s="3776"/>
      <c r="F37" s="3776"/>
      <c r="G37" s="3776"/>
    </row>
    <row r="38" spans="1:7" hidden="1">
      <c r="A38" s="3777" t="s">
        <v>2538</v>
      </c>
      <c r="B38" s="3778"/>
      <c r="C38" s="3778"/>
      <c r="D38" s="3779"/>
      <c r="E38" s="3775"/>
      <c r="F38" s="3775"/>
      <c r="G38" s="37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180000</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960</v>
      </c>
      <c r="D12" s="758">
        <f>'数据-汇总表'!E5</f>
        <v>80000</v>
      </c>
      <c r="E12" s="757">
        <f>'数据-取费表'!B27</f>
        <v>120</v>
      </c>
      <c r="F12" s="755"/>
      <c r="G12" s="759"/>
    </row>
    <row r="13" spans="1:25" s="2185" customFormat="1" ht="13.5" customHeight="1">
      <c r="A13" s="2502" t="s">
        <v>2452</v>
      </c>
      <c r="B13" s="756" t="s">
        <v>613</v>
      </c>
      <c r="C13" s="757">
        <f>ROUND(D13*E13/10000,0)</f>
        <v>1200</v>
      </c>
      <c r="D13" s="758">
        <f>'数据-汇总表'!E6</f>
        <v>100000</v>
      </c>
      <c r="E13" s="757">
        <f>'数据-取费表'!B28</f>
        <v>120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0.13</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0.86299999999999999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4" zoomScale="80" zoomScaleNormal="80" workbookViewId="0">
      <selection activeCell="L50" sqref="L50"/>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4" t="s">
        <v>3279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267288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33411</v>
      </c>
      <c r="C3" s="852" t="s">
        <v>723</v>
      </c>
      <c r="D3" s="851">
        <f>SUMIF('数据-汇总表'!$C19:$C33,D1,'数据-汇总表'!$E19:$E33)</f>
        <v>80000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73" t="s">
        <v>523</v>
      </c>
      <c r="D4" s="3674"/>
      <c r="E4" s="3708" t="s">
        <v>524</v>
      </c>
      <c r="F4" s="3709"/>
      <c r="G4" s="3673" t="s">
        <v>525</v>
      </c>
      <c r="H4" s="3674"/>
      <c r="I4" s="3673" t="s">
        <v>526</v>
      </c>
      <c r="J4" s="3674"/>
      <c r="K4" s="853" t="s">
        <v>527</v>
      </c>
      <c r="L4" s="2135"/>
      <c r="M4" s="2136"/>
      <c r="N4" s="2136"/>
      <c r="O4" s="2136"/>
      <c r="P4" s="3675" t="s">
        <v>528</v>
      </c>
      <c r="Q4" s="3676"/>
      <c r="R4" s="3681" t="s">
        <v>524</v>
      </c>
      <c r="S4" s="3682"/>
      <c r="T4" s="3681" t="s">
        <v>525</v>
      </c>
      <c r="U4" s="3682"/>
      <c r="V4" s="3668" t="s">
        <v>526</v>
      </c>
      <c r="W4" s="3668"/>
      <c r="X4" s="1568"/>
      <c r="Y4" s="3681" t="s">
        <v>528</v>
      </c>
      <c r="Z4" s="3682"/>
      <c r="AA4" s="3670" t="s">
        <v>524</v>
      </c>
      <c r="AB4" s="3670" t="s">
        <v>525</v>
      </c>
      <c r="AC4" s="3670" t="s">
        <v>526</v>
      </c>
    </row>
    <row r="5" spans="1:29" ht="15">
      <c r="A5" s="515"/>
      <c r="B5" s="516"/>
      <c r="C5" s="3689" t="s">
        <v>2937</v>
      </c>
      <c r="D5" s="3690"/>
      <c r="E5" s="3710" t="s">
        <v>3280</v>
      </c>
      <c r="F5" s="3711"/>
      <c r="G5" s="3689" t="s">
        <v>3281</v>
      </c>
      <c r="H5" s="3690"/>
      <c r="I5" s="3689" t="s">
        <v>3282</v>
      </c>
      <c r="J5" s="3690"/>
      <c r="K5" s="854"/>
      <c r="L5" s="2135"/>
      <c r="M5" s="2136"/>
      <c r="N5" s="2136"/>
      <c r="O5" s="2136"/>
      <c r="P5" s="3677"/>
      <c r="Q5" s="3678"/>
      <c r="R5" s="3683"/>
      <c r="S5" s="3684"/>
      <c r="T5" s="3683"/>
      <c r="U5" s="3684"/>
      <c r="V5" s="3668"/>
      <c r="W5" s="3668"/>
      <c r="X5" s="1568"/>
      <c r="Y5" s="3683"/>
      <c r="Z5" s="3684"/>
      <c r="AA5" s="3671"/>
      <c r="AB5" s="3671"/>
      <c r="AC5" s="3671"/>
    </row>
    <row r="6" spans="1:29" ht="30.75" customHeight="1" thickBot="1">
      <c r="A6" s="517"/>
      <c r="B6" s="518"/>
      <c r="C6" s="3687" t="s">
        <v>3220</v>
      </c>
      <c r="D6" s="3688"/>
      <c r="E6" s="3706" t="s">
        <v>3283</v>
      </c>
      <c r="F6" s="3707"/>
      <c r="G6" s="3687" t="s">
        <v>3284</v>
      </c>
      <c r="H6" s="3688"/>
      <c r="I6" s="3687" t="s">
        <v>3285</v>
      </c>
      <c r="J6" s="3688"/>
      <c r="K6" s="854" t="s">
        <v>529</v>
      </c>
      <c r="L6" s="2135"/>
      <c r="M6" s="2136"/>
      <c r="N6" s="2136"/>
      <c r="O6" s="2136"/>
      <c r="P6" s="3679"/>
      <c r="Q6" s="3680"/>
      <c r="R6" s="3683"/>
      <c r="S6" s="3684"/>
      <c r="T6" s="3685"/>
      <c r="U6" s="3686"/>
      <c r="V6" s="3668"/>
      <c r="W6" s="3668"/>
      <c r="X6" s="1568"/>
      <c r="Y6" s="3685"/>
      <c r="Z6" s="3686"/>
      <c r="AA6" s="3672"/>
      <c r="AB6" s="3672"/>
      <c r="AC6" s="3672"/>
    </row>
    <row r="7" spans="1:29" s="1220" customFormat="1" ht="15.75" thickBot="1">
      <c r="A7" s="2939"/>
      <c r="B7" s="2946" t="s">
        <v>530</v>
      </c>
      <c r="C7" s="519">
        <f>'数据-取费表'!B2</f>
        <v>43117</v>
      </c>
      <c r="D7" s="520">
        <v>100</v>
      </c>
      <c r="E7" s="521">
        <f>C7</f>
        <v>43117</v>
      </c>
      <c r="F7" s="522">
        <f>SUMIF(58:58,YEAR(E7)&amp;"-"&amp;MONTH(E7),59:59)</f>
        <v>100</v>
      </c>
      <c r="G7" s="523">
        <f>C7</f>
        <v>43117</v>
      </c>
      <c r="H7" s="520">
        <f>SUMIF(58:58,YEAR(G7)&amp;"-"&amp;MONTH(G7),59:59)</f>
        <v>100</v>
      </c>
      <c r="I7" s="523">
        <f>C7</f>
        <v>43117</v>
      </c>
      <c r="J7" s="520">
        <f>SUMIF(58:58,YEAR(I7)&amp;"-"&amp;MONTH(I7),59:59)</f>
        <v>100</v>
      </c>
      <c r="K7" s="855"/>
      <c r="L7" s="2137"/>
      <c r="M7" s="2138"/>
      <c r="N7" s="2138"/>
      <c r="O7" s="2138"/>
      <c r="P7" s="3699" t="s">
        <v>531</v>
      </c>
      <c r="Q7" s="3701"/>
      <c r="R7" s="1569" t="s">
        <v>13</v>
      </c>
      <c r="S7" s="1570">
        <f t="shared" ref="S7:S15" si="0">F7</f>
        <v>100</v>
      </c>
      <c r="T7" s="1569" t="s">
        <v>13</v>
      </c>
      <c r="U7" s="1570">
        <f t="shared" ref="U7:U15" si="1">H7</f>
        <v>100</v>
      </c>
      <c r="V7" s="1569" t="s">
        <v>13</v>
      </c>
      <c r="W7" s="1570">
        <f t="shared" ref="W7:W15" si="2">J7</f>
        <v>100</v>
      </c>
      <c r="X7" s="1571"/>
      <c r="Y7" s="3699" t="s">
        <v>531</v>
      </c>
      <c r="Z7" s="3700"/>
      <c r="AA7" s="1572">
        <f>D7/F7</f>
        <v>1</v>
      </c>
      <c r="AB7" s="1572">
        <f>D7/H7</f>
        <v>1</v>
      </c>
      <c r="AC7" s="1572">
        <f>D7/J7</f>
        <v>1</v>
      </c>
    </row>
    <row r="8" spans="1:29" s="1220" customFormat="1" ht="15.75" thickBot="1">
      <c r="A8" s="2940"/>
      <c r="B8" s="2947" t="s">
        <v>532</v>
      </c>
      <c r="C8" s="525" t="s">
        <v>577</v>
      </c>
      <c r="D8" s="520">
        <v>100</v>
      </c>
      <c r="E8" s="856" t="s">
        <v>3250</v>
      </c>
      <c r="F8" s="522">
        <f>SUMIF(61:61,E8,62:62)-SUMIF(61:61,C8,62:62)+100</f>
        <v>100</v>
      </c>
      <c r="G8" s="525" t="s">
        <v>3250</v>
      </c>
      <c r="H8" s="520">
        <f>SUMIF(61:61,G8,62:62)-SUMIF(61:61,C8,62:62)+100</f>
        <v>100</v>
      </c>
      <c r="I8" s="856" t="s">
        <v>3250</v>
      </c>
      <c r="J8" s="520">
        <f>SUMIF(61:61,I8,62:62)-SUMIF(61:61,C8,62:62)+100</f>
        <v>100</v>
      </c>
      <c r="K8" s="855"/>
      <c r="L8" s="2137"/>
      <c r="M8" s="2138"/>
      <c r="N8" s="2138"/>
      <c r="O8" s="2138"/>
      <c r="P8" s="3699" t="s">
        <v>534</v>
      </c>
      <c r="Q8" s="3700"/>
      <c r="R8" s="1569" t="s">
        <v>13</v>
      </c>
      <c r="S8" s="1570">
        <f t="shared" si="0"/>
        <v>100</v>
      </c>
      <c r="T8" s="1569" t="s">
        <v>13</v>
      </c>
      <c r="U8" s="1570">
        <f t="shared" si="1"/>
        <v>100</v>
      </c>
      <c r="V8" s="1569" t="s">
        <v>13</v>
      </c>
      <c r="W8" s="1570">
        <f t="shared" si="2"/>
        <v>100</v>
      </c>
      <c r="X8" s="1571"/>
      <c r="Y8" s="3699" t="s">
        <v>534</v>
      </c>
      <c r="Z8" s="3700"/>
      <c r="AA8" s="1572">
        <f t="shared" ref="AA8:AA46" si="3">D8/F8</f>
        <v>1</v>
      </c>
      <c r="AB8" s="1572">
        <f t="shared" ref="AB8:AB46" si="4">D8/H8</f>
        <v>1</v>
      </c>
      <c r="AC8" s="1572">
        <f t="shared" ref="AC8:AC46" si="5">D8/J8</f>
        <v>1</v>
      </c>
    </row>
    <row r="9" spans="1:29" s="1220" customFormat="1" ht="15">
      <c r="A9" s="2941"/>
      <c r="B9" s="2948" t="s">
        <v>2763</v>
      </c>
      <c r="C9" s="3489" t="s">
        <v>3286</v>
      </c>
      <c r="D9" s="254">
        <v>100</v>
      </c>
      <c r="E9" s="3489" t="s">
        <v>3287</v>
      </c>
      <c r="F9" s="859">
        <f>SUMIF(63:63,E9,64:64)-SUMIF(63:63,C9,64:64)+100</f>
        <v>100</v>
      </c>
      <c r="G9" s="3489" t="s">
        <v>3288</v>
      </c>
      <c r="H9" s="254">
        <f>SUMIF(63:63,G9,64:64)-SUMIF(63:63,C9,64:64)+100</f>
        <v>100</v>
      </c>
      <c r="I9" s="3489" t="s">
        <v>3287</v>
      </c>
      <c r="J9" s="254">
        <f>SUMIF(63:63,I9,64:64)-SUMIF(63:63,C9,64:64)+100</f>
        <v>100</v>
      </c>
      <c r="K9" s="855"/>
      <c r="L9" s="2137"/>
      <c r="M9" s="2138"/>
      <c r="N9" s="2138"/>
      <c r="O9" s="2139"/>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2"/>
      <c r="B10" s="2947" t="s">
        <v>2764</v>
      </c>
      <c r="C10" s="861" t="s">
        <v>3289</v>
      </c>
      <c r="D10" s="255">
        <v>100</v>
      </c>
      <c r="E10" s="862" t="s">
        <v>3290</v>
      </c>
      <c r="F10" s="863">
        <f>SUMIF(65:65,E10,66:66)-SUMIF(65:65,C10,66:66)+100</f>
        <v>95</v>
      </c>
      <c r="G10" s="861" t="s">
        <v>3289</v>
      </c>
      <c r="H10" s="255">
        <f>SUMIF(65:65,G10,66:66)-SUMIF(65:65,C10,66:66)+100</f>
        <v>100</v>
      </c>
      <c r="I10" s="861" t="s">
        <v>3289</v>
      </c>
      <c r="J10" s="255">
        <f>SUMIF(65:65,I10,66:66)-SUMIF(65:65,C10,66:66)+100</f>
        <v>100</v>
      </c>
      <c r="K10" s="864">
        <v>5</v>
      </c>
      <c r="L10" s="2140"/>
      <c r="M10" s="2180"/>
      <c r="N10" s="2180"/>
      <c r="O10" s="2141"/>
      <c r="P10" s="3667"/>
      <c r="Q10" s="1151" t="str">
        <f t="shared" si="6"/>
        <v>土地使用年限（年）</v>
      </c>
      <c r="R10" s="1569" t="s">
        <v>8</v>
      </c>
      <c r="S10" s="1570">
        <f t="shared" si="0"/>
        <v>95</v>
      </c>
      <c r="T10" s="1569" t="s">
        <v>8</v>
      </c>
      <c r="U10" s="1570">
        <f t="shared" si="1"/>
        <v>100</v>
      </c>
      <c r="V10" s="1569" t="s">
        <v>8</v>
      </c>
      <c r="W10" s="1570">
        <f t="shared" si="2"/>
        <v>100</v>
      </c>
      <c r="X10" s="1571"/>
      <c r="Y10" s="3613"/>
      <c r="Z10" s="1150" t="str">
        <f t="shared" si="7"/>
        <v>土地使用年限（年）</v>
      </c>
      <c r="AA10" s="1572">
        <f t="shared" si="3"/>
        <v>1.0526315789473684</v>
      </c>
      <c r="AB10" s="1572">
        <f t="shared" si="4"/>
        <v>1</v>
      </c>
      <c r="AC10" s="1572">
        <f t="shared" si="5"/>
        <v>1</v>
      </c>
    </row>
    <row r="11" spans="1:29" ht="15.75" thickBot="1">
      <c r="A11" s="2943"/>
      <c r="B11" s="2947" t="s">
        <v>2765</v>
      </c>
      <c r="C11" s="533">
        <f>'数据-汇总表'!I5</f>
        <v>9.4</v>
      </c>
      <c r="D11" s="255">
        <v>100</v>
      </c>
      <c r="E11" s="534">
        <v>8</v>
      </c>
      <c r="F11" s="863">
        <f>LOOKUP(E11,68:68,69:69)-LOOKUP(C11,68:68,69:69)+100</f>
        <v>100</v>
      </c>
      <c r="G11" s="533">
        <v>6.04</v>
      </c>
      <c r="H11" s="255">
        <f>LOOKUP(G11,68:68,69:69)-LOOKUP(C11,68:68,69:69)+100</f>
        <v>102</v>
      </c>
      <c r="I11" s="533">
        <v>4.8899999999999997</v>
      </c>
      <c r="J11" s="255">
        <f>LOOKUP(I11,68:68,69:69)-LOOKUP(C11,68:68,69:69)+100</f>
        <v>104</v>
      </c>
      <c r="K11" s="864">
        <v>2</v>
      </c>
      <c r="L11" s="2142"/>
      <c r="M11" s="2136"/>
      <c r="N11" s="2136"/>
      <c r="O11" s="2143"/>
      <c r="P11" s="3667"/>
      <c r="Q11" s="1151" t="str">
        <f t="shared" si="6"/>
        <v>容积率</v>
      </c>
      <c r="R11" s="1569" t="s">
        <v>11</v>
      </c>
      <c r="S11" s="1570">
        <f t="shared" si="0"/>
        <v>100</v>
      </c>
      <c r="T11" s="1569" t="s">
        <v>11</v>
      </c>
      <c r="U11" s="1570">
        <f t="shared" si="1"/>
        <v>102</v>
      </c>
      <c r="V11" s="1569" t="s">
        <v>11</v>
      </c>
      <c r="W11" s="1570">
        <f t="shared" si="2"/>
        <v>104</v>
      </c>
      <c r="X11" s="1571"/>
      <c r="Y11" s="3613"/>
      <c r="Z11" s="1150" t="str">
        <f t="shared" si="7"/>
        <v>容积率</v>
      </c>
      <c r="AA11" s="1572">
        <f t="shared" si="3"/>
        <v>1</v>
      </c>
      <c r="AB11" s="1572">
        <f t="shared" si="4"/>
        <v>0.98039215686274506</v>
      </c>
      <c r="AC11" s="1572">
        <f t="shared" si="5"/>
        <v>0.96153846153846156</v>
      </c>
    </row>
    <row r="12" spans="1:29" s="1220" customFormat="1" ht="15" hidden="1">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67"/>
      <c r="Q12" s="1151">
        <f t="shared" si="6"/>
        <v>111</v>
      </c>
      <c r="R12" s="1569" t="s">
        <v>11</v>
      </c>
      <c r="S12" s="1570">
        <f t="shared" si="0"/>
        <v>100</v>
      </c>
      <c r="T12" s="1569" t="s">
        <v>11</v>
      </c>
      <c r="U12" s="1570">
        <f t="shared" si="1"/>
        <v>100</v>
      </c>
      <c r="V12" s="1569" t="s">
        <v>11</v>
      </c>
      <c r="W12" s="1570">
        <f t="shared" si="2"/>
        <v>100</v>
      </c>
      <c r="X12" s="1571"/>
      <c r="Y12" s="3613"/>
      <c r="Z12" s="1150">
        <f t="shared" si="7"/>
        <v>111</v>
      </c>
      <c r="AA12" s="1572">
        <f>D12/F12</f>
        <v>1</v>
      </c>
      <c r="AB12" s="1572">
        <f>D12/H12</f>
        <v>1</v>
      </c>
      <c r="AC12" s="1572">
        <f>D12/J12</f>
        <v>1</v>
      </c>
    </row>
    <row r="13" spans="1:29" ht="15" hidden="1">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67"/>
      <c r="Q13" s="1151">
        <f t="shared" si="6"/>
        <v>111</v>
      </c>
      <c r="R13" s="1569" t="s">
        <v>11</v>
      </c>
      <c r="S13" s="1570">
        <f t="shared" si="0"/>
        <v>100</v>
      </c>
      <c r="T13" s="1569" t="s">
        <v>11</v>
      </c>
      <c r="U13" s="1570">
        <f t="shared" si="1"/>
        <v>100</v>
      </c>
      <c r="V13" s="1569" t="s">
        <v>11</v>
      </c>
      <c r="W13" s="1570">
        <f t="shared" si="2"/>
        <v>100</v>
      </c>
      <c r="X13" s="1571"/>
      <c r="Y13" s="3613"/>
      <c r="Z13" s="1150">
        <f t="shared" si="7"/>
        <v>111</v>
      </c>
      <c r="AA13" s="1572">
        <f t="shared" si="3"/>
        <v>1</v>
      </c>
      <c r="AB13" s="1572">
        <f t="shared" si="4"/>
        <v>1</v>
      </c>
      <c r="AC13" s="1572">
        <f t="shared" si="5"/>
        <v>1</v>
      </c>
    </row>
    <row r="14" spans="1:29" ht="15.75" hidden="1"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67"/>
      <c r="Q14" s="1151">
        <f t="shared" si="6"/>
        <v>111</v>
      </c>
      <c r="R14" s="1569" t="s">
        <v>11</v>
      </c>
      <c r="S14" s="1570">
        <f t="shared" si="0"/>
        <v>100</v>
      </c>
      <c r="T14" s="1569" t="s">
        <v>11</v>
      </c>
      <c r="U14" s="1570">
        <f t="shared" si="1"/>
        <v>100</v>
      </c>
      <c r="V14" s="1569" t="s">
        <v>11</v>
      </c>
      <c r="W14" s="1570">
        <f t="shared" si="2"/>
        <v>100</v>
      </c>
      <c r="X14" s="1571"/>
      <c r="Y14" s="3613"/>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702" t="s">
        <v>541</v>
      </c>
      <c r="Q15" s="1573" t="str">
        <f t="shared" si="6"/>
        <v>居住社区成熟度</v>
      </c>
      <c r="R15" s="1574" t="s">
        <v>11</v>
      </c>
      <c r="S15" s="1575">
        <f t="shared" si="0"/>
        <v>100</v>
      </c>
      <c r="T15" s="1574" t="s">
        <v>11</v>
      </c>
      <c r="U15" s="1575">
        <f t="shared" si="1"/>
        <v>100</v>
      </c>
      <c r="V15" s="1574" t="s">
        <v>11</v>
      </c>
      <c r="W15" s="1575">
        <f t="shared" si="2"/>
        <v>100</v>
      </c>
      <c r="X15" s="1568"/>
      <c r="Y15" s="3702" t="s">
        <v>541</v>
      </c>
      <c r="Z15" s="1576" t="str">
        <f t="shared" si="7"/>
        <v>居住社区成熟度</v>
      </c>
      <c r="AA15" s="1577">
        <f t="shared" si="3"/>
        <v>1</v>
      </c>
      <c r="AB15" s="1577">
        <f t="shared" si="4"/>
        <v>1</v>
      </c>
      <c r="AC15" s="1577">
        <f t="shared" si="5"/>
        <v>1</v>
      </c>
    </row>
    <row r="16" spans="1:29" ht="15">
      <c r="A16" s="532"/>
      <c r="B16" s="869"/>
      <c r="C16" s="576" t="s">
        <v>3254</v>
      </c>
      <c r="D16" s="555"/>
      <c r="E16" s="576" t="s">
        <v>3254</v>
      </c>
      <c r="F16" s="557"/>
      <c r="G16" s="576" t="s">
        <v>3254</v>
      </c>
      <c r="H16" s="559"/>
      <c r="I16" s="576" t="s">
        <v>3254</v>
      </c>
      <c r="J16" s="555"/>
      <c r="K16" s="870"/>
      <c r="L16" s="2144"/>
      <c r="M16" s="2136"/>
      <c r="N16" s="2136"/>
      <c r="O16" s="2143"/>
      <c r="P16" s="3703"/>
      <c r="Q16" s="1573"/>
      <c r="R16" s="1574"/>
      <c r="S16" s="1575"/>
      <c r="T16" s="1574"/>
      <c r="U16" s="1575"/>
      <c r="V16" s="1574"/>
      <c r="W16" s="1575"/>
      <c r="X16" s="1568"/>
      <c r="Y16" s="370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703"/>
      <c r="Q17" s="1573" t="str">
        <f>B17</f>
        <v>交通便捷度</v>
      </c>
      <c r="R17" s="1574" t="s">
        <v>11</v>
      </c>
      <c r="S17" s="1575">
        <f>F17</f>
        <v>100</v>
      </c>
      <c r="T17" s="1574" t="s">
        <v>11</v>
      </c>
      <c r="U17" s="1575">
        <f>H17</f>
        <v>100</v>
      </c>
      <c r="V17" s="1574" t="s">
        <v>11</v>
      </c>
      <c r="W17" s="1575">
        <f>J17</f>
        <v>100</v>
      </c>
      <c r="X17" s="1568"/>
      <c r="Y17" s="3703"/>
      <c r="Z17" s="1576" t="str">
        <f>Q17</f>
        <v>交通便捷度</v>
      </c>
      <c r="AA17" s="1577">
        <f t="shared" si="3"/>
        <v>1</v>
      </c>
      <c r="AB17" s="1577">
        <f t="shared" si="4"/>
        <v>1</v>
      </c>
      <c r="AC17" s="1577">
        <f t="shared" si="5"/>
        <v>1</v>
      </c>
    </row>
    <row r="18" spans="1:29" ht="15">
      <c r="A18" s="532"/>
      <c r="B18" s="595"/>
      <c r="C18" s="873" t="s">
        <v>3254</v>
      </c>
      <c r="D18" s="559"/>
      <c r="E18" s="576" t="s">
        <v>3254</v>
      </c>
      <c r="F18" s="563"/>
      <c r="G18" s="576" t="s">
        <v>3254</v>
      </c>
      <c r="H18" s="555"/>
      <c r="I18" s="576" t="s">
        <v>3254</v>
      </c>
      <c r="J18" s="555"/>
      <c r="K18" s="870"/>
      <c r="L18" s="2144"/>
      <c r="M18" s="2136"/>
      <c r="N18" s="2136"/>
      <c r="O18" s="2143"/>
      <c r="P18" s="3703"/>
      <c r="Q18" s="1573"/>
      <c r="R18" s="1574"/>
      <c r="S18" s="1575"/>
      <c r="T18" s="1574"/>
      <c r="U18" s="1575"/>
      <c r="V18" s="1574"/>
      <c r="W18" s="1575"/>
      <c r="X18" s="1568"/>
      <c r="Y18" s="370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703"/>
      <c r="Q19" s="1573" t="str">
        <f>B19</f>
        <v>公共配套设施</v>
      </c>
      <c r="R19" s="1574" t="s">
        <v>11</v>
      </c>
      <c r="S19" s="1575">
        <f>F19</f>
        <v>100</v>
      </c>
      <c r="T19" s="1574" t="s">
        <v>11</v>
      </c>
      <c r="U19" s="1575">
        <f>H19</f>
        <v>100</v>
      </c>
      <c r="V19" s="1574" t="s">
        <v>11</v>
      </c>
      <c r="W19" s="1575">
        <f>J19</f>
        <v>100</v>
      </c>
      <c r="X19" s="1568"/>
      <c r="Y19" s="3703"/>
      <c r="Z19" s="1576" t="str">
        <f>Q19</f>
        <v>公共配套设施</v>
      </c>
      <c r="AA19" s="1577">
        <f t="shared" si="3"/>
        <v>1</v>
      </c>
      <c r="AB19" s="1577">
        <f t="shared" si="4"/>
        <v>1</v>
      </c>
      <c r="AC19" s="1577">
        <f t="shared" si="5"/>
        <v>1</v>
      </c>
    </row>
    <row r="20" spans="1:29" ht="15">
      <c r="A20" s="532"/>
      <c r="B20" s="595"/>
      <c r="C20" s="576" t="s">
        <v>3254</v>
      </c>
      <c r="D20" s="555"/>
      <c r="E20" s="576" t="s">
        <v>3254</v>
      </c>
      <c r="F20" s="557"/>
      <c r="G20" s="576" t="s">
        <v>3254</v>
      </c>
      <c r="H20" s="555"/>
      <c r="I20" s="576" t="s">
        <v>3254</v>
      </c>
      <c r="J20" s="555"/>
      <c r="K20" s="870"/>
      <c r="L20" s="2144"/>
      <c r="M20" s="2136"/>
      <c r="N20" s="2136"/>
      <c r="O20" s="2143"/>
      <c r="P20" s="3703"/>
      <c r="Q20" s="1573"/>
      <c r="R20" s="1574"/>
      <c r="S20" s="1575"/>
      <c r="T20" s="1574"/>
      <c r="U20" s="1575"/>
      <c r="V20" s="1574"/>
      <c r="W20" s="1575"/>
      <c r="X20" s="1568"/>
      <c r="Y20" s="370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703"/>
      <c r="Q21" s="2605" t="str">
        <f>B21</f>
        <v>基础设施水平</v>
      </c>
      <c r="R21" s="1574" t="s">
        <v>11</v>
      </c>
      <c r="S21" s="1575">
        <f>F21</f>
        <v>100</v>
      </c>
      <c r="T21" s="1574" t="s">
        <v>11</v>
      </c>
      <c r="U21" s="1575">
        <f>H21</f>
        <v>100</v>
      </c>
      <c r="V21" s="1574" t="s">
        <v>11</v>
      </c>
      <c r="W21" s="1575">
        <f>J21</f>
        <v>100</v>
      </c>
      <c r="X21" s="2607"/>
      <c r="Y21" s="3703"/>
      <c r="Z21" s="2606" t="str">
        <f>Q21</f>
        <v>基础设施水平</v>
      </c>
      <c r="AA21" s="1577">
        <f t="shared" ref="AA21" si="8">D21/F21</f>
        <v>1</v>
      </c>
      <c r="AB21" s="1577">
        <f t="shared" ref="AB21" si="9">D21/H21</f>
        <v>1</v>
      </c>
      <c r="AC21" s="1577">
        <f t="shared" ref="AC21" si="10">D21/J21</f>
        <v>1</v>
      </c>
    </row>
    <row r="22" spans="1:29" ht="15">
      <c r="A22" s="532"/>
      <c r="B22" s="922"/>
      <c r="C22" s="873" t="s">
        <v>3256</v>
      </c>
      <c r="D22" s="555"/>
      <c r="E22" s="873" t="s">
        <v>3256</v>
      </c>
      <c r="F22" s="557"/>
      <c r="G22" s="873" t="s">
        <v>3256</v>
      </c>
      <c r="H22" s="555"/>
      <c r="I22" s="873" t="s">
        <v>3256</v>
      </c>
      <c r="J22" s="555"/>
      <c r="K22" s="2625"/>
      <c r="L22" s="2144"/>
      <c r="M22" s="2136"/>
      <c r="N22" s="2136"/>
      <c r="O22" s="2143"/>
      <c r="P22" s="3703"/>
      <c r="Q22" s="2605"/>
      <c r="R22" s="1574"/>
      <c r="S22" s="1575"/>
      <c r="T22" s="1574"/>
      <c r="U22" s="1575"/>
      <c r="V22" s="1574"/>
      <c r="W22" s="1575"/>
      <c r="X22" s="2607"/>
      <c r="Y22" s="3703"/>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703"/>
      <c r="Q23" s="1573" t="str">
        <f>B23</f>
        <v>自然及人文环境</v>
      </c>
      <c r="R23" s="1574" t="s">
        <v>11</v>
      </c>
      <c r="S23" s="1575">
        <f>F23</f>
        <v>100</v>
      </c>
      <c r="T23" s="1574" t="s">
        <v>11</v>
      </c>
      <c r="U23" s="1575">
        <f>H23</f>
        <v>100</v>
      </c>
      <c r="V23" s="1574" t="s">
        <v>11</v>
      </c>
      <c r="W23" s="1575">
        <f>J23</f>
        <v>100</v>
      </c>
      <c r="X23" s="1568"/>
      <c r="Y23" s="3703"/>
      <c r="Z23" s="1576" t="str">
        <f>Q23</f>
        <v>自然及人文环境</v>
      </c>
      <c r="AA23" s="1577">
        <f t="shared" si="3"/>
        <v>1</v>
      </c>
      <c r="AB23" s="1577">
        <f t="shared" si="4"/>
        <v>1</v>
      </c>
      <c r="AC23" s="1577">
        <f t="shared" si="5"/>
        <v>1</v>
      </c>
    </row>
    <row r="24" spans="1:29" ht="15">
      <c r="A24" s="532"/>
      <c r="B24" s="595"/>
      <c r="C24" s="576" t="s">
        <v>3254</v>
      </c>
      <c r="D24" s="555"/>
      <c r="E24" s="576" t="s">
        <v>3254</v>
      </c>
      <c r="F24" s="557"/>
      <c r="G24" s="576" t="s">
        <v>3254</v>
      </c>
      <c r="H24" s="555"/>
      <c r="I24" s="576" t="s">
        <v>3254</v>
      </c>
      <c r="J24" s="555"/>
      <c r="K24" s="870"/>
      <c r="L24" s="2144"/>
      <c r="M24" s="2136"/>
      <c r="N24" s="2136"/>
      <c r="O24" s="2143"/>
      <c r="P24" s="3703"/>
      <c r="Q24" s="1573"/>
      <c r="R24" s="1574"/>
      <c r="S24" s="1575"/>
      <c r="T24" s="1574"/>
      <c r="U24" s="1575"/>
      <c r="V24" s="1574"/>
      <c r="W24" s="1575"/>
      <c r="X24" s="1568"/>
      <c r="Y24" s="3703"/>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703"/>
      <c r="Q25" s="1573" t="str">
        <f t="shared" ref="Q25:Q46" si="11">B25</f>
        <v>楼层-1</v>
      </c>
      <c r="R25" s="1574" t="s">
        <v>11</v>
      </c>
      <c r="S25" s="1575">
        <f>F25</f>
        <v>100</v>
      </c>
      <c r="T25" s="1574" t="s">
        <v>11</v>
      </c>
      <c r="U25" s="1575">
        <f>H25</f>
        <v>100</v>
      </c>
      <c r="V25" s="1574" t="s">
        <v>11</v>
      </c>
      <c r="W25" s="1575">
        <f>J25</f>
        <v>100</v>
      </c>
      <c r="X25" s="1568"/>
      <c r="Y25" s="3703"/>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703"/>
      <c r="Q26" s="1573" t="str">
        <f t="shared" si="11"/>
        <v>朝向</v>
      </c>
      <c r="R26" s="1574" t="s">
        <v>11</v>
      </c>
      <c r="S26" s="1575">
        <f>F26</f>
        <v>100</v>
      </c>
      <c r="T26" s="1574" t="s">
        <v>11</v>
      </c>
      <c r="U26" s="1575">
        <f>H26</f>
        <v>100</v>
      </c>
      <c r="V26" s="1574" t="s">
        <v>11</v>
      </c>
      <c r="W26" s="1575">
        <f>J26</f>
        <v>100</v>
      </c>
      <c r="X26" s="1568"/>
      <c r="Y26" s="3703"/>
      <c r="Z26" s="1576" t="str">
        <f>Q26</f>
        <v>朝向</v>
      </c>
      <c r="AA26" s="1577">
        <f t="shared" si="3"/>
        <v>1</v>
      </c>
      <c r="AB26" s="1577">
        <f t="shared" si="4"/>
        <v>1</v>
      </c>
      <c r="AC26" s="1577">
        <f t="shared" si="5"/>
        <v>1</v>
      </c>
    </row>
    <row r="27" spans="1:29" s="1220" customFormat="1" ht="15.75" thickBot="1">
      <c r="A27" s="536"/>
      <c r="B27" s="537" t="s">
        <v>725</v>
      </c>
      <c r="C27" s="3490" t="s">
        <v>3291</v>
      </c>
      <c r="D27" s="875">
        <v>100</v>
      </c>
      <c r="E27" s="3490" t="s">
        <v>3291</v>
      </c>
      <c r="F27" s="876">
        <f>SUMIF(90:90,E27,91:91)-SUMIF(90:90,C27,91:91)+100</f>
        <v>100</v>
      </c>
      <c r="G27" s="3490" t="s">
        <v>3291</v>
      </c>
      <c r="H27" s="875">
        <f>SUMIF(90:90,G27,91:91)-SUMIF(90:90,C27,91:91)+100</f>
        <v>100</v>
      </c>
      <c r="I27" s="3490" t="s">
        <v>3291</v>
      </c>
      <c r="J27" s="875">
        <f>SUMIF(90:90,I27,91:91)-SUMIF(90:90,C27,91:91)+100</f>
        <v>100</v>
      </c>
      <c r="K27" s="865"/>
      <c r="L27" s="2137"/>
      <c r="M27" s="2138"/>
      <c r="N27" s="2138"/>
      <c r="O27" s="2139"/>
      <c r="P27" s="3703"/>
      <c r="Q27" s="1151" t="str">
        <f t="shared" si="11"/>
        <v>道路级别</v>
      </c>
      <c r="R27" s="1569" t="s">
        <v>11</v>
      </c>
      <c r="S27" s="1570">
        <f>F27</f>
        <v>100</v>
      </c>
      <c r="T27" s="1569" t="s">
        <v>11</v>
      </c>
      <c r="U27" s="1570">
        <f>H27</f>
        <v>100</v>
      </c>
      <c r="V27" s="1569" t="s">
        <v>11</v>
      </c>
      <c r="W27" s="1570">
        <f>J27</f>
        <v>100</v>
      </c>
      <c r="X27" s="1571"/>
      <c r="Y27" s="3703"/>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703"/>
      <c r="Q28" s="1573">
        <f t="shared" si="11"/>
        <v>111</v>
      </c>
      <c r="R28" s="1574" t="s">
        <v>11</v>
      </c>
      <c r="S28" s="1575">
        <f t="shared" ref="S28:S46" si="12">F28</f>
        <v>100</v>
      </c>
      <c r="T28" s="1574" t="s">
        <v>11</v>
      </c>
      <c r="U28" s="1575">
        <f t="shared" ref="U28:U46" si="13">H28</f>
        <v>100</v>
      </c>
      <c r="V28" s="1574" t="s">
        <v>11</v>
      </c>
      <c r="W28" s="1575">
        <f t="shared" ref="W28:W46" si="14">J28</f>
        <v>100</v>
      </c>
      <c r="X28" s="1568"/>
      <c r="Y28" s="370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703"/>
      <c r="Q29" s="1573">
        <f t="shared" si="11"/>
        <v>111</v>
      </c>
      <c r="R29" s="1574" t="s">
        <v>11</v>
      </c>
      <c r="S29" s="1575">
        <f t="shared" si="12"/>
        <v>100</v>
      </c>
      <c r="T29" s="1574" t="s">
        <v>11</v>
      </c>
      <c r="U29" s="1575">
        <f t="shared" si="13"/>
        <v>100</v>
      </c>
      <c r="V29" s="1574" t="s">
        <v>11</v>
      </c>
      <c r="W29" s="1575">
        <f t="shared" si="14"/>
        <v>100</v>
      </c>
      <c r="X29" s="1568"/>
      <c r="Y29" s="370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703"/>
      <c r="Q30" s="1573">
        <f t="shared" si="11"/>
        <v>111</v>
      </c>
      <c r="R30" s="1574" t="s">
        <v>11</v>
      </c>
      <c r="S30" s="1575">
        <f t="shared" si="12"/>
        <v>100</v>
      </c>
      <c r="T30" s="1574" t="s">
        <v>11</v>
      </c>
      <c r="U30" s="1575">
        <f t="shared" si="13"/>
        <v>100</v>
      </c>
      <c r="V30" s="1574" t="s">
        <v>11</v>
      </c>
      <c r="W30" s="1575">
        <f t="shared" si="14"/>
        <v>100</v>
      </c>
      <c r="X30" s="1568"/>
      <c r="Y30" s="370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703"/>
      <c r="Q31" s="1573">
        <f t="shared" si="11"/>
        <v>111</v>
      </c>
      <c r="R31" s="1574" t="s">
        <v>11</v>
      </c>
      <c r="S31" s="1575">
        <f t="shared" si="12"/>
        <v>100</v>
      </c>
      <c r="T31" s="1574" t="s">
        <v>11</v>
      </c>
      <c r="U31" s="1575">
        <f t="shared" si="13"/>
        <v>100</v>
      </c>
      <c r="V31" s="1574" t="s">
        <v>11</v>
      </c>
      <c r="W31" s="1575">
        <f t="shared" si="14"/>
        <v>100</v>
      </c>
      <c r="X31" s="1568"/>
      <c r="Y31" s="3703"/>
      <c r="Z31" s="1576">
        <f t="shared" si="15"/>
        <v>111</v>
      </c>
      <c r="AA31" s="1577">
        <f t="shared" si="3"/>
        <v>1</v>
      </c>
      <c r="AB31" s="1577">
        <f t="shared" si="4"/>
        <v>1</v>
      </c>
      <c r="AC31" s="1577">
        <f t="shared" si="5"/>
        <v>1</v>
      </c>
    </row>
    <row r="32" spans="1:29" ht="15">
      <c r="A32" s="2934" t="s">
        <v>2762</v>
      </c>
      <c r="B32" s="172" t="s">
        <v>726</v>
      </c>
      <c r="C32" s="878" t="s">
        <v>3292</v>
      </c>
      <c r="D32" s="597">
        <v>100</v>
      </c>
      <c r="E32" s="879" t="s">
        <v>3294</v>
      </c>
      <c r="F32" s="575">
        <f>SUMIF(100:100,E32,101:101)-SUMIF(100:100,C32,101:101)+100</f>
        <v>95</v>
      </c>
      <c r="G32" s="878" t="s">
        <v>3292</v>
      </c>
      <c r="H32" s="597">
        <f>SUMIF(100:100,G32,101:101)-SUMIF(100:100,C32,101:101)+100</f>
        <v>100</v>
      </c>
      <c r="I32" s="879" t="s">
        <v>3292</v>
      </c>
      <c r="J32" s="540">
        <f>SUMIF(100:100,I32,101:101)-SUMIF(100:100,C32,101:101)+100</f>
        <v>100</v>
      </c>
      <c r="K32" s="864">
        <v>5</v>
      </c>
      <c r="L32" s="2144"/>
      <c r="M32" s="2136"/>
      <c r="N32" s="2136"/>
      <c r="O32" s="2143"/>
      <c r="P32" s="3704" t="s">
        <v>551</v>
      </c>
      <c r="Q32" s="1573" t="str">
        <f t="shared" si="11"/>
        <v>建筑类型</v>
      </c>
      <c r="R32" s="1574" t="s">
        <v>11</v>
      </c>
      <c r="S32" s="1575">
        <f t="shared" si="12"/>
        <v>95</v>
      </c>
      <c r="T32" s="1574" t="s">
        <v>11</v>
      </c>
      <c r="U32" s="1575">
        <f t="shared" si="13"/>
        <v>100</v>
      </c>
      <c r="V32" s="1574" t="s">
        <v>11</v>
      </c>
      <c r="W32" s="1575">
        <f t="shared" si="14"/>
        <v>100</v>
      </c>
      <c r="X32" s="1568"/>
      <c r="Y32" s="3705" t="s">
        <v>551</v>
      </c>
      <c r="Z32" s="1576" t="str">
        <f t="shared" si="15"/>
        <v>建筑类型</v>
      </c>
      <c r="AA32" s="1577">
        <f t="shared" si="3"/>
        <v>1.0526315789473684</v>
      </c>
      <c r="AB32" s="1577">
        <f t="shared" si="4"/>
        <v>1</v>
      </c>
      <c r="AC32" s="1577">
        <f t="shared" si="5"/>
        <v>1</v>
      </c>
    </row>
    <row r="33" spans="1:29" s="1339" customFormat="1" ht="15">
      <c r="A33" s="603"/>
      <c r="B33" s="527" t="s">
        <v>727</v>
      </c>
      <c r="C33" s="880">
        <v>180000</v>
      </c>
      <c r="D33" s="255">
        <v>100</v>
      </c>
      <c r="E33" s="534">
        <v>227897</v>
      </c>
      <c r="F33" s="863">
        <f>LOOKUP(E33,103:103,104:104)-LOOKUP(C33,103:103,104:104)+100</f>
        <v>101</v>
      </c>
      <c r="G33" s="533">
        <v>202574</v>
      </c>
      <c r="H33" s="255">
        <f>LOOKUP(G33,103:103,104:104)-LOOKUP(C33,103:103,104:104)+100</f>
        <v>101</v>
      </c>
      <c r="I33" s="534">
        <v>715000</v>
      </c>
      <c r="J33" s="255">
        <f>LOOKUP(I33,103:103,104:104)-LOOKUP(C33,103:103,104:104)+100</f>
        <v>103</v>
      </c>
      <c r="K33" s="865"/>
      <c r="L33" s="2142"/>
      <c r="M33" s="2173"/>
      <c r="N33" s="2173"/>
      <c r="O33" s="2145"/>
      <c r="P33" s="3705"/>
      <c r="Q33" s="1606" t="str">
        <f t="shared" si="11"/>
        <v>项目建筑规模</v>
      </c>
      <c r="R33" s="1578" t="s">
        <v>11</v>
      </c>
      <c r="S33" s="1579">
        <f t="shared" si="12"/>
        <v>101</v>
      </c>
      <c r="T33" s="1578" t="s">
        <v>11</v>
      </c>
      <c r="U33" s="1579">
        <f t="shared" si="13"/>
        <v>101</v>
      </c>
      <c r="V33" s="1578" t="s">
        <v>11</v>
      </c>
      <c r="W33" s="1579">
        <f t="shared" si="14"/>
        <v>103</v>
      </c>
      <c r="X33" s="1580"/>
      <c r="Y33" s="3705"/>
      <c r="Z33" s="1581" t="str">
        <f t="shared" si="15"/>
        <v>项目建筑规模</v>
      </c>
      <c r="AA33" s="1577">
        <f t="shared" si="3"/>
        <v>0.99009900990099009</v>
      </c>
      <c r="AB33" s="1577">
        <f t="shared" si="4"/>
        <v>0.99009900990099009</v>
      </c>
      <c r="AC33" s="1577">
        <f t="shared" si="5"/>
        <v>0.970873786407767</v>
      </c>
    </row>
    <row r="34" spans="1:29" ht="15">
      <c r="A34" s="594"/>
      <c r="B34" s="527" t="s">
        <v>728</v>
      </c>
      <c r="C34" s="881" t="s">
        <v>3238</v>
      </c>
      <c r="D34" s="540">
        <v>100</v>
      </c>
      <c r="E34" s="881" t="s">
        <v>3238</v>
      </c>
      <c r="F34" s="575">
        <f>SUMIF(105:105,E34,106:106)-SUMIF(105:105,C34,106:106)+100</f>
        <v>100</v>
      </c>
      <c r="G34" s="881" t="s">
        <v>3238</v>
      </c>
      <c r="H34" s="540">
        <f>SUMIF(105:105,G34,106:106)-SUMIF(105:105,C34,106:106)+100</f>
        <v>100</v>
      </c>
      <c r="I34" s="881" t="s">
        <v>3238</v>
      </c>
      <c r="J34" s="540">
        <f>SUMIF(105:105,I34,106:106)-SUMIF(105:105,C34,106:106)+100</f>
        <v>100</v>
      </c>
      <c r="K34" s="864"/>
      <c r="L34" s="2144"/>
      <c r="M34" s="2136"/>
      <c r="N34" s="2136"/>
      <c r="O34" s="2143"/>
      <c r="P34" s="3705"/>
      <c r="Q34" s="1573" t="str">
        <f t="shared" si="11"/>
        <v>建筑结构</v>
      </c>
      <c r="R34" s="1574" t="s">
        <v>11</v>
      </c>
      <c r="S34" s="1575">
        <f t="shared" si="12"/>
        <v>100</v>
      </c>
      <c r="T34" s="1574" t="s">
        <v>11</v>
      </c>
      <c r="U34" s="1575">
        <f t="shared" si="13"/>
        <v>100</v>
      </c>
      <c r="V34" s="1574" t="s">
        <v>11</v>
      </c>
      <c r="W34" s="1575">
        <f t="shared" si="14"/>
        <v>100</v>
      </c>
      <c r="X34" s="1568"/>
      <c r="Y34" s="3705"/>
      <c r="Z34" s="1576" t="str">
        <f t="shared" si="15"/>
        <v>建筑结构</v>
      </c>
      <c r="AA34" s="1577">
        <f t="shared" si="3"/>
        <v>1</v>
      </c>
      <c r="AB34" s="1577">
        <f t="shared" si="4"/>
        <v>1</v>
      </c>
      <c r="AC34" s="1577">
        <f t="shared" si="5"/>
        <v>1</v>
      </c>
    </row>
    <row r="35" spans="1:29" ht="15">
      <c r="A35" s="594"/>
      <c r="B35" s="527" t="s">
        <v>729</v>
      </c>
      <c r="C35" s="599" t="s">
        <v>3306</v>
      </c>
      <c r="D35" s="540">
        <v>100</v>
      </c>
      <c r="E35" s="599" t="s">
        <v>3306</v>
      </c>
      <c r="F35" s="575">
        <f>SUMIF(107:107,E35,108:108)-SUMIF(107:107,C35,108:108)+100</f>
        <v>100</v>
      </c>
      <c r="G35" s="599" t="s">
        <v>3306</v>
      </c>
      <c r="H35" s="540">
        <f>SUMIF(107:107,G35,108:108)-SUMIF(107:107,C35,108:108)+100</f>
        <v>100</v>
      </c>
      <c r="I35" s="599" t="s">
        <v>3306</v>
      </c>
      <c r="J35" s="540">
        <f>SUMIF(107:107,I35,108:108)-SUMIF(107:107,C35,108:108)+100</f>
        <v>100</v>
      </c>
      <c r="K35" s="864"/>
      <c r="L35" s="2144"/>
      <c r="M35" s="2136"/>
      <c r="N35" s="2136"/>
      <c r="O35" s="2143"/>
      <c r="P35" s="3705"/>
      <c r="Q35" s="1573" t="str">
        <f t="shared" si="11"/>
        <v>建筑品质</v>
      </c>
      <c r="R35" s="1574" t="s">
        <v>11</v>
      </c>
      <c r="S35" s="1575">
        <f t="shared" si="12"/>
        <v>100</v>
      </c>
      <c r="T35" s="1574" t="s">
        <v>11</v>
      </c>
      <c r="U35" s="1575">
        <f t="shared" si="13"/>
        <v>100</v>
      </c>
      <c r="V35" s="1574" t="s">
        <v>11</v>
      </c>
      <c r="W35" s="1575">
        <f t="shared" si="14"/>
        <v>100</v>
      </c>
      <c r="X35" s="1568"/>
      <c r="Y35" s="3705"/>
      <c r="Z35" s="1576" t="str">
        <f t="shared" si="15"/>
        <v>建筑品质</v>
      </c>
      <c r="AA35" s="1577">
        <f t="shared" si="3"/>
        <v>1</v>
      </c>
      <c r="AB35" s="1577">
        <f t="shared" si="4"/>
        <v>1</v>
      </c>
      <c r="AC35" s="1577">
        <f t="shared" si="5"/>
        <v>1</v>
      </c>
    </row>
    <row r="36" spans="1:29" ht="15">
      <c r="A36" s="594"/>
      <c r="B36" s="527" t="s">
        <v>730</v>
      </c>
      <c r="C36" s="599" t="s">
        <v>3307</v>
      </c>
      <c r="D36" s="540">
        <v>100</v>
      </c>
      <c r="E36" s="599" t="s">
        <v>3307</v>
      </c>
      <c r="F36" s="575">
        <f>SUMIF(109:109,E36,110:110)-SUMIF(109:109,C36,110:110)+100</f>
        <v>100</v>
      </c>
      <c r="G36" s="599" t="s">
        <v>3307</v>
      </c>
      <c r="H36" s="540">
        <f>SUMIF(109:109,G36,110:110)-SUMIF(109:109,C36,110:110)+100</f>
        <v>100</v>
      </c>
      <c r="I36" s="599" t="s">
        <v>3307</v>
      </c>
      <c r="J36" s="540">
        <f>SUMIF(109:109,I36,110:110)-SUMIF(109:109,C36,110:110)+100</f>
        <v>100</v>
      </c>
      <c r="K36" s="864"/>
      <c r="L36" s="2144"/>
      <c r="M36" s="2136"/>
      <c r="N36" s="2136"/>
      <c r="O36" s="2143"/>
      <c r="P36" s="3705"/>
      <c r="Q36" s="1573" t="str">
        <f t="shared" si="11"/>
        <v>公共部分装修</v>
      </c>
      <c r="R36" s="1574" t="s">
        <v>11</v>
      </c>
      <c r="S36" s="1575">
        <f t="shared" si="12"/>
        <v>100</v>
      </c>
      <c r="T36" s="1574" t="s">
        <v>11</v>
      </c>
      <c r="U36" s="1575">
        <f t="shared" si="13"/>
        <v>100</v>
      </c>
      <c r="V36" s="1574" t="s">
        <v>11</v>
      </c>
      <c r="W36" s="1575">
        <f t="shared" si="14"/>
        <v>100</v>
      </c>
      <c r="X36" s="1568"/>
      <c r="Y36" s="3705"/>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705"/>
      <c r="Q37" s="1151" t="str">
        <f t="shared" si="11"/>
        <v>成新度</v>
      </c>
      <c r="R37" s="1569" t="s">
        <v>11</v>
      </c>
      <c r="S37" s="1570">
        <f t="shared" si="12"/>
        <v>100</v>
      </c>
      <c r="T37" s="1569" t="s">
        <v>11</v>
      </c>
      <c r="U37" s="1570">
        <f t="shared" si="13"/>
        <v>100</v>
      </c>
      <c r="V37" s="1569" t="s">
        <v>11</v>
      </c>
      <c r="W37" s="1570">
        <f t="shared" si="14"/>
        <v>100</v>
      </c>
      <c r="X37" s="1571"/>
      <c r="Y37" s="3705"/>
      <c r="Z37" s="1150" t="str">
        <f t="shared" si="15"/>
        <v>成新度</v>
      </c>
      <c r="AA37" s="1572">
        <f t="shared" si="3"/>
        <v>1</v>
      </c>
      <c r="AB37" s="1572">
        <f t="shared" si="4"/>
        <v>1</v>
      </c>
      <c r="AC37" s="1572">
        <f t="shared" si="5"/>
        <v>1</v>
      </c>
    </row>
    <row r="38" spans="1:29" ht="15">
      <c r="A38" s="594"/>
      <c r="B38" s="527" t="s">
        <v>732</v>
      </c>
      <c r="C38" s="599" t="s">
        <v>3308</v>
      </c>
      <c r="D38" s="540">
        <v>100</v>
      </c>
      <c r="E38" s="599" t="s">
        <v>3308</v>
      </c>
      <c r="F38" s="575">
        <f>SUMIF(114:114,E38,115:115)-SUMIF(114:114,C38,115:115)+100</f>
        <v>100</v>
      </c>
      <c r="G38" s="599" t="s">
        <v>3308</v>
      </c>
      <c r="H38" s="540">
        <f>SUMIF(114:114,G38,115:115)-SUMIF(114:114,C38,115:115)+100</f>
        <v>100</v>
      </c>
      <c r="I38" s="599" t="s">
        <v>3308</v>
      </c>
      <c r="J38" s="540">
        <f>SUMIF(114:114,I38,115:115)-SUMIF(114:114,C38,115:115)+100</f>
        <v>100</v>
      </c>
      <c r="K38" s="864"/>
      <c r="L38" s="2144"/>
      <c r="M38" s="2136"/>
      <c r="N38" s="2136"/>
      <c r="O38" s="2143"/>
      <c r="P38" s="3705" t="s">
        <v>551</v>
      </c>
      <c r="Q38" s="1573" t="str">
        <f t="shared" si="11"/>
        <v>物业管理</v>
      </c>
      <c r="R38" s="1574" t="s">
        <v>11</v>
      </c>
      <c r="S38" s="1575">
        <f t="shared" si="12"/>
        <v>100</v>
      </c>
      <c r="T38" s="1574" t="s">
        <v>11</v>
      </c>
      <c r="U38" s="1575">
        <f t="shared" si="13"/>
        <v>100</v>
      </c>
      <c r="V38" s="1574" t="s">
        <v>11</v>
      </c>
      <c r="W38" s="1575">
        <f t="shared" si="14"/>
        <v>100</v>
      </c>
      <c r="X38" s="1568"/>
      <c r="Y38" s="3705" t="s">
        <v>551</v>
      </c>
      <c r="Z38" s="1576" t="str">
        <f t="shared" si="15"/>
        <v>物业管理</v>
      </c>
      <c r="AA38" s="1577">
        <f t="shared" si="3"/>
        <v>1</v>
      </c>
      <c r="AB38" s="1577">
        <f t="shared" si="4"/>
        <v>1</v>
      </c>
      <c r="AC38" s="1577">
        <f t="shared" si="5"/>
        <v>1</v>
      </c>
    </row>
    <row r="39" spans="1:29" ht="15">
      <c r="A39" s="594"/>
      <c r="B39" s="1897" t="s">
        <v>2571</v>
      </c>
      <c r="C39" s="599" t="s">
        <v>3256</v>
      </c>
      <c r="D39" s="540">
        <v>100</v>
      </c>
      <c r="E39" s="599" t="s">
        <v>3256</v>
      </c>
      <c r="F39" s="575">
        <f>SUMIF(116:116,E39,117:117)-SUMIF(116:116,C39,117:117)+100</f>
        <v>100</v>
      </c>
      <c r="G39" s="599" t="s">
        <v>3256</v>
      </c>
      <c r="H39" s="540">
        <f>SUMIF(116:116,G39,117:117)-SUMIF(116:116,C39,117:117)+100</f>
        <v>100</v>
      </c>
      <c r="I39" s="599" t="s">
        <v>3256</v>
      </c>
      <c r="J39" s="540">
        <f>SUMIF(116:116,I39,117:117)-SUMIF(116:116,C39,117:117)+100</f>
        <v>100</v>
      </c>
      <c r="K39" s="864"/>
      <c r="L39" s="2144"/>
      <c r="M39" s="2136"/>
      <c r="N39" s="2136"/>
      <c r="O39" s="2143"/>
      <c r="P39" s="3705"/>
      <c r="Q39" s="1573" t="str">
        <f t="shared" si="11"/>
        <v>市政基础设施</v>
      </c>
      <c r="R39" s="1574" t="s">
        <v>11</v>
      </c>
      <c r="S39" s="1575">
        <f t="shared" si="12"/>
        <v>100</v>
      </c>
      <c r="T39" s="1574" t="s">
        <v>11</v>
      </c>
      <c r="U39" s="1575">
        <f t="shared" si="13"/>
        <v>100</v>
      </c>
      <c r="V39" s="1574" t="s">
        <v>11</v>
      </c>
      <c r="W39" s="1575">
        <f t="shared" si="14"/>
        <v>100</v>
      </c>
      <c r="X39" s="1568"/>
      <c r="Y39" s="3705"/>
      <c r="Z39" s="1576" t="str">
        <f t="shared" si="15"/>
        <v>市政基础设施</v>
      </c>
      <c r="AA39" s="1577">
        <f t="shared" si="3"/>
        <v>1</v>
      </c>
      <c r="AB39" s="1577">
        <f t="shared" si="4"/>
        <v>1</v>
      </c>
      <c r="AC39" s="1577">
        <f t="shared" si="5"/>
        <v>1</v>
      </c>
    </row>
    <row r="40" spans="1:29" ht="15">
      <c r="A40" s="594"/>
      <c r="B40" s="527" t="s">
        <v>733</v>
      </c>
      <c r="C40" s="599" t="s">
        <v>3309</v>
      </c>
      <c r="D40" s="540">
        <v>100</v>
      </c>
      <c r="E40" s="599" t="s">
        <v>3309</v>
      </c>
      <c r="F40" s="575">
        <f>SUMIF(118:118,E40,119:119)-SUMIF(118:118,C40,119:119)+100</f>
        <v>100</v>
      </c>
      <c r="G40" s="599" t="s">
        <v>3309</v>
      </c>
      <c r="H40" s="540">
        <f>SUMIF(118:118,G40,119:119)-SUMIF(118:118,C40,119:119)+100</f>
        <v>100</v>
      </c>
      <c r="I40" s="599" t="s">
        <v>3309</v>
      </c>
      <c r="J40" s="540">
        <f>SUMIF(118:118,I40,119:119)-SUMIF(118:118,C40,119:119)+100</f>
        <v>100</v>
      </c>
      <c r="K40" s="864"/>
      <c r="L40" s="2144"/>
      <c r="M40" s="2136"/>
      <c r="N40" s="2136"/>
      <c r="O40" s="2143"/>
      <c r="P40" s="3705"/>
      <c r="Q40" s="1573" t="str">
        <f t="shared" si="11"/>
        <v>房型</v>
      </c>
      <c r="R40" s="1574" t="s">
        <v>11</v>
      </c>
      <c r="S40" s="1575">
        <f t="shared" si="12"/>
        <v>100</v>
      </c>
      <c r="T40" s="1574" t="s">
        <v>11</v>
      </c>
      <c r="U40" s="1575">
        <f t="shared" si="13"/>
        <v>100</v>
      </c>
      <c r="V40" s="1574" t="s">
        <v>11</v>
      </c>
      <c r="W40" s="1575">
        <f t="shared" si="14"/>
        <v>100</v>
      </c>
      <c r="X40" s="1568"/>
      <c r="Y40" s="3705"/>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705"/>
      <c r="Q41" s="1606" t="str">
        <f t="shared" si="11"/>
        <v>单套/主力户型建筑面积</v>
      </c>
      <c r="R41" s="1578" t="s">
        <v>11</v>
      </c>
      <c r="S41" s="1579">
        <f t="shared" si="12"/>
        <v>100</v>
      </c>
      <c r="T41" s="1578" t="s">
        <v>11</v>
      </c>
      <c r="U41" s="1579">
        <f t="shared" si="13"/>
        <v>100</v>
      </c>
      <c r="V41" s="1578" t="s">
        <v>11</v>
      </c>
      <c r="W41" s="1579">
        <f t="shared" si="14"/>
        <v>100</v>
      </c>
      <c r="X41" s="1580"/>
      <c r="Y41" s="3705"/>
      <c r="Z41" s="1581" t="str">
        <f t="shared" si="15"/>
        <v>单套/主力户型建筑面积</v>
      </c>
      <c r="AA41" s="1577">
        <f t="shared" si="3"/>
        <v>1</v>
      </c>
      <c r="AB41" s="1577">
        <f t="shared" si="4"/>
        <v>1</v>
      </c>
      <c r="AC41" s="1577">
        <f t="shared" si="5"/>
        <v>1</v>
      </c>
    </row>
    <row r="42" spans="1:29" ht="15">
      <c r="A42" s="594"/>
      <c r="B42" s="527" t="s">
        <v>735</v>
      </c>
      <c r="C42" s="599" t="s">
        <v>3310</v>
      </c>
      <c r="D42" s="540">
        <v>100</v>
      </c>
      <c r="E42" s="599" t="s">
        <v>3310</v>
      </c>
      <c r="F42" s="575">
        <f>SUMIF(122:122,E42,123:123)-SUMIF(122:122,C42,123:123)+100</f>
        <v>100</v>
      </c>
      <c r="G42" s="599" t="s">
        <v>3310</v>
      </c>
      <c r="H42" s="540">
        <f>SUMIF(122:122,G42,123:123)-SUMIF(122:122,C42,123:123)+100</f>
        <v>100</v>
      </c>
      <c r="I42" s="599" t="s">
        <v>3310</v>
      </c>
      <c r="J42" s="540">
        <f>SUMIF(122:122,I42,123:123)-SUMIF(122:122,C42,123:123)+100</f>
        <v>100</v>
      </c>
      <c r="K42" s="864"/>
      <c r="L42" s="2144"/>
      <c r="M42" s="2136"/>
      <c r="N42" s="2136"/>
      <c r="O42" s="2143"/>
      <c r="P42" s="3705"/>
      <c r="Q42" s="1573" t="str">
        <f t="shared" si="11"/>
        <v>内部装修</v>
      </c>
      <c r="R42" s="1574" t="s">
        <v>11</v>
      </c>
      <c r="S42" s="1575">
        <f t="shared" si="12"/>
        <v>100</v>
      </c>
      <c r="T42" s="1574" t="s">
        <v>11</v>
      </c>
      <c r="U42" s="1575">
        <f t="shared" si="13"/>
        <v>100</v>
      </c>
      <c r="V42" s="1574" t="s">
        <v>11</v>
      </c>
      <c r="W42" s="1575">
        <f t="shared" si="14"/>
        <v>100</v>
      </c>
      <c r="X42" s="1568"/>
      <c r="Y42" s="3705"/>
      <c r="Z42" s="1576" t="str">
        <f t="shared" si="15"/>
        <v>内部装修</v>
      </c>
      <c r="AA42" s="1577">
        <f t="shared" si="3"/>
        <v>1</v>
      </c>
      <c r="AB42" s="1577">
        <f t="shared" si="4"/>
        <v>1</v>
      </c>
      <c r="AC42" s="1577">
        <f t="shared" si="5"/>
        <v>1</v>
      </c>
    </row>
    <row r="43" spans="1:29" ht="27.75" thickBot="1">
      <c r="A43" s="594"/>
      <c r="B43" s="527" t="s">
        <v>736</v>
      </c>
      <c r="C43" s="599" t="s">
        <v>3254</v>
      </c>
      <c r="D43" s="540">
        <v>100</v>
      </c>
      <c r="E43" s="599" t="s">
        <v>3254</v>
      </c>
      <c r="F43" s="575">
        <f>SUMIF(124:124,E43,125:125)-SUMIF(124:124,C43,125:125)+100</f>
        <v>100</v>
      </c>
      <c r="G43" s="599" t="s">
        <v>3254</v>
      </c>
      <c r="H43" s="540">
        <f>SUMIF(124:124,G43,125:125)-SUMIF(124:124,C43,125:125)+100</f>
        <v>100</v>
      </c>
      <c r="I43" s="599" t="s">
        <v>3254</v>
      </c>
      <c r="J43" s="540">
        <f>SUMIF(124:124,I43,125:125)-SUMIF(124:124,C43,125:125)+100</f>
        <v>100</v>
      </c>
      <c r="K43" s="864"/>
      <c r="L43" s="2144"/>
      <c r="M43" s="2136"/>
      <c r="N43" s="2136"/>
      <c r="O43" s="2143"/>
      <c r="P43" s="3705"/>
      <c r="Q43" s="1573" t="str">
        <f t="shared" si="11"/>
        <v>内部装修维护情况</v>
      </c>
      <c r="R43" s="1574" t="s">
        <v>11</v>
      </c>
      <c r="S43" s="1575">
        <f t="shared" si="12"/>
        <v>100</v>
      </c>
      <c r="T43" s="1574" t="s">
        <v>11</v>
      </c>
      <c r="U43" s="1575">
        <f t="shared" si="13"/>
        <v>100</v>
      </c>
      <c r="V43" s="1574" t="s">
        <v>11</v>
      </c>
      <c r="W43" s="1575">
        <f t="shared" si="14"/>
        <v>100</v>
      </c>
      <c r="X43" s="1568"/>
      <c r="Y43" s="370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705"/>
      <c r="Q44" s="1151">
        <f t="shared" si="11"/>
        <v>111</v>
      </c>
      <c r="R44" s="1569" t="s">
        <v>11</v>
      </c>
      <c r="S44" s="1570">
        <f t="shared" si="12"/>
        <v>100</v>
      </c>
      <c r="T44" s="1569" t="s">
        <v>11</v>
      </c>
      <c r="U44" s="1570">
        <f t="shared" si="13"/>
        <v>100</v>
      </c>
      <c r="V44" s="1569" t="s">
        <v>11</v>
      </c>
      <c r="W44" s="1570">
        <f t="shared" si="14"/>
        <v>100</v>
      </c>
      <c r="X44" s="1571"/>
      <c r="Y44" s="370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705"/>
      <c r="Q45" s="1573">
        <f t="shared" si="11"/>
        <v>111</v>
      </c>
      <c r="R45" s="1574" t="s">
        <v>11</v>
      </c>
      <c r="S45" s="1575">
        <f t="shared" si="12"/>
        <v>100</v>
      </c>
      <c r="T45" s="1574" t="s">
        <v>11</v>
      </c>
      <c r="U45" s="1575">
        <f t="shared" si="13"/>
        <v>100</v>
      </c>
      <c r="V45" s="1574" t="s">
        <v>11</v>
      </c>
      <c r="W45" s="1575">
        <f t="shared" si="14"/>
        <v>100</v>
      </c>
      <c r="X45" s="1568"/>
      <c r="Y45" s="370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2"/>
      <c r="Q46" s="1573">
        <f t="shared" si="11"/>
        <v>111</v>
      </c>
      <c r="R46" s="1574" t="s">
        <v>10</v>
      </c>
      <c r="S46" s="1575">
        <f t="shared" si="12"/>
        <v>100</v>
      </c>
      <c r="T46" s="1574" t="s">
        <v>10</v>
      </c>
      <c r="U46" s="1575">
        <f t="shared" si="13"/>
        <v>100</v>
      </c>
      <c r="V46" s="1574" t="s">
        <v>10</v>
      </c>
      <c r="W46" s="1575">
        <f t="shared" si="14"/>
        <v>100</v>
      </c>
      <c r="X46" s="1568"/>
      <c r="Y46" s="3782"/>
      <c r="Z46" s="1576">
        <f t="shared" si="15"/>
        <v>111</v>
      </c>
      <c r="AA46" s="1577">
        <f t="shared" si="3"/>
        <v>1</v>
      </c>
      <c r="AB46" s="1577">
        <f t="shared" si="4"/>
        <v>1</v>
      </c>
      <c r="AC46" s="1577">
        <f t="shared" si="5"/>
        <v>1</v>
      </c>
    </row>
    <row r="47" spans="1:29" ht="15">
      <c r="A47" s="607" t="s">
        <v>737</v>
      </c>
      <c r="B47" s="887"/>
      <c r="C47" s="2653" t="s">
        <v>9</v>
      </c>
      <c r="D47" s="2654"/>
      <c r="E47" s="2655">
        <v>31500</v>
      </c>
      <c r="F47" s="2656"/>
      <c r="G47" s="2657">
        <v>34000</v>
      </c>
      <c r="H47" s="2658"/>
      <c r="I47" s="2655">
        <v>35000</v>
      </c>
      <c r="J47" s="2658"/>
      <c r="K47" s="1607"/>
      <c r="L47" s="2146"/>
      <c r="M47" s="2147"/>
      <c r="N47" s="2136"/>
      <c r="O47" s="2147"/>
      <c r="P47" s="3667" t="str">
        <f>A47</f>
        <v>成交单价（元/平方米）</v>
      </c>
      <c r="Q47" s="3667"/>
      <c r="R47" s="3781">
        <f>E47</f>
        <v>31500</v>
      </c>
      <c r="S47" s="3781"/>
      <c r="T47" s="3781">
        <f>G47</f>
        <v>34000</v>
      </c>
      <c r="U47" s="3781"/>
      <c r="V47" s="3781">
        <f>I47</f>
        <v>35000</v>
      </c>
      <c r="W47" s="3781"/>
      <c r="X47" s="1560"/>
      <c r="Y47" s="1582"/>
      <c r="Z47" s="1560"/>
      <c r="AA47" s="1560"/>
      <c r="AB47" s="1560"/>
      <c r="AC47" s="1560"/>
    </row>
    <row r="48" spans="1:29" ht="15.75" thickBot="1">
      <c r="A48" s="615" t="s">
        <v>2767</v>
      </c>
      <c r="B48" s="888"/>
      <c r="C48" s="2659">
        <f>R49</f>
        <v>33411</v>
      </c>
      <c r="D48" s="2660"/>
      <c r="E48" s="2661">
        <f>R48</f>
        <v>34557</v>
      </c>
      <c r="F48" s="2661"/>
      <c r="G48" s="2659">
        <f>T48</f>
        <v>33003</v>
      </c>
      <c r="H48" s="2660"/>
      <c r="I48" s="2661">
        <f>V48</f>
        <v>32674</v>
      </c>
      <c r="J48" s="2660"/>
      <c r="K48" s="1608"/>
      <c r="L48" s="2146"/>
      <c r="M48" s="2147"/>
      <c r="N48" s="2147"/>
      <c r="O48" s="2147"/>
      <c r="P48" s="3667" t="str">
        <f>A48</f>
        <v>比较价格（元/平方米）</v>
      </c>
      <c r="Q48" s="3667"/>
      <c r="R48" s="3781">
        <f>IF(F1="售价",ROUND(PRODUCT(R47,AA7:AA46),0),ROUND(PRODUCT(R47,AA7:AA46),1))</f>
        <v>34557</v>
      </c>
      <c r="S48" s="3781"/>
      <c r="T48" s="3781">
        <f>IF(F1="售价",ROUND(PRODUCT(T47,AB7:AB46),0),ROUND(PRODUCT(T47,AB7:AB46),1))</f>
        <v>33003</v>
      </c>
      <c r="U48" s="3781"/>
      <c r="V48" s="3781">
        <f>IF(F1="售价",ROUND(PRODUCT(V47,AC7:AC46),0),ROUND(PRODUCT(V47,AC7:AC46),1))</f>
        <v>32674</v>
      </c>
      <c r="W48" s="3781"/>
      <c r="X48" s="1560"/>
      <c r="Y48" s="1560"/>
      <c r="Z48" s="1560"/>
      <c r="AA48" s="1560"/>
      <c r="AB48" s="1560"/>
      <c r="AC48" s="1560"/>
    </row>
    <row r="49" spans="1:29" ht="15.75" thickBot="1">
      <c r="A49" s="621" t="s">
        <v>2943</v>
      </c>
      <c r="B49" s="622"/>
      <c r="C49" s="2662">
        <f>R49</f>
        <v>33411</v>
      </c>
      <c r="D49" s="2662"/>
      <c r="E49" s="2662"/>
      <c r="F49" s="2662"/>
      <c r="G49" s="2662"/>
      <c r="H49" s="2662"/>
      <c r="I49" s="2662"/>
      <c r="J49" s="2662"/>
      <c r="K49" s="1609"/>
      <c r="L49" s="2146"/>
      <c r="M49" s="2147"/>
      <c r="N49" s="2147"/>
      <c r="O49" s="2147"/>
      <c r="P49" s="3664" t="str">
        <f>A49</f>
        <v>估价对象XX用房的比较价格（楼面单价，元/平方米）</v>
      </c>
      <c r="Q49" s="3665"/>
      <c r="R49" s="3780">
        <f>IF(F1="售价",ROUND(AVERAGE(R48:V48),0),ROUND(AVERAGE(R48:V48),1))</f>
        <v>33411</v>
      </c>
      <c r="S49" s="3780"/>
      <c r="T49" s="3780"/>
      <c r="U49" s="3780"/>
      <c r="V49" s="3780"/>
      <c r="W49" s="37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9.7047619047619049E-2</v>
      </c>
      <c r="F52" s="627" t="str">
        <f>IF(OR(E52&gt;=0.3,E52&lt;=-0.3),"超过30%","")</f>
        <v/>
      </c>
      <c r="G52" s="626">
        <f>IF(G47&lt;G48,G48/G47-1,G47/G48-1)</f>
        <v>3.0209374905311615E-2</v>
      </c>
      <c r="H52" s="627" t="str">
        <f>IF(OR(G52&gt;=0.3,G52&lt;=-0.3),"超过30%","")</f>
        <v/>
      </c>
      <c r="I52" s="626">
        <f>IF(I47&lt;I48,I48/I47-1,I47/I48-1)</f>
        <v>7.1188100630470652E-2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4.7086628488319349E-2</v>
      </c>
      <c r="F53" s="627" t="str">
        <f>IF(OR(E53&gt;=0.2,E53&lt;=-0.2),"超过20%","")</f>
        <v/>
      </c>
      <c r="G53" s="626">
        <f>IF(G48&lt;I48,I48/G48-1,G48/I48-1)</f>
        <v>1.0069168145926399E-2</v>
      </c>
      <c r="H53" s="627" t="str">
        <f>IF(OR(G53&gt;=0.2,G53&lt;=-0.2),"超过20%","")</f>
        <v/>
      </c>
      <c r="I53" s="626">
        <f>IF(I48&lt;E48,E48/I48-1,I48/E48-1)</f>
        <v>5.7629919813919406E-2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7.9365079365079305E-2</v>
      </c>
      <c r="F54" s="627" t="str">
        <f>IF(OR(E54&gt;=0.3,E54&lt;=-0.3),"超过30%","")</f>
        <v/>
      </c>
      <c r="G54" s="626">
        <f>IF(G47&lt;I47,I47/G47-1,G47/I47-1)</f>
        <v>2.9411764705882248E-2</v>
      </c>
      <c r="H54" s="627" t="str">
        <f>IF(OR(G54&gt;=0.3,G54&lt;=-0.3),"超过30%","")</f>
        <v/>
      </c>
      <c r="I54" s="626">
        <f>IF(I47&lt;E47,E47/I47-1,I47/E47-1)</f>
        <v>0.11111111111111116</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2（含）-4</v>
      </c>
      <c r="D67" s="682" t="str">
        <f t="shared" ref="D67:L67" si="18">D68&amp;"（含）"&amp;"-"&amp;E68</f>
        <v>4（含）-6</v>
      </c>
      <c r="E67" s="682" t="str">
        <f t="shared" si="18"/>
        <v>6（含）-8</v>
      </c>
      <c r="F67" s="682" t="str">
        <f t="shared" si="18"/>
        <v>8（含）-10</v>
      </c>
      <c r="G67" s="682" t="str">
        <f t="shared" si="18"/>
        <v>10（含）-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2</v>
      </c>
      <c r="D68" s="541">
        <v>4</v>
      </c>
      <c r="E68" s="541">
        <v>6</v>
      </c>
      <c r="F68" s="541">
        <v>8</v>
      </c>
      <c r="G68" s="541">
        <v>10</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8" t="s">
        <v>3293</v>
      </c>
      <c r="D100" s="3488" t="s">
        <v>3295</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484" t="s">
        <v>3296</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485" t="s">
        <v>3297</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484" t="s">
        <v>3298</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484" t="s">
        <v>3299</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484" t="s">
        <v>3300</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485" t="s">
        <v>3301</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485" t="s">
        <v>3302</v>
      </c>
      <c r="D122" s="3484" t="s">
        <v>3303</v>
      </c>
      <c r="E122" s="3484" t="s">
        <v>3304</v>
      </c>
      <c r="F122" s="3485" t="s">
        <v>3305</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73" t="s">
        <v>523</v>
      </c>
      <c r="D4" s="3674"/>
      <c r="E4" s="3708" t="s">
        <v>524</v>
      </c>
      <c r="F4" s="3709"/>
      <c r="G4" s="3673" t="s">
        <v>525</v>
      </c>
      <c r="H4" s="3674"/>
      <c r="I4" s="3673" t="s">
        <v>526</v>
      </c>
      <c r="J4" s="3674"/>
      <c r="K4" s="514" t="s">
        <v>527</v>
      </c>
      <c r="L4" s="2135"/>
      <c r="M4" s="2136"/>
      <c r="N4" s="2136"/>
      <c r="O4" s="2136"/>
      <c r="P4" s="3675" t="s">
        <v>528</v>
      </c>
      <c r="Q4" s="3676"/>
      <c r="R4" s="3681" t="s">
        <v>524</v>
      </c>
      <c r="S4" s="3682"/>
      <c r="T4" s="3681" t="s">
        <v>525</v>
      </c>
      <c r="U4" s="3682"/>
      <c r="V4" s="3668" t="s">
        <v>526</v>
      </c>
      <c r="W4" s="3668"/>
      <c r="X4" s="1568"/>
      <c r="Y4" s="3681" t="s">
        <v>528</v>
      </c>
      <c r="Z4" s="3682"/>
      <c r="AA4" s="3670" t="s">
        <v>524</v>
      </c>
      <c r="AB4" s="3668" t="s">
        <v>525</v>
      </c>
      <c r="AC4" s="3670" t="s">
        <v>526</v>
      </c>
    </row>
    <row r="5" spans="1:29" ht="15">
      <c r="A5" s="515"/>
      <c r="B5" s="516"/>
      <c r="C5" s="3689" t="s">
        <v>2937</v>
      </c>
      <c r="D5" s="3690"/>
      <c r="E5" s="3710" t="s">
        <v>2938</v>
      </c>
      <c r="F5" s="3711"/>
      <c r="G5" s="3689" t="s">
        <v>2939</v>
      </c>
      <c r="H5" s="3690"/>
      <c r="I5" s="3689" t="s">
        <v>2940</v>
      </c>
      <c r="J5" s="3690"/>
      <c r="K5" s="514"/>
      <c r="L5" s="2135"/>
      <c r="M5" s="2136"/>
      <c r="N5" s="2136"/>
      <c r="O5" s="2136"/>
      <c r="P5" s="3677"/>
      <c r="Q5" s="3678"/>
      <c r="R5" s="3683"/>
      <c r="S5" s="3684"/>
      <c r="T5" s="3683"/>
      <c r="U5" s="3684"/>
      <c r="V5" s="3668"/>
      <c r="W5" s="3668"/>
      <c r="X5" s="1568"/>
      <c r="Y5" s="3683"/>
      <c r="Z5" s="3684"/>
      <c r="AA5" s="3671"/>
      <c r="AB5" s="3668"/>
      <c r="AC5" s="3671"/>
    </row>
    <row r="6" spans="1:29" ht="15.75" thickBot="1">
      <c r="A6" s="517"/>
      <c r="B6" s="518"/>
      <c r="C6" s="3687" t="s">
        <v>2941</v>
      </c>
      <c r="D6" s="3688"/>
      <c r="E6" s="3706" t="s">
        <v>2941</v>
      </c>
      <c r="F6" s="3707"/>
      <c r="G6" s="3687" t="s">
        <v>2941</v>
      </c>
      <c r="H6" s="3688"/>
      <c r="I6" s="3687" t="s">
        <v>2941</v>
      </c>
      <c r="J6" s="3688"/>
      <c r="K6" s="514" t="s">
        <v>529</v>
      </c>
      <c r="L6" s="2135"/>
      <c r="M6" s="2136"/>
      <c r="N6" s="2136"/>
      <c r="O6" s="2136"/>
      <c r="P6" s="3679"/>
      <c r="Q6" s="3680"/>
      <c r="R6" s="3683"/>
      <c r="S6" s="3684"/>
      <c r="T6" s="3685"/>
      <c r="U6" s="3686"/>
      <c r="V6" s="3668"/>
      <c r="W6" s="3668"/>
      <c r="X6" s="1568"/>
      <c r="Y6" s="3685"/>
      <c r="Z6" s="3686"/>
      <c r="AA6" s="3672"/>
      <c r="AB6" s="3668"/>
      <c r="AC6" s="3672"/>
    </row>
    <row r="7" spans="1:29" s="1220" customFormat="1" ht="15.75" thickBot="1">
      <c r="A7" s="2939"/>
      <c r="B7" s="2946" t="s">
        <v>530</v>
      </c>
      <c r="C7" s="519">
        <f>'数据-取费表'!B2</f>
        <v>43117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99" t="s">
        <v>531</v>
      </c>
      <c r="Q7" s="3701"/>
      <c r="R7" s="1569" t="s">
        <v>8</v>
      </c>
      <c r="S7" s="1570">
        <f t="shared" ref="S7:S15" si="0">F7</f>
        <v>0</v>
      </c>
      <c r="T7" s="1569" t="s">
        <v>8</v>
      </c>
      <c r="U7" s="1570">
        <f t="shared" ref="U7:U15" si="1">H7</f>
        <v>0</v>
      </c>
      <c r="V7" s="1569" t="s">
        <v>8</v>
      </c>
      <c r="W7" s="1570">
        <f t="shared" ref="W7:W15" si="2">J7</f>
        <v>0</v>
      </c>
      <c r="X7" s="1571"/>
      <c r="Y7" s="3699" t="s">
        <v>531</v>
      </c>
      <c r="Z7" s="3700"/>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99" t="s">
        <v>534</v>
      </c>
      <c r="Q8" s="3700"/>
      <c r="R8" s="1569" t="s">
        <v>8</v>
      </c>
      <c r="S8" s="1570">
        <f t="shared" si="0"/>
        <v>0</v>
      </c>
      <c r="T8" s="1569" t="s">
        <v>8</v>
      </c>
      <c r="U8" s="1570">
        <f t="shared" si="1"/>
        <v>0</v>
      </c>
      <c r="V8" s="1569" t="s">
        <v>8</v>
      </c>
      <c r="W8" s="1570">
        <f t="shared" si="2"/>
        <v>0</v>
      </c>
      <c r="X8" s="1571"/>
      <c r="Y8" s="3699" t="s">
        <v>534</v>
      </c>
      <c r="Z8" s="3700"/>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67"/>
      <c r="Q11" s="1151" t="str">
        <f t="shared" si="6"/>
        <v>容积率</v>
      </c>
      <c r="R11" s="1569" t="s">
        <v>8</v>
      </c>
      <c r="S11" s="1570" t="e">
        <f t="shared" si="0"/>
        <v>#N/A</v>
      </c>
      <c r="T11" s="1569" t="s">
        <v>8</v>
      </c>
      <c r="U11" s="1570" t="e">
        <f t="shared" si="1"/>
        <v>#N/A</v>
      </c>
      <c r="V11" s="1569" t="s">
        <v>8</v>
      </c>
      <c r="W11" s="1570" t="e">
        <f t="shared" si="2"/>
        <v>#N/A</v>
      </c>
      <c r="X11" s="1571"/>
      <c r="Y11" s="3613"/>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702" t="s">
        <v>541</v>
      </c>
      <c r="Q15" s="1573" t="str">
        <f t="shared" si="6"/>
        <v>商业繁华度</v>
      </c>
      <c r="R15" s="1574" t="s">
        <v>8</v>
      </c>
      <c r="S15" s="1575">
        <f t="shared" si="0"/>
        <v>100</v>
      </c>
      <c r="T15" s="1574" t="s">
        <v>8</v>
      </c>
      <c r="U15" s="1575">
        <f t="shared" si="1"/>
        <v>100</v>
      </c>
      <c r="V15" s="1574" t="s">
        <v>8</v>
      </c>
      <c r="W15" s="1575">
        <f t="shared" si="2"/>
        <v>100</v>
      </c>
      <c r="X15" s="1568"/>
      <c r="Y15" s="3702"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3"/>
      <c r="Q16" s="1573"/>
      <c r="R16" s="1574"/>
      <c r="S16" s="1575"/>
      <c r="T16" s="1574"/>
      <c r="U16" s="1575"/>
      <c r="V16" s="1574"/>
      <c r="W16" s="1575"/>
      <c r="X16" s="1568"/>
      <c r="Y16" s="370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703"/>
      <c r="Q17" s="1573" t="str">
        <f>B17</f>
        <v>交通便捷度</v>
      </c>
      <c r="R17" s="1574" t="s">
        <v>8</v>
      </c>
      <c r="S17" s="1575">
        <f>F17</f>
        <v>100</v>
      </c>
      <c r="T17" s="1574" t="s">
        <v>8</v>
      </c>
      <c r="U17" s="1575">
        <f>H17</f>
        <v>100</v>
      </c>
      <c r="V17" s="1574" t="s">
        <v>8</v>
      </c>
      <c r="W17" s="1575">
        <f>J17</f>
        <v>100</v>
      </c>
      <c r="X17" s="1568"/>
      <c r="Y17" s="37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3"/>
      <c r="Q18" s="1573"/>
      <c r="R18" s="1574"/>
      <c r="S18" s="1575"/>
      <c r="T18" s="1574"/>
      <c r="U18" s="1575"/>
      <c r="V18" s="1574"/>
      <c r="W18" s="1575"/>
      <c r="X18" s="1568"/>
      <c r="Y18" s="370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703"/>
      <c r="Q19" s="1573" t="str">
        <f>B19</f>
        <v>公共配套设施</v>
      </c>
      <c r="R19" s="1574" t="s">
        <v>8</v>
      </c>
      <c r="S19" s="1575">
        <f>F19</f>
        <v>100</v>
      </c>
      <c r="T19" s="1574" t="s">
        <v>8</v>
      </c>
      <c r="U19" s="1575">
        <f>H19</f>
        <v>100</v>
      </c>
      <c r="V19" s="1574" t="s">
        <v>8</v>
      </c>
      <c r="W19" s="1575">
        <f>J19</f>
        <v>100</v>
      </c>
      <c r="X19" s="1568"/>
      <c r="Y19" s="370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703"/>
      <c r="Q20" s="1573"/>
      <c r="R20" s="1574"/>
      <c r="S20" s="1575"/>
      <c r="T20" s="1574"/>
      <c r="U20" s="1575"/>
      <c r="V20" s="1574"/>
      <c r="W20" s="1575"/>
      <c r="X20" s="1568"/>
      <c r="Y20" s="370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703"/>
      <c r="Q21" s="2605" t="str">
        <f>B21</f>
        <v>基础设施水平</v>
      </c>
      <c r="R21" s="1574" t="s">
        <v>8</v>
      </c>
      <c r="S21" s="1575">
        <f>F21</f>
        <v>100</v>
      </c>
      <c r="T21" s="1574" t="s">
        <v>8</v>
      </c>
      <c r="U21" s="1575">
        <f>H21</f>
        <v>100</v>
      </c>
      <c r="V21" s="1574" t="s">
        <v>8</v>
      </c>
      <c r="W21" s="1575">
        <f>J21</f>
        <v>100</v>
      </c>
      <c r="X21" s="2607"/>
      <c r="Y21" s="370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703"/>
      <c r="Q22" s="2605"/>
      <c r="R22" s="1574"/>
      <c r="S22" s="1575"/>
      <c r="T22" s="1574"/>
      <c r="U22" s="1575"/>
      <c r="V22" s="1574"/>
      <c r="W22" s="1575"/>
      <c r="X22" s="2607"/>
      <c r="Y22" s="3703"/>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703"/>
      <c r="Q23" s="1573" t="str">
        <f>B23</f>
        <v>自然及人文环境</v>
      </c>
      <c r="R23" s="1574" t="s">
        <v>8</v>
      </c>
      <c r="S23" s="1575">
        <f>F23</f>
        <v>100</v>
      </c>
      <c r="T23" s="1574" t="s">
        <v>8</v>
      </c>
      <c r="U23" s="1575">
        <f>H23</f>
        <v>100</v>
      </c>
      <c r="V23" s="1574" t="s">
        <v>8</v>
      </c>
      <c r="W23" s="1575">
        <f>J23</f>
        <v>100</v>
      </c>
      <c r="X23" s="1568"/>
      <c r="Y23" s="370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703"/>
      <c r="Q24" s="1573"/>
      <c r="R24" s="1574"/>
      <c r="S24" s="1575"/>
      <c r="T24" s="1574"/>
      <c r="U24" s="1575"/>
      <c r="V24" s="1574"/>
      <c r="W24" s="1575"/>
      <c r="X24" s="1568"/>
      <c r="Y24" s="3703"/>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703"/>
      <c r="Q25" s="1573" t="str">
        <f t="shared" ref="Q25:Q46" si="11">B25</f>
        <v>临街状况</v>
      </c>
      <c r="R25" s="1574" t="s">
        <v>8</v>
      </c>
      <c r="S25" s="1575">
        <f>F25</f>
        <v>100</v>
      </c>
      <c r="T25" s="1574" t="s">
        <v>8</v>
      </c>
      <c r="U25" s="1575">
        <f>H25</f>
        <v>100</v>
      </c>
      <c r="V25" s="1574" t="s">
        <v>8</v>
      </c>
      <c r="W25" s="1575">
        <f>J25</f>
        <v>100</v>
      </c>
      <c r="X25" s="1568"/>
      <c r="Y25" s="3703"/>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703"/>
      <c r="Q26" s="1573" t="str">
        <f t="shared" si="11"/>
        <v>平面位置/可视性</v>
      </c>
      <c r="R26" s="1574" t="s">
        <v>8</v>
      </c>
      <c r="S26" s="1575">
        <f>F26</f>
        <v>100</v>
      </c>
      <c r="T26" s="1574" t="s">
        <v>8</v>
      </c>
      <c r="U26" s="1575">
        <f>H26</f>
        <v>100</v>
      </c>
      <c r="V26" s="1574" t="s">
        <v>8</v>
      </c>
      <c r="W26" s="1575">
        <f>J26</f>
        <v>100</v>
      </c>
      <c r="X26" s="1568"/>
      <c r="Y26" s="3703"/>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703"/>
      <c r="Q27" s="1151" t="str">
        <f t="shared" si="11"/>
        <v>人流量</v>
      </c>
      <c r="R27" s="1569" t="s">
        <v>8</v>
      </c>
      <c r="S27" s="1570">
        <f>F27</f>
        <v>100</v>
      </c>
      <c r="T27" s="1569" t="s">
        <v>8</v>
      </c>
      <c r="U27" s="1570">
        <f>H27</f>
        <v>100</v>
      </c>
      <c r="V27" s="1569" t="s">
        <v>8</v>
      </c>
      <c r="W27" s="1570">
        <f>J27</f>
        <v>100</v>
      </c>
      <c r="X27" s="1571"/>
      <c r="Y27" s="3703"/>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70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0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703"/>
      <c r="Q29" s="1573">
        <f t="shared" si="11"/>
        <v>111</v>
      </c>
      <c r="R29" s="1574" t="s">
        <v>8</v>
      </c>
      <c r="S29" s="1575">
        <f t="shared" si="12"/>
        <v>100</v>
      </c>
      <c r="T29" s="1574" t="s">
        <v>8</v>
      </c>
      <c r="U29" s="1575">
        <f t="shared" si="13"/>
        <v>100</v>
      </c>
      <c r="V29" s="1574" t="s">
        <v>8</v>
      </c>
      <c r="W29" s="1575">
        <f t="shared" si="14"/>
        <v>100</v>
      </c>
      <c r="X29" s="1568"/>
      <c r="Y29" s="370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703"/>
      <c r="Q30" s="1573">
        <f t="shared" si="11"/>
        <v>111</v>
      </c>
      <c r="R30" s="1574" t="s">
        <v>8</v>
      </c>
      <c r="S30" s="1575">
        <f t="shared" si="12"/>
        <v>100</v>
      </c>
      <c r="T30" s="1574" t="s">
        <v>8</v>
      </c>
      <c r="U30" s="1575">
        <f t="shared" si="13"/>
        <v>100</v>
      </c>
      <c r="V30" s="1574" t="s">
        <v>8</v>
      </c>
      <c r="W30" s="1575">
        <f t="shared" si="14"/>
        <v>100</v>
      </c>
      <c r="X30" s="1568"/>
      <c r="Y30" s="370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703"/>
      <c r="Q31" s="1573">
        <f t="shared" si="11"/>
        <v>111</v>
      </c>
      <c r="R31" s="1574" t="s">
        <v>8</v>
      </c>
      <c r="S31" s="1575">
        <f t="shared" si="12"/>
        <v>100</v>
      </c>
      <c r="T31" s="1574" t="s">
        <v>8</v>
      </c>
      <c r="U31" s="1575">
        <f t="shared" si="13"/>
        <v>100</v>
      </c>
      <c r="V31" s="1574" t="s">
        <v>8</v>
      </c>
      <c r="W31" s="1575">
        <f t="shared" si="14"/>
        <v>100</v>
      </c>
      <c r="X31" s="1568"/>
      <c r="Y31" s="3703"/>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704" t="s">
        <v>551</v>
      </c>
      <c r="Q32" s="1573" t="str">
        <f t="shared" si="11"/>
        <v>商业类型</v>
      </c>
      <c r="R32" s="1574" t="s">
        <v>8</v>
      </c>
      <c r="S32" s="1575">
        <f t="shared" si="12"/>
        <v>100</v>
      </c>
      <c r="T32" s="1574" t="s">
        <v>8</v>
      </c>
      <c r="U32" s="1575">
        <f t="shared" si="13"/>
        <v>100</v>
      </c>
      <c r="V32" s="1574" t="s">
        <v>8</v>
      </c>
      <c r="W32" s="1575">
        <f t="shared" si="14"/>
        <v>100</v>
      </c>
      <c r="X32" s="1568"/>
      <c r="Y32" s="3705"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705"/>
      <c r="Q33" s="1606" t="str">
        <f t="shared" si="11"/>
        <v>项目建筑规模</v>
      </c>
      <c r="R33" s="1578" t="s">
        <v>8</v>
      </c>
      <c r="S33" s="1579" t="e">
        <f t="shared" si="12"/>
        <v>#N/A</v>
      </c>
      <c r="T33" s="1578" t="s">
        <v>8</v>
      </c>
      <c r="U33" s="1579" t="e">
        <f t="shared" si="13"/>
        <v>#N/A</v>
      </c>
      <c r="V33" s="1578" t="s">
        <v>8</v>
      </c>
      <c r="W33" s="1579" t="e">
        <f t="shared" si="14"/>
        <v>#N/A</v>
      </c>
      <c r="X33" s="1580"/>
      <c r="Y33" s="370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705"/>
      <c r="Q34" s="1573" t="str">
        <f t="shared" si="11"/>
        <v>建筑结构</v>
      </c>
      <c r="R34" s="1574" t="s">
        <v>8</v>
      </c>
      <c r="S34" s="1575">
        <f t="shared" si="12"/>
        <v>100</v>
      </c>
      <c r="T34" s="1574" t="s">
        <v>8</v>
      </c>
      <c r="U34" s="1575">
        <f t="shared" si="13"/>
        <v>100</v>
      </c>
      <c r="V34" s="1574" t="s">
        <v>8</v>
      </c>
      <c r="W34" s="1575">
        <f t="shared" si="14"/>
        <v>100</v>
      </c>
      <c r="X34" s="1568"/>
      <c r="Y34" s="3705"/>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705"/>
      <c r="Q35" s="1573" t="str">
        <f t="shared" si="11"/>
        <v>公共部分装修</v>
      </c>
      <c r="R35" s="1574" t="s">
        <v>8</v>
      </c>
      <c r="S35" s="1575">
        <f t="shared" si="12"/>
        <v>100</v>
      </c>
      <c r="T35" s="1574" t="s">
        <v>8</v>
      </c>
      <c r="U35" s="1575">
        <f t="shared" si="13"/>
        <v>100</v>
      </c>
      <c r="V35" s="1574" t="s">
        <v>8</v>
      </c>
      <c r="W35" s="1575">
        <f t="shared" si="14"/>
        <v>100</v>
      </c>
      <c r="X35" s="1568"/>
      <c r="Y35" s="3705"/>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705"/>
      <c r="Q36" s="1573" t="str">
        <f t="shared" si="11"/>
        <v>成新度</v>
      </c>
      <c r="R36" s="1574" t="s">
        <v>8</v>
      </c>
      <c r="S36" s="1575" t="e">
        <f t="shared" si="12"/>
        <v>#N/A</v>
      </c>
      <c r="T36" s="1574" t="s">
        <v>8</v>
      </c>
      <c r="U36" s="1575" t="e">
        <f t="shared" si="13"/>
        <v>#N/A</v>
      </c>
      <c r="V36" s="1574" t="s">
        <v>8</v>
      </c>
      <c r="W36" s="1575" t="e">
        <f t="shared" si="14"/>
        <v>#N/A</v>
      </c>
      <c r="X36" s="1568"/>
      <c r="Y36" s="3705"/>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705"/>
      <c r="Q37" s="1151" t="str">
        <f t="shared" si="11"/>
        <v>市政基础设施</v>
      </c>
      <c r="R37" s="1569" t="s">
        <v>8</v>
      </c>
      <c r="S37" s="1570">
        <f t="shared" si="12"/>
        <v>100</v>
      </c>
      <c r="T37" s="1569" t="s">
        <v>8</v>
      </c>
      <c r="U37" s="1570">
        <f t="shared" si="13"/>
        <v>100</v>
      </c>
      <c r="V37" s="1569" t="s">
        <v>8</v>
      </c>
      <c r="W37" s="1570">
        <f t="shared" si="14"/>
        <v>100</v>
      </c>
      <c r="X37" s="1571"/>
      <c r="Y37" s="3705"/>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705" t="s">
        <v>767</v>
      </c>
      <c r="Q38" s="1573" t="str">
        <f t="shared" si="11"/>
        <v>业态</v>
      </c>
      <c r="R38" s="1574" t="s">
        <v>8</v>
      </c>
      <c r="S38" s="1575">
        <f t="shared" si="12"/>
        <v>100</v>
      </c>
      <c r="T38" s="1574" t="s">
        <v>8</v>
      </c>
      <c r="U38" s="1575">
        <f t="shared" si="13"/>
        <v>100</v>
      </c>
      <c r="V38" s="1574" t="s">
        <v>8</v>
      </c>
      <c r="W38" s="1575">
        <f t="shared" si="14"/>
        <v>100</v>
      </c>
      <c r="X38" s="1568"/>
      <c r="Y38" s="3705"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705"/>
      <c r="Q39" s="1573" t="str">
        <f t="shared" si="11"/>
        <v>层高</v>
      </c>
      <c r="R39" s="1574" t="s">
        <v>8</v>
      </c>
      <c r="S39" s="1575">
        <f t="shared" si="12"/>
        <v>100</v>
      </c>
      <c r="T39" s="1574" t="s">
        <v>8</v>
      </c>
      <c r="U39" s="1575">
        <f t="shared" si="13"/>
        <v>100</v>
      </c>
      <c r="V39" s="1574" t="s">
        <v>8</v>
      </c>
      <c r="W39" s="1575">
        <f t="shared" si="14"/>
        <v>100</v>
      </c>
      <c r="X39" s="1568"/>
      <c r="Y39" s="3705"/>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705"/>
      <c r="Q40" s="1573" t="str">
        <f t="shared" si="11"/>
        <v>单套建筑面积</v>
      </c>
      <c r="R40" s="1574" t="s">
        <v>8</v>
      </c>
      <c r="S40" s="1575">
        <f t="shared" si="12"/>
        <v>100</v>
      </c>
      <c r="T40" s="1574" t="s">
        <v>8</v>
      </c>
      <c r="U40" s="1575">
        <f t="shared" si="13"/>
        <v>100</v>
      </c>
      <c r="V40" s="1574" t="s">
        <v>8</v>
      </c>
      <c r="W40" s="1575">
        <f t="shared" si="14"/>
        <v>100</v>
      </c>
      <c r="X40" s="1568"/>
      <c r="Y40" s="3705"/>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705"/>
      <c r="Q41" s="1606" t="str">
        <f t="shared" si="11"/>
        <v>进深比</v>
      </c>
      <c r="R41" s="1578" t="s">
        <v>8</v>
      </c>
      <c r="S41" s="1579">
        <f t="shared" si="12"/>
        <v>100</v>
      </c>
      <c r="T41" s="1578" t="s">
        <v>8</v>
      </c>
      <c r="U41" s="1579">
        <f t="shared" si="13"/>
        <v>100</v>
      </c>
      <c r="V41" s="1578" t="s">
        <v>8</v>
      </c>
      <c r="W41" s="1579">
        <f t="shared" si="14"/>
        <v>100</v>
      </c>
      <c r="X41" s="1580"/>
      <c r="Y41" s="3705"/>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705"/>
      <c r="Q42" s="1573" t="str">
        <f t="shared" si="11"/>
        <v>内部装修</v>
      </c>
      <c r="R42" s="1574" t="s">
        <v>8</v>
      </c>
      <c r="S42" s="1575">
        <f t="shared" si="12"/>
        <v>100</v>
      </c>
      <c r="T42" s="1574" t="s">
        <v>8</v>
      </c>
      <c r="U42" s="1575">
        <f t="shared" si="13"/>
        <v>100</v>
      </c>
      <c r="V42" s="1574" t="s">
        <v>8</v>
      </c>
      <c r="W42" s="1575">
        <f t="shared" si="14"/>
        <v>100</v>
      </c>
      <c r="X42" s="1568"/>
      <c r="Y42" s="3705"/>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705"/>
      <c r="Q43" s="1573" t="str">
        <f t="shared" si="11"/>
        <v>内部装修维护情况</v>
      </c>
      <c r="R43" s="1574" t="s">
        <v>8</v>
      </c>
      <c r="S43" s="1575">
        <f t="shared" si="12"/>
        <v>100</v>
      </c>
      <c r="T43" s="1574" t="s">
        <v>8</v>
      </c>
      <c r="U43" s="1575">
        <f t="shared" si="13"/>
        <v>100</v>
      </c>
      <c r="V43" s="1574" t="s">
        <v>8</v>
      </c>
      <c r="W43" s="1575">
        <f t="shared" si="14"/>
        <v>100</v>
      </c>
      <c r="X43" s="1568"/>
      <c r="Y43" s="370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705"/>
      <c r="Q44" s="1151">
        <f t="shared" si="11"/>
        <v>111</v>
      </c>
      <c r="R44" s="1569" t="s">
        <v>8</v>
      </c>
      <c r="S44" s="1570">
        <f t="shared" si="12"/>
        <v>100</v>
      </c>
      <c r="T44" s="1569" t="s">
        <v>8</v>
      </c>
      <c r="U44" s="1570">
        <f t="shared" si="13"/>
        <v>100</v>
      </c>
      <c r="V44" s="1569" t="s">
        <v>8</v>
      </c>
      <c r="W44" s="1570">
        <f t="shared" si="14"/>
        <v>100</v>
      </c>
      <c r="X44" s="1571"/>
      <c r="Y44" s="370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705"/>
      <c r="Q45" s="1573">
        <f t="shared" si="11"/>
        <v>111</v>
      </c>
      <c r="R45" s="1574" t="s">
        <v>8</v>
      </c>
      <c r="S45" s="1575">
        <f t="shared" si="12"/>
        <v>100</v>
      </c>
      <c r="T45" s="1574" t="s">
        <v>8</v>
      </c>
      <c r="U45" s="1575">
        <f t="shared" si="13"/>
        <v>100</v>
      </c>
      <c r="V45" s="1574" t="s">
        <v>8</v>
      </c>
      <c r="W45" s="1575">
        <f t="shared" si="14"/>
        <v>100</v>
      </c>
      <c r="X45" s="1568"/>
      <c r="Y45" s="370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2"/>
      <c r="Q46" s="1573">
        <f t="shared" si="11"/>
        <v>111</v>
      </c>
      <c r="R46" s="1574" t="s">
        <v>8</v>
      </c>
      <c r="S46" s="1575">
        <f t="shared" si="12"/>
        <v>100</v>
      </c>
      <c r="T46" s="1574" t="s">
        <v>8</v>
      </c>
      <c r="U46" s="1575">
        <f t="shared" si="13"/>
        <v>100</v>
      </c>
      <c r="V46" s="1574" t="s">
        <v>8</v>
      </c>
      <c r="W46" s="1575">
        <f t="shared" si="14"/>
        <v>100</v>
      </c>
      <c r="X46" s="1568"/>
      <c r="Y46" s="3782"/>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67" t="str">
        <f>A47</f>
        <v>成交单价（元/平方米）</v>
      </c>
      <c r="Q47" s="3667"/>
      <c r="R47" s="3781">
        <f>E47</f>
        <v>0</v>
      </c>
      <c r="S47" s="3781"/>
      <c r="T47" s="3781">
        <f>G47</f>
        <v>0</v>
      </c>
      <c r="U47" s="3781"/>
      <c r="V47" s="3781">
        <f>I47</f>
        <v>0</v>
      </c>
      <c r="W47" s="3781"/>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67" t="str">
        <f>A48</f>
        <v>比较价格（元/平方米）</v>
      </c>
      <c r="Q48" s="3667"/>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560"/>
      <c r="Y48" s="1560"/>
      <c r="Z48" s="1560"/>
      <c r="AA48" s="1560"/>
      <c r="AB48" s="1560"/>
      <c r="AC48" s="1560"/>
    </row>
    <row r="49" spans="1:29" ht="15.75" thickBot="1">
      <c r="A49" s="621" t="s">
        <v>2943</v>
      </c>
      <c r="B49" s="622"/>
      <c r="C49" s="2662" t="e">
        <f>R49</f>
        <v>#DIV/0!</v>
      </c>
      <c r="D49" s="2662"/>
      <c r="E49" s="2662"/>
      <c r="F49" s="2662"/>
      <c r="G49" s="2662"/>
      <c r="H49" s="2662"/>
      <c r="I49" s="2662"/>
      <c r="J49" s="2662"/>
      <c r="K49" s="1614"/>
      <c r="L49" s="2146"/>
      <c r="M49" s="2147"/>
      <c r="N49" s="2136"/>
      <c r="O49" s="2147"/>
      <c r="P49" s="3664" t="str">
        <f>A49</f>
        <v>估价对象XX用房的比较价格（楼面单价，元/平方米）</v>
      </c>
      <c r="Q49" s="3665"/>
      <c r="R49" s="3780" t="e">
        <f>IF(F1="售价",ROUND(AVERAGE(R48:V48),0),ROUND(AVERAGE(R48:V48),1))</f>
        <v>#DIV/0!</v>
      </c>
      <c r="S49" s="3780"/>
      <c r="T49" s="3780"/>
      <c r="U49" s="3780"/>
      <c r="V49" s="3780"/>
      <c r="W49" s="37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3" zoomScale="80" zoomScaleNormal="80" workbookViewId="0">
      <selection activeCell="C105" sqref="C105:G10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t="s">
        <v>1679</v>
      </c>
      <c r="E1" s="506"/>
      <c r="F1" s="2834" t="s">
        <v>3279</v>
      </c>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216832</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f>C50</f>
        <v>30976</v>
      </c>
      <c r="C3" s="852" t="s">
        <v>723</v>
      </c>
      <c r="D3" s="851">
        <f>SUMIF('数据-汇总表'!$C19:$C33,D1,'数据-汇总表'!$E19:$E33)</f>
        <v>70000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73" t="s">
        <v>523</v>
      </c>
      <c r="D4" s="3674"/>
      <c r="E4" s="3708" t="s">
        <v>524</v>
      </c>
      <c r="F4" s="3709"/>
      <c r="G4" s="3673" t="s">
        <v>525</v>
      </c>
      <c r="H4" s="3674"/>
      <c r="I4" s="3673" t="s">
        <v>526</v>
      </c>
      <c r="J4" s="3674"/>
      <c r="K4" s="514" t="s">
        <v>527</v>
      </c>
      <c r="L4" s="2135"/>
      <c r="M4" s="2136"/>
      <c r="N4" s="2136"/>
      <c r="O4" s="2136"/>
      <c r="P4" s="3784" t="s">
        <v>528</v>
      </c>
      <c r="Q4" s="3676"/>
      <c r="R4" s="3681" t="s">
        <v>524</v>
      </c>
      <c r="S4" s="3682"/>
      <c r="T4" s="3681" t="s">
        <v>525</v>
      </c>
      <c r="U4" s="3682"/>
      <c r="V4" s="3668" t="s">
        <v>526</v>
      </c>
      <c r="W4" s="3668"/>
      <c r="X4" s="1568"/>
      <c r="Y4" s="3681" t="s">
        <v>528</v>
      </c>
      <c r="Z4" s="3682"/>
      <c r="AA4" s="3670" t="s">
        <v>524</v>
      </c>
      <c r="AB4" s="3670" t="s">
        <v>525</v>
      </c>
      <c r="AC4" s="3670" t="s">
        <v>526</v>
      </c>
    </row>
    <row r="5" spans="1:29" ht="15">
      <c r="A5" s="515"/>
      <c r="B5" s="516"/>
      <c r="C5" s="3689" t="s">
        <v>3311</v>
      </c>
      <c r="D5" s="3690"/>
      <c r="E5" s="3710" t="s">
        <v>3312</v>
      </c>
      <c r="F5" s="3711"/>
      <c r="G5" s="3689" t="s">
        <v>3313</v>
      </c>
      <c r="H5" s="3690"/>
      <c r="I5" s="3689" t="s">
        <v>3314</v>
      </c>
      <c r="J5" s="3690"/>
      <c r="K5" s="514"/>
      <c r="L5" s="2135"/>
      <c r="M5" s="2136"/>
      <c r="N5" s="2136"/>
      <c r="O5" s="2136"/>
      <c r="P5" s="3785"/>
      <c r="Q5" s="3678"/>
      <c r="R5" s="3683"/>
      <c r="S5" s="3684"/>
      <c r="T5" s="3683"/>
      <c r="U5" s="3684"/>
      <c r="V5" s="3668"/>
      <c r="W5" s="3668"/>
      <c r="X5" s="1568"/>
      <c r="Y5" s="3683"/>
      <c r="Z5" s="3684"/>
      <c r="AA5" s="3671"/>
      <c r="AB5" s="3671"/>
      <c r="AC5" s="3671"/>
    </row>
    <row r="6" spans="1:29" ht="42.75" customHeight="1" thickBot="1">
      <c r="A6" s="517"/>
      <c r="B6" s="518"/>
      <c r="C6" s="3687" t="s">
        <v>3220</v>
      </c>
      <c r="D6" s="3688"/>
      <c r="E6" s="3706" t="s">
        <v>3315</v>
      </c>
      <c r="F6" s="3707"/>
      <c r="G6" s="3687" t="s">
        <v>3316</v>
      </c>
      <c r="H6" s="3688"/>
      <c r="I6" s="3687" t="s">
        <v>3317</v>
      </c>
      <c r="J6" s="3688"/>
      <c r="K6" s="514" t="s">
        <v>529</v>
      </c>
      <c r="L6" s="2135"/>
      <c r="M6" s="2136"/>
      <c r="N6" s="2136"/>
      <c r="O6" s="2136"/>
      <c r="P6" s="3786"/>
      <c r="Q6" s="3680"/>
      <c r="R6" s="3683"/>
      <c r="S6" s="3684"/>
      <c r="T6" s="3685"/>
      <c r="U6" s="3686"/>
      <c r="V6" s="3668"/>
      <c r="W6" s="3668"/>
      <c r="X6" s="1568"/>
      <c r="Y6" s="3685"/>
      <c r="Z6" s="3686"/>
      <c r="AA6" s="3672"/>
      <c r="AB6" s="3672"/>
      <c r="AC6" s="3672"/>
    </row>
    <row r="7" spans="1:29" s="1220" customFormat="1" ht="15.75" thickBot="1">
      <c r="A7" s="2939"/>
      <c r="B7" s="2946" t="s">
        <v>530</v>
      </c>
      <c r="C7" s="519">
        <f>'数据-取费表'!B2</f>
        <v>43117</v>
      </c>
      <c r="D7" s="520">
        <v>100</v>
      </c>
      <c r="E7" s="521">
        <f>C7</f>
        <v>43117</v>
      </c>
      <c r="F7" s="522">
        <f>SUMIF(59:59,YEAR(E7)&amp;"-"&amp;MONTH(E7),60:60)</f>
        <v>100</v>
      </c>
      <c r="G7" s="521">
        <f>C7</f>
        <v>43117</v>
      </c>
      <c r="H7" s="520">
        <f>SUMIF(59:59,YEAR(G7)&amp;"-"&amp;MONTH(G7),60:60)</f>
        <v>100</v>
      </c>
      <c r="I7" s="521">
        <f>C7</f>
        <v>43117</v>
      </c>
      <c r="J7" s="520">
        <f>SUMIF(59:59,YEAR(I7)&amp;"-"&amp;MONTH(I7),60:60)</f>
        <v>100</v>
      </c>
      <c r="K7" s="524"/>
      <c r="L7" s="2137"/>
      <c r="M7" s="2138"/>
      <c r="N7" s="2138"/>
      <c r="O7" s="2138"/>
      <c r="P7" s="3701" t="s">
        <v>531</v>
      </c>
      <c r="Q7" s="3701"/>
      <c r="R7" s="1569" t="s">
        <v>8</v>
      </c>
      <c r="S7" s="1570">
        <f t="shared" ref="S7:S15" si="0">F7</f>
        <v>100</v>
      </c>
      <c r="T7" s="1569" t="s">
        <v>8</v>
      </c>
      <c r="U7" s="1570">
        <f t="shared" ref="U7:U15" si="1">H7</f>
        <v>100</v>
      </c>
      <c r="V7" s="1569" t="s">
        <v>8</v>
      </c>
      <c r="W7" s="1570">
        <f t="shared" ref="W7:W15" si="2">J7</f>
        <v>100</v>
      </c>
      <c r="X7" s="1571"/>
      <c r="Y7" s="3699" t="s">
        <v>531</v>
      </c>
      <c r="Z7" s="3700"/>
      <c r="AA7" s="1572">
        <f>D7/F7</f>
        <v>1</v>
      </c>
      <c r="AB7" s="1572">
        <f>D7/H7</f>
        <v>1</v>
      </c>
      <c r="AC7" s="1572">
        <f>D7/J7</f>
        <v>1</v>
      </c>
    </row>
    <row r="8" spans="1:29" s="1220" customFormat="1" ht="15.75" thickBot="1">
      <c r="A8" s="2940"/>
      <c r="B8" s="2947" t="s">
        <v>532</v>
      </c>
      <c r="C8" s="525" t="s">
        <v>3318</v>
      </c>
      <c r="D8" s="520">
        <v>100</v>
      </c>
      <c r="E8" s="525" t="s">
        <v>3250</v>
      </c>
      <c r="F8" s="522">
        <f>SUMIF(62:62,E8,63:63)-SUMIF(62:62,C8,63:63)+100</f>
        <v>100</v>
      </c>
      <c r="G8" s="525" t="s">
        <v>3250</v>
      </c>
      <c r="H8" s="520">
        <f>SUMIF(62:62,G8,63:63)-SUMIF(62:62,C8,63:63)+100</f>
        <v>100</v>
      </c>
      <c r="I8" s="525" t="s">
        <v>3250</v>
      </c>
      <c r="J8" s="520">
        <f>SUMIF(62:62,I8,63:63)-SUMIF(62:62,C8,63:63)+100</f>
        <v>100</v>
      </c>
      <c r="K8" s="524"/>
      <c r="L8" s="2137"/>
      <c r="M8" s="2138"/>
      <c r="N8" s="2138"/>
      <c r="O8" s="2138"/>
      <c r="P8" s="3701" t="s">
        <v>534</v>
      </c>
      <c r="Q8" s="3700"/>
      <c r="R8" s="1569" t="s">
        <v>8</v>
      </c>
      <c r="S8" s="1570">
        <f t="shared" si="0"/>
        <v>100</v>
      </c>
      <c r="T8" s="1569" t="s">
        <v>8</v>
      </c>
      <c r="U8" s="1570">
        <f t="shared" si="1"/>
        <v>100</v>
      </c>
      <c r="V8" s="1569" t="s">
        <v>8</v>
      </c>
      <c r="W8" s="1570">
        <f t="shared" si="2"/>
        <v>100</v>
      </c>
      <c r="X8" s="1571"/>
      <c r="Y8" s="3699" t="s">
        <v>534</v>
      </c>
      <c r="Z8" s="3700"/>
      <c r="AA8" s="1572">
        <f t="shared" ref="AA8:AA47" si="3">D8/F8</f>
        <v>1</v>
      </c>
      <c r="AB8" s="1572">
        <f t="shared" ref="AB8:AB47" si="4">D8/H8</f>
        <v>1</v>
      </c>
      <c r="AC8" s="1572">
        <f t="shared" ref="AC8:AC47" si="5">D8/J8</f>
        <v>1</v>
      </c>
    </row>
    <row r="9" spans="1:29" s="1220" customFormat="1" ht="15">
      <c r="A9" s="2941"/>
      <c r="B9" s="2948" t="s">
        <v>2763</v>
      </c>
      <c r="C9" s="3489" t="s">
        <v>3319</v>
      </c>
      <c r="D9" s="254">
        <v>100</v>
      </c>
      <c r="E9" s="3489" t="s">
        <v>3319</v>
      </c>
      <c r="F9" s="254">
        <f>SUMIF(64:64,E9,65:65)-SUMIF(64:64,C9,65:65)+100</f>
        <v>100</v>
      </c>
      <c r="G9" s="3489" t="s">
        <v>3319</v>
      </c>
      <c r="H9" s="254">
        <f>SUMIF(64:64,G9,65:65)-SUMIF(64:64,C9,65:65)+100</f>
        <v>100</v>
      </c>
      <c r="I9" s="3489" t="s">
        <v>3319</v>
      </c>
      <c r="J9" s="254">
        <f>SUMIF(64:64,I9,65:65)-SUMIF(64:64,C9,65:65)+100</f>
        <v>100</v>
      </c>
      <c r="K9" s="524"/>
      <c r="L9" s="2137"/>
      <c r="M9" s="2138"/>
      <c r="N9" s="2138"/>
      <c r="O9" s="2138"/>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2"/>
      <c r="B10" s="2947" t="s">
        <v>2764</v>
      </c>
      <c r="C10" s="861" t="s">
        <v>3320</v>
      </c>
      <c r="D10" s="255">
        <v>100</v>
      </c>
      <c r="E10" s="861" t="s">
        <v>3320</v>
      </c>
      <c r="F10" s="255">
        <f>SUMIF(66:66,E10,67:67)-SUMIF(66:66,C10,67:67)+100</f>
        <v>100</v>
      </c>
      <c r="G10" s="862" t="s">
        <v>3320</v>
      </c>
      <c r="H10" s="255">
        <f>SUMIF(66:66,G10,67:67)-SUMIF(66:66,C10,67:67)+100</f>
        <v>100</v>
      </c>
      <c r="I10" s="861" t="s">
        <v>3320</v>
      </c>
      <c r="J10" s="255">
        <f>SUMIF(66:66,I10,67:67)-SUMIF(66:66,C10,67:67)+100</f>
        <v>100</v>
      </c>
      <c r="K10" s="584"/>
      <c r="L10" s="2140"/>
      <c r="M10" s="2180"/>
      <c r="N10" s="2180"/>
      <c r="O10" s="2180"/>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75" thickBot="1">
      <c r="A11" s="2943"/>
      <c r="B11" s="2947" t="s">
        <v>2765</v>
      </c>
      <c r="C11" s="533">
        <f>'[2]不动产比较法-住宅'!C11</f>
        <v>9.4</v>
      </c>
      <c r="D11" s="255">
        <v>100</v>
      </c>
      <c r="E11" s="533">
        <v>6</v>
      </c>
      <c r="F11" s="255">
        <f>LOOKUP(E11,69:69,70:70)-LOOKUP(C11,69:69,70:70)+100</f>
        <v>102</v>
      </c>
      <c r="G11" s="534">
        <v>4.7</v>
      </c>
      <c r="H11" s="255">
        <f>LOOKUP(G11,69:69,70:70)-LOOKUP(C11,69:69,70:70)+100</f>
        <v>104</v>
      </c>
      <c r="I11" s="533">
        <v>7.41</v>
      </c>
      <c r="J11" s="255">
        <f>LOOKUP(I11,69:69,70:70)-LOOKUP(C11,69:69,70:70)+100</f>
        <v>102</v>
      </c>
      <c r="K11" s="584">
        <v>2</v>
      </c>
      <c r="L11" s="2142"/>
      <c r="M11" s="2136"/>
      <c r="N11" s="2136"/>
      <c r="O11" s="2136"/>
      <c r="P11" s="3667"/>
      <c r="Q11" s="1151" t="str">
        <f t="shared" si="6"/>
        <v>容积率</v>
      </c>
      <c r="R11" s="1569" t="s">
        <v>8</v>
      </c>
      <c r="S11" s="1570">
        <f t="shared" si="0"/>
        <v>102</v>
      </c>
      <c r="T11" s="1569" t="s">
        <v>8</v>
      </c>
      <c r="U11" s="1570">
        <f t="shared" si="1"/>
        <v>104</v>
      </c>
      <c r="V11" s="1569" t="s">
        <v>8</v>
      </c>
      <c r="W11" s="1570">
        <f t="shared" si="2"/>
        <v>102</v>
      </c>
      <c r="X11" s="1571"/>
      <c r="Y11" s="3613"/>
      <c r="Z11" s="1150" t="str">
        <f t="shared" si="7"/>
        <v>容积率</v>
      </c>
      <c r="AA11" s="1572">
        <f t="shared" si="3"/>
        <v>0.98039215686274506</v>
      </c>
      <c r="AB11" s="1572">
        <f t="shared" si="4"/>
        <v>0.96153846153846156</v>
      </c>
      <c r="AC11" s="1572">
        <f t="shared" si="5"/>
        <v>0.98039215686274506</v>
      </c>
    </row>
    <row r="12" spans="1:29" s="1220" customFormat="1" ht="15" hidden="1">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hidden="1">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hidden="1"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v>3</v>
      </c>
      <c r="L15" s="2144"/>
      <c r="M15" s="2136"/>
      <c r="N15" s="2136"/>
      <c r="O15" s="2136"/>
      <c r="P15" s="3702" t="s">
        <v>541</v>
      </c>
      <c r="Q15" s="1573" t="str">
        <f t="shared" si="6"/>
        <v>办公集聚程度</v>
      </c>
      <c r="R15" s="1574" t="s">
        <v>8</v>
      </c>
      <c r="S15" s="1575">
        <f t="shared" si="0"/>
        <v>100</v>
      </c>
      <c r="T15" s="1574" t="s">
        <v>8</v>
      </c>
      <c r="U15" s="1575">
        <f t="shared" si="1"/>
        <v>100</v>
      </c>
      <c r="V15" s="1574" t="s">
        <v>8</v>
      </c>
      <c r="W15" s="1575">
        <f t="shared" si="2"/>
        <v>100</v>
      </c>
      <c r="X15" s="1568"/>
      <c r="Y15" s="3702" t="s">
        <v>541</v>
      </c>
      <c r="Z15" s="1576" t="str">
        <f t="shared" si="7"/>
        <v>办公集聚程度</v>
      </c>
      <c r="AA15" s="1577">
        <f t="shared" si="3"/>
        <v>1</v>
      </c>
      <c r="AB15" s="1577">
        <f t="shared" si="4"/>
        <v>1</v>
      </c>
      <c r="AC15" s="1577">
        <f t="shared" si="5"/>
        <v>1</v>
      </c>
    </row>
    <row r="16" spans="1:29" ht="15">
      <c r="A16" s="532"/>
      <c r="B16" s="553"/>
      <c r="C16" s="554" t="s">
        <v>3254</v>
      </c>
      <c r="D16" s="555"/>
      <c r="E16" s="554" t="s">
        <v>3254</v>
      </c>
      <c r="F16" s="555"/>
      <c r="G16" s="554" t="s">
        <v>3254</v>
      </c>
      <c r="H16" s="559"/>
      <c r="I16" s="554" t="s">
        <v>3254</v>
      </c>
      <c r="J16" s="555"/>
      <c r="K16" s="899"/>
      <c r="L16" s="2144"/>
      <c r="M16" s="2136"/>
      <c r="N16" s="2136"/>
      <c r="O16" s="2136"/>
      <c r="P16" s="3703"/>
      <c r="Q16" s="1573"/>
      <c r="R16" s="1574"/>
      <c r="S16" s="1575"/>
      <c r="T16" s="1574"/>
      <c r="U16" s="1575"/>
      <c r="V16" s="1574"/>
      <c r="W16" s="1575"/>
      <c r="X16" s="1568"/>
      <c r="Y16" s="370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v>3</v>
      </c>
      <c r="L17" s="2144"/>
      <c r="M17" s="2136"/>
      <c r="N17" s="2136"/>
      <c r="O17" s="2136"/>
      <c r="P17" s="3703"/>
      <c r="Q17" s="1573" t="str">
        <f>B17</f>
        <v>交通便捷度</v>
      </c>
      <c r="R17" s="1574" t="s">
        <v>8</v>
      </c>
      <c r="S17" s="1575">
        <f>F17</f>
        <v>100</v>
      </c>
      <c r="T17" s="1574" t="s">
        <v>8</v>
      </c>
      <c r="U17" s="1575">
        <f>H17</f>
        <v>100</v>
      </c>
      <c r="V17" s="1574" t="s">
        <v>8</v>
      </c>
      <c r="W17" s="1575">
        <f>J17</f>
        <v>100</v>
      </c>
      <c r="X17" s="1568"/>
      <c r="Y17" s="3703"/>
      <c r="Z17" s="1576" t="str">
        <f>Q17</f>
        <v>交通便捷度</v>
      </c>
      <c r="AA17" s="1577">
        <f t="shared" si="3"/>
        <v>1</v>
      </c>
      <c r="AB17" s="1577">
        <f t="shared" si="4"/>
        <v>1</v>
      </c>
      <c r="AC17" s="1577">
        <f t="shared" si="5"/>
        <v>1</v>
      </c>
    </row>
    <row r="18" spans="1:29" ht="15">
      <c r="A18" s="532"/>
      <c r="B18" s="566"/>
      <c r="C18" s="554" t="s">
        <v>3254</v>
      </c>
      <c r="D18" s="559"/>
      <c r="E18" s="554" t="s">
        <v>3254</v>
      </c>
      <c r="F18" s="559"/>
      <c r="G18" s="554" t="s">
        <v>3254</v>
      </c>
      <c r="H18" s="555"/>
      <c r="I18" s="554" t="s">
        <v>3254</v>
      </c>
      <c r="J18" s="555"/>
      <c r="K18" s="899"/>
      <c r="L18" s="2144"/>
      <c r="M18" s="2136"/>
      <c r="N18" s="2136"/>
      <c r="O18" s="2136"/>
      <c r="P18" s="3703"/>
      <c r="Q18" s="1573"/>
      <c r="R18" s="1574"/>
      <c r="S18" s="1575"/>
      <c r="T18" s="1574"/>
      <c r="U18" s="1575"/>
      <c r="V18" s="1574"/>
      <c r="W18" s="1575"/>
      <c r="X18" s="1568"/>
      <c r="Y18" s="3703"/>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3</v>
      </c>
      <c r="L19" s="2144"/>
      <c r="M19" s="2136"/>
      <c r="N19" s="2136"/>
      <c r="O19" s="2136"/>
      <c r="P19" s="3703"/>
      <c r="Q19" s="1573" t="str">
        <f>B19</f>
        <v>公共配套设施</v>
      </c>
      <c r="R19" s="1574" t="s">
        <v>8</v>
      </c>
      <c r="S19" s="1575">
        <f>F19</f>
        <v>100</v>
      </c>
      <c r="T19" s="1574" t="s">
        <v>8</v>
      </c>
      <c r="U19" s="1575">
        <f>H19</f>
        <v>100</v>
      </c>
      <c r="V19" s="1574" t="s">
        <v>8</v>
      </c>
      <c r="W19" s="1575">
        <f>J19</f>
        <v>100</v>
      </c>
      <c r="X19" s="1568"/>
      <c r="Y19" s="3703"/>
      <c r="Z19" s="1576" t="str">
        <f>Q19</f>
        <v>公共配套设施</v>
      </c>
      <c r="AA19" s="1577">
        <f t="shared" si="3"/>
        <v>1</v>
      </c>
      <c r="AB19" s="1577">
        <f t="shared" si="4"/>
        <v>1</v>
      </c>
      <c r="AC19" s="1577">
        <f t="shared" si="5"/>
        <v>1</v>
      </c>
    </row>
    <row r="20" spans="1:29" ht="15">
      <c r="A20" s="532"/>
      <c r="B20" s="566"/>
      <c r="C20" s="554" t="s">
        <v>3254</v>
      </c>
      <c r="D20" s="555"/>
      <c r="E20" s="554" t="s">
        <v>3254</v>
      </c>
      <c r="F20" s="555"/>
      <c r="G20" s="554" t="s">
        <v>3254</v>
      </c>
      <c r="H20" s="555"/>
      <c r="I20" s="554" t="s">
        <v>3254</v>
      </c>
      <c r="J20" s="555"/>
      <c r="K20" s="899"/>
      <c r="L20" s="2144"/>
      <c r="M20" s="2136"/>
      <c r="N20" s="2136"/>
      <c r="O20" s="2136"/>
      <c r="P20" s="3703"/>
      <c r="Q20" s="1573"/>
      <c r="R20" s="1574"/>
      <c r="S20" s="1575"/>
      <c r="T20" s="1574"/>
      <c r="U20" s="1575"/>
      <c r="V20" s="1574"/>
      <c r="W20" s="1575"/>
      <c r="X20" s="1568"/>
      <c r="Y20" s="3703"/>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3</v>
      </c>
      <c r="L21" s="2144"/>
      <c r="M21" s="2136"/>
      <c r="N21" s="2136"/>
      <c r="O21" s="2136"/>
      <c r="P21" s="3703"/>
      <c r="Q21" s="2605" t="str">
        <f>B21</f>
        <v>基础设施水平</v>
      </c>
      <c r="R21" s="1574" t="s">
        <v>8</v>
      </c>
      <c r="S21" s="1575">
        <f>F21</f>
        <v>100</v>
      </c>
      <c r="T21" s="1574" t="s">
        <v>8</v>
      </c>
      <c r="U21" s="1575">
        <f>H21</f>
        <v>100</v>
      </c>
      <c r="V21" s="1574" t="s">
        <v>8</v>
      </c>
      <c r="W21" s="1575">
        <f>J21</f>
        <v>100</v>
      </c>
      <c r="X21" s="2607"/>
      <c r="Y21" s="3703"/>
      <c r="Z21" s="2606" t="str">
        <f>Q21</f>
        <v>基础设施水平</v>
      </c>
      <c r="AA21" s="1577">
        <f t="shared" ref="AA21" si="8">D21/F21</f>
        <v>1</v>
      </c>
      <c r="AB21" s="1577">
        <f t="shared" ref="AB21" si="9">D21/H21</f>
        <v>1</v>
      </c>
      <c r="AC21" s="1577">
        <f t="shared" ref="AC21" si="10">D21/J21</f>
        <v>1</v>
      </c>
    </row>
    <row r="22" spans="1:29" ht="15">
      <c r="A22" s="532"/>
      <c r="B22" s="578"/>
      <c r="C22" s="554" t="s">
        <v>3256</v>
      </c>
      <c r="D22" s="555"/>
      <c r="E22" s="554" t="s">
        <v>3256</v>
      </c>
      <c r="F22" s="555"/>
      <c r="G22" s="554" t="s">
        <v>3256</v>
      </c>
      <c r="H22" s="555"/>
      <c r="I22" s="554" t="s">
        <v>3256</v>
      </c>
      <c r="J22" s="555"/>
      <c r="K22" s="2628"/>
      <c r="L22" s="2144"/>
      <c r="M22" s="2136"/>
      <c r="N22" s="2136"/>
      <c r="O22" s="2136"/>
      <c r="P22" s="3703"/>
      <c r="Q22" s="2605"/>
      <c r="R22" s="1574"/>
      <c r="S22" s="1575"/>
      <c r="T22" s="1574"/>
      <c r="U22" s="1575"/>
      <c r="V22" s="1574"/>
      <c r="W22" s="1575"/>
      <c r="X22" s="2607"/>
      <c r="Y22" s="3703"/>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3</v>
      </c>
      <c r="L23" s="2144"/>
      <c r="M23" s="2136"/>
      <c r="N23" s="2136"/>
      <c r="O23" s="2136"/>
      <c r="P23" s="3703"/>
      <c r="Q23" s="1573" t="str">
        <f>B23</f>
        <v>环境质量</v>
      </c>
      <c r="R23" s="1574" t="s">
        <v>8</v>
      </c>
      <c r="S23" s="1575">
        <f>F23</f>
        <v>100</v>
      </c>
      <c r="T23" s="1574" t="s">
        <v>8</v>
      </c>
      <c r="U23" s="1575">
        <f>H23</f>
        <v>100</v>
      </c>
      <c r="V23" s="1574" t="s">
        <v>8</v>
      </c>
      <c r="W23" s="1575">
        <f>J23</f>
        <v>100</v>
      </c>
      <c r="X23" s="1568"/>
      <c r="Y23" s="3703"/>
      <c r="Z23" s="1576" t="str">
        <f>Q23</f>
        <v>环境质量</v>
      </c>
      <c r="AA23" s="1577">
        <f t="shared" si="3"/>
        <v>1</v>
      </c>
      <c r="AB23" s="1577">
        <f t="shared" si="4"/>
        <v>1</v>
      </c>
      <c r="AC23" s="1577">
        <f t="shared" si="5"/>
        <v>1</v>
      </c>
    </row>
    <row r="24" spans="1:29" ht="15">
      <c r="A24" s="532"/>
      <c r="B24" s="578"/>
      <c r="C24" s="554" t="s">
        <v>3254</v>
      </c>
      <c r="D24" s="555"/>
      <c r="E24" s="554" t="s">
        <v>3254</v>
      </c>
      <c r="F24" s="555"/>
      <c r="G24" s="554" t="s">
        <v>3254</v>
      </c>
      <c r="H24" s="555"/>
      <c r="I24" s="554" t="s">
        <v>3254</v>
      </c>
      <c r="J24" s="555"/>
      <c r="K24" s="899"/>
      <c r="L24" s="2144"/>
      <c r="M24" s="2136"/>
      <c r="N24" s="2136"/>
      <c r="O24" s="2136"/>
      <c r="P24" s="3703"/>
      <c r="Q24" s="1573"/>
      <c r="R24" s="1574"/>
      <c r="S24" s="1575"/>
      <c r="T24" s="1574"/>
      <c r="U24" s="1575"/>
      <c r="V24" s="1574"/>
      <c r="W24" s="1575"/>
      <c r="X24" s="1568"/>
      <c r="Y24" s="3703"/>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v>2</v>
      </c>
      <c r="L25" s="2144"/>
      <c r="M25" s="2136"/>
      <c r="N25" s="2136"/>
      <c r="O25" s="2136"/>
      <c r="P25" s="3703"/>
      <c r="Q25" s="1573" t="str">
        <f>B25</f>
        <v>毗邻道路的类型与等级</v>
      </c>
      <c r="R25" s="1574" t="s">
        <v>8</v>
      </c>
      <c r="S25" s="1575">
        <f>F25</f>
        <v>100</v>
      </c>
      <c r="T25" s="1574" t="s">
        <v>8</v>
      </c>
      <c r="U25" s="1575">
        <f>H25</f>
        <v>100</v>
      </c>
      <c r="V25" s="1574" t="s">
        <v>8</v>
      </c>
      <c r="W25" s="1575">
        <f>J25</f>
        <v>100</v>
      </c>
      <c r="X25" s="1568"/>
      <c r="Y25" s="3703"/>
      <c r="Z25" s="1576" t="str">
        <f>Q25</f>
        <v>毗邻道路的类型与等级</v>
      </c>
      <c r="AA25" s="1577">
        <f t="shared" si="3"/>
        <v>1</v>
      </c>
      <c r="AB25" s="1577">
        <f t="shared" si="4"/>
        <v>1</v>
      </c>
      <c r="AC25" s="1577">
        <f t="shared" si="5"/>
        <v>1</v>
      </c>
    </row>
    <row r="26" spans="1:29" ht="15.75" thickBot="1">
      <c r="A26" s="515"/>
      <c r="B26" s="566"/>
      <c r="C26" s="580" t="s">
        <v>3268</v>
      </c>
      <c r="D26" s="540"/>
      <c r="E26" s="580" t="s">
        <v>3268</v>
      </c>
      <c r="F26" s="540"/>
      <c r="G26" s="580" t="s">
        <v>3268</v>
      </c>
      <c r="H26" s="540"/>
      <c r="I26" s="580" t="s">
        <v>3268</v>
      </c>
      <c r="J26" s="540"/>
      <c r="K26" s="899"/>
      <c r="L26" s="2144"/>
      <c r="M26" s="2136"/>
      <c r="N26" s="2136"/>
      <c r="O26" s="2136"/>
      <c r="P26" s="3703"/>
      <c r="Q26" s="1573"/>
      <c r="R26" s="1574"/>
      <c r="S26" s="1575"/>
      <c r="T26" s="1574"/>
      <c r="U26" s="1575"/>
      <c r="V26" s="1574"/>
      <c r="W26" s="1575"/>
      <c r="X26" s="1568"/>
      <c r="Y26" s="3703"/>
      <c r="Z26" s="1576"/>
      <c r="AA26" s="1577">
        <v>1</v>
      </c>
      <c r="AB26" s="1577">
        <v>1</v>
      </c>
      <c r="AC26" s="1577">
        <v>1</v>
      </c>
    </row>
    <row r="27" spans="1:29" ht="15" hidden="1">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703"/>
      <c r="Q27" s="1573" t="str">
        <f t="shared" ref="Q27:Q47" si="11">B27</f>
        <v>楼层</v>
      </c>
      <c r="R27" s="1574" t="s">
        <v>8</v>
      </c>
      <c r="S27" s="1575">
        <f>F27</f>
        <v>100</v>
      </c>
      <c r="T27" s="1574" t="s">
        <v>8</v>
      </c>
      <c r="U27" s="1575">
        <f>H27</f>
        <v>100</v>
      </c>
      <c r="V27" s="1574" t="s">
        <v>8</v>
      </c>
      <c r="W27" s="1575">
        <f>J27</f>
        <v>100</v>
      </c>
      <c r="X27" s="1568"/>
      <c r="Y27" s="3703"/>
      <c r="Z27" s="1576" t="str">
        <f>Q27</f>
        <v>楼层</v>
      </c>
      <c r="AA27" s="1577">
        <f t="shared" si="3"/>
        <v>1</v>
      </c>
      <c r="AB27" s="1577">
        <f t="shared" si="4"/>
        <v>1</v>
      </c>
      <c r="AC27" s="1577">
        <f t="shared" si="5"/>
        <v>1</v>
      </c>
    </row>
    <row r="28" spans="1:29" s="1220" customFormat="1" ht="15" hidden="1">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703"/>
      <c r="Q28" s="1151" t="str">
        <f t="shared" si="11"/>
        <v>朝向</v>
      </c>
      <c r="R28" s="1569" t="s">
        <v>8</v>
      </c>
      <c r="S28" s="1570">
        <f>F28</f>
        <v>100</v>
      </c>
      <c r="T28" s="1569" t="s">
        <v>8</v>
      </c>
      <c r="U28" s="1570">
        <f>H28</f>
        <v>100</v>
      </c>
      <c r="V28" s="1569" t="s">
        <v>8</v>
      </c>
      <c r="W28" s="1570">
        <f>J28</f>
        <v>100</v>
      </c>
      <c r="X28" s="1571"/>
      <c r="Y28" s="3703"/>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703"/>
      <c r="Q29" s="1573">
        <f t="shared" si="11"/>
        <v>111</v>
      </c>
      <c r="R29" s="1574" t="s">
        <v>8</v>
      </c>
      <c r="S29" s="1575">
        <f t="shared" ref="S29:S47" si="12">F29</f>
        <v>100</v>
      </c>
      <c r="T29" s="1574" t="s">
        <v>8</v>
      </c>
      <c r="U29" s="1575">
        <f t="shared" ref="U29:U47" si="13">H29</f>
        <v>100</v>
      </c>
      <c r="V29" s="1574" t="s">
        <v>8</v>
      </c>
      <c r="W29" s="1575">
        <f t="shared" ref="W29:W47" si="14">J29</f>
        <v>100</v>
      </c>
      <c r="X29" s="1568"/>
      <c r="Y29" s="3703"/>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703"/>
      <c r="Q30" s="1573">
        <f t="shared" si="11"/>
        <v>111</v>
      </c>
      <c r="R30" s="1574" t="s">
        <v>8</v>
      </c>
      <c r="S30" s="1575">
        <f t="shared" si="12"/>
        <v>100</v>
      </c>
      <c r="T30" s="1574" t="s">
        <v>8</v>
      </c>
      <c r="U30" s="1575">
        <f t="shared" si="13"/>
        <v>100</v>
      </c>
      <c r="V30" s="1574" t="s">
        <v>8</v>
      </c>
      <c r="W30" s="1575">
        <f t="shared" si="14"/>
        <v>100</v>
      </c>
      <c r="X30" s="1568"/>
      <c r="Y30" s="3703"/>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703"/>
      <c r="Q31" s="1573">
        <f t="shared" si="11"/>
        <v>111</v>
      </c>
      <c r="R31" s="1574" t="s">
        <v>8</v>
      </c>
      <c r="S31" s="1575">
        <f t="shared" si="12"/>
        <v>100</v>
      </c>
      <c r="T31" s="1574" t="s">
        <v>8</v>
      </c>
      <c r="U31" s="1575">
        <f t="shared" si="13"/>
        <v>100</v>
      </c>
      <c r="V31" s="1574" t="s">
        <v>8</v>
      </c>
      <c r="W31" s="1575">
        <f t="shared" si="14"/>
        <v>100</v>
      </c>
      <c r="X31" s="1568"/>
      <c r="Y31" s="3703"/>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703"/>
      <c r="Q32" s="1573">
        <f t="shared" si="11"/>
        <v>111</v>
      </c>
      <c r="R32" s="1574" t="s">
        <v>8</v>
      </c>
      <c r="S32" s="1575">
        <f t="shared" si="12"/>
        <v>100</v>
      </c>
      <c r="T32" s="1574" t="s">
        <v>8</v>
      </c>
      <c r="U32" s="1575">
        <f t="shared" si="13"/>
        <v>100</v>
      </c>
      <c r="V32" s="1574" t="s">
        <v>8</v>
      </c>
      <c r="W32" s="1575">
        <f t="shared" si="14"/>
        <v>100</v>
      </c>
      <c r="X32" s="1568"/>
      <c r="Y32" s="3703"/>
      <c r="Z32" s="1576">
        <f t="shared" si="15"/>
        <v>111</v>
      </c>
      <c r="AA32" s="1577">
        <f t="shared" si="3"/>
        <v>1</v>
      </c>
      <c r="AB32" s="1577">
        <f t="shared" si="4"/>
        <v>1</v>
      </c>
      <c r="AC32" s="1577">
        <f t="shared" si="5"/>
        <v>1</v>
      </c>
    </row>
    <row r="33" spans="1:29" ht="15">
      <c r="A33" s="2934" t="s">
        <v>2762</v>
      </c>
      <c r="B33" s="172" t="s">
        <v>781</v>
      </c>
      <c r="C33" s="916" t="s">
        <v>3321</v>
      </c>
      <c r="D33" s="597">
        <v>100</v>
      </c>
      <c r="E33" s="916" t="s">
        <v>3321</v>
      </c>
      <c r="F33" s="575">
        <f>SUMIF(101:101,E33,102:102)-SUMIF(101:101,C33,102:102)+100</f>
        <v>100</v>
      </c>
      <c r="G33" s="916" t="s">
        <v>3321</v>
      </c>
      <c r="H33" s="540">
        <f>SUMIF(101:101,G33,102:102)-SUMIF(101:101,C33,102:102)+100</f>
        <v>100</v>
      </c>
      <c r="I33" s="916" t="s">
        <v>3321</v>
      </c>
      <c r="J33" s="597">
        <f>SUMIF(101:101,I33,102:102)-SUMIF(101:101,C33,102:102)+100</f>
        <v>100</v>
      </c>
      <c r="K33" s="584"/>
      <c r="L33" s="2144"/>
      <c r="M33" s="2136"/>
      <c r="N33" s="2136"/>
      <c r="O33" s="2136"/>
      <c r="P33" s="3704" t="s">
        <v>551</v>
      </c>
      <c r="Q33" s="1573" t="str">
        <f t="shared" si="11"/>
        <v>建筑类型</v>
      </c>
      <c r="R33" s="1574" t="s">
        <v>8</v>
      </c>
      <c r="S33" s="1575">
        <f t="shared" si="12"/>
        <v>100</v>
      </c>
      <c r="T33" s="1574" t="s">
        <v>8</v>
      </c>
      <c r="U33" s="1575">
        <f t="shared" si="13"/>
        <v>100</v>
      </c>
      <c r="V33" s="1574" t="s">
        <v>8</v>
      </c>
      <c r="W33" s="1575">
        <f t="shared" si="14"/>
        <v>100</v>
      </c>
      <c r="X33" s="1568"/>
      <c r="Y33" s="3705" t="s">
        <v>551</v>
      </c>
      <c r="Z33" s="1576" t="str">
        <f t="shared" si="15"/>
        <v>建筑类型</v>
      </c>
      <c r="AA33" s="1577">
        <f t="shared" si="3"/>
        <v>1</v>
      </c>
      <c r="AB33" s="1577">
        <f t="shared" si="4"/>
        <v>1</v>
      </c>
      <c r="AC33" s="1577">
        <f t="shared" si="5"/>
        <v>1</v>
      </c>
    </row>
    <row r="34" spans="1:29" s="1339" customFormat="1" ht="15">
      <c r="A34" s="603"/>
      <c r="B34" s="527" t="s">
        <v>727</v>
      </c>
      <c r="C34" s="880">
        <f>'[2]不动产比较法-住宅'!C33</f>
        <v>180000</v>
      </c>
      <c r="D34" s="255">
        <v>100</v>
      </c>
      <c r="E34" s="534">
        <v>300000</v>
      </c>
      <c r="F34" s="863">
        <f>LOOKUP(E34,104:104,105:105)-LOOKUP(C34,104:104,105:105)+100</f>
        <v>102</v>
      </c>
      <c r="G34" s="533">
        <v>377490</v>
      </c>
      <c r="H34" s="255">
        <f>LOOKUP(G34,104:104,105:105)-LOOKUP(C34,104:104,105:105)+100</f>
        <v>102</v>
      </c>
      <c r="I34" s="533">
        <v>278000</v>
      </c>
      <c r="J34" s="255">
        <f>LOOKUP(I34,104:104,105:105)-LOOKUP(C34,104:104,105:105)+100</f>
        <v>101</v>
      </c>
      <c r="K34" s="581"/>
      <c r="L34" s="2142"/>
      <c r="M34" s="2173"/>
      <c r="N34" s="2173"/>
      <c r="O34" s="2173"/>
      <c r="P34" s="3705"/>
      <c r="Q34" s="1606" t="str">
        <f t="shared" si="11"/>
        <v>项目建筑规模</v>
      </c>
      <c r="R34" s="1578" t="s">
        <v>8</v>
      </c>
      <c r="S34" s="1579">
        <f t="shared" si="12"/>
        <v>102</v>
      </c>
      <c r="T34" s="1578" t="s">
        <v>8</v>
      </c>
      <c r="U34" s="1579">
        <f t="shared" si="13"/>
        <v>102</v>
      </c>
      <c r="V34" s="1578" t="s">
        <v>8</v>
      </c>
      <c r="W34" s="1579">
        <f t="shared" si="14"/>
        <v>101</v>
      </c>
      <c r="X34" s="1580"/>
      <c r="Y34" s="3705"/>
      <c r="Z34" s="1581" t="str">
        <f t="shared" si="15"/>
        <v>项目建筑规模</v>
      </c>
      <c r="AA34" s="1577">
        <f t="shared" si="3"/>
        <v>0.98039215686274506</v>
      </c>
      <c r="AB34" s="1577">
        <f t="shared" si="4"/>
        <v>0.98039215686274506</v>
      </c>
      <c r="AC34" s="1577">
        <f t="shared" si="5"/>
        <v>0.99009900990099009</v>
      </c>
    </row>
    <row r="35" spans="1:29" ht="15">
      <c r="A35" s="594"/>
      <c r="B35" s="527" t="s">
        <v>728</v>
      </c>
      <c r="C35" s="574" t="s">
        <v>3238</v>
      </c>
      <c r="D35" s="540">
        <v>100</v>
      </c>
      <c r="E35" s="574" t="s">
        <v>3238</v>
      </c>
      <c r="F35" s="575">
        <f>SUMIF(106:106,E35,107:107)-SUMIF(106:106,C35,107:107)+100</f>
        <v>100</v>
      </c>
      <c r="G35" s="574" t="s">
        <v>3238</v>
      </c>
      <c r="H35" s="540">
        <f>SUMIF(106:106,G35,107:107)-SUMIF(106:106,C35,107:107)+100</f>
        <v>100</v>
      </c>
      <c r="I35" s="574" t="s">
        <v>3238</v>
      </c>
      <c r="J35" s="540">
        <f>SUMIF(106:106,I35,107:107)-SUMIF(106:106,C35,107:107)+100</f>
        <v>100</v>
      </c>
      <c r="K35" s="584"/>
      <c r="L35" s="2144"/>
      <c r="M35" s="2136"/>
      <c r="N35" s="2136"/>
      <c r="O35" s="2136"/>
      <c r="P35" s="3705"/>
      <c r="Q35" s="1573" t="str">
        <f t="shared" si="11"/>
        <v>建筑结构</v>
      </c>
      <c r="R35" s="1574" t="s">
        <v>8</v>
      </c>
      <c r="S35" s="1575">
        <f t="shared" si="12"/>
        <v>100</v>
      </c>
      <c r="T35" s="1574" t="s">
        <v>8</v>
      </c>
      <c r="U35" s="1575">
        <f t="shared" si="13"/>
        <v>100</v>
      </c>
      <c r="V35" s="1574" t="s">
        <v>8</v>
      </c>
      <c r="W35" s="1575">
        <f t="shared" si="14"/>
        <v>100</v>
      </c>
      <c r="X35" s="1568"/>
      <c r="Y35" s="3705"/>
      <c r="Z35" s="1576" t="str">
        <f t="shared" si="15"/>
        <v>建筑结构</v>
      </c>
      <c r="AA35" s="1577">
        <f t="shared" si="3"/>
        <v>1</v>
      </c>
      <c r="AB35" s="1577">
        <f t="shared" si="4"/>
        <v>1</v>
      </c>
      <c r="AC35" s="1577">
        <f t="shared" si="5"/>
        <v>1</v>
      </c>
    </row>
    <row r="36" spans="1:29" ht="15">
      <c r="A36" s="594"/>
      <c r="B36" s="527" t="s">
        <v>764</v>
      </c>
      <c r="C36" s="574" t="s">
        <v>3307</v>
      </c>
      <c r="D36" s="540">
        <v>100</v>
      </c>
      <c r="E36" s="574" t="s">
        <v>3307</v>
      </c>
      <c r="F36" s="575">
        <f>SUMIF(108:108,E36,109:109)-SUMIF(108:108,C36,109:109)+100</f>
        <v>100</v>
      </c>
      <c r="G36" s="574" t="s">
        <v>3307</v>
      </c>
      <c r="H36" s="540">
        <f>SUMIF(108:108,G36,109:109)-SUMIF(108:108,C36,109:109)+100</f>
        <v>100</v>
      </c>
      <c r="I36" s="574" t="s">
        <v>3307</v>
      </c>
      <c r="J36" s="540">
        <f>SUMIF(108:108,I36,109:109)-SUMIF(108:108,C36,109:109)+100</f>
        <v>100</v>
      </c>
      <c r="K36" s="584"/>
      <c r="L36" s="2144"/>
      <c r="M36" s="2136"/>
      <c r="N36" s="2136"/>
      <c r="O36" s="2136"/>
      <c r="P36" s="3705"/>
      <c r="Q36" s="1573" t="str">
        <f t="shared" si="11"/>
        <v>公共部分装修</v>
      </c>
      <c r="R36" s="1574" t="s">
        <v>8</v>
      </c>
      <c r="S36" s="1575">
        <f t="shared" si="12"/>
        <v>100</v>
      </c>
      <c r="T36" s="1574" t="s">
        <v>8</v>
      </c>
      <c r="U36" s="1575">
        <f t="shared" si="13"/>
        <v>100</v>
      </c>
      <c r="V36" s="1574" t="s">
        <v>8</v>
      </c>
      <c r="W36" s="1575">
        <f t="shared" si="14"/>
        <v>100</v>
      </c>
      <c r="X36" s="1568"/>
      <c r="Y36" s="3705"/>
      <c r="Z36" s="1576" t="str">
        <f t="shared" si="15"/>
        <v>公共部分装修</v>
      </c>
      <c r="AA36" s="1577">
        <f t="shared" si="3"/>
        <v>1</v>
      </c>
      <c r="AB36" s="1577">
        <f t="shared" si="4"/>
        <v>1</v>
      </c>
      <c r="AC36" s="1577">
        <f t="shared" si="5"/>
        <v>1</v>
      </c>
    </row>
    <row r="37" spans="1:29" ht="15">
      <c r="A37" s="594"/>
      <c r="B37" s="527" t="s">
        <v>765</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705"/>
      <c r="Q37" s="1573" t="str">
        <f t="shared" si="11"/>
        <v>成新度</v>
      </c>
      <c r="R37" s="1574" t="s">
        <v>8</v>
      </c>
      <c r="S37" s="1575">
        <f t="shared" si="12"/>
        <v>100</v>
      </c>
      <c r="T37" s="1574" t="s">
        <v>8</v>
      </c>
      <c r="U37" s="1575">
        <f t="shared" si="13"/>
        <v>100</v>
      </c>
      <c r="V37" s="1574" t="s">
        <v>8</v>
      </c>
      <c r="W37" s="1575">
        <f t="shared" si="14"/>
        <v>100</v>
      </c>
      <c r="X37" s="1568"/>
      <c r="Y37" s="3705"/>
      <c r="Z37" s="1576" t="str">
        <f t="shared" si="15"/>
        <v>成新度</v>
      </c>
      <c r="AA37" s="1577">
        <f t="shared" si="3"/>
        <v>1</v>
      </c>
      <c r="AB37" s="1577">
        <f t="shared" si="4"/>
        <v>1</v>
      </c>
      <c r="AC37" s="1577">
        <f t="shared" si="5"/>
        <v>1</v>
      </c>
    </row>
    <row r="38" spans="1:29" s="1220" customFormat="1" ht="15">
      <c r="A38" s="600"/>
      <c r="B38" s="527" t="s">
        <v>782</v>
      </c>
      <c r="C38" s="574" t="s">
        <v>3322</v>
      </c>
      <c r="D38" s="255">
        <v>100</v>
      </c>
      <c r="E38" s="574" t="s">
        <v>3322</v>
      </c>
      <c r="F38" s="575">
        <f>SUMIF(113:113,E38,114:114)-SUMIF(113:113,C38,114:114)+100</f>
        <v>100</v>
      </c>
      <c r="G38" s="574" t="s">
        <v>3322</v>
      </c>
      <c r="H38" s="540">
        <f>SUMIF(113:113,G38,114:114)-SUMIF(113:113,C38,114:114)+100</f>
        <v>100</v>
      </c>
      <c r="I38" s="574" t="s">
        <v>3322</v>
      </c>
      <c r="J38" s="540">
        <f>SUMIF(113:113,I38,114:114)-SUMIF(113:113,C38,114:114)+100</f>
        <v>100</v>
      </c>
      <c r="K38" s="584"/>
      <c r="L38" s="2137"/>
      <c r="M38" s="2138"/>
      <c r="N38" s="2138"/>
      <c r="O38" s="2138"/>
      <c r="P38" s="3705"/>
      <c r="Q38" s="1151" t="str">
        <f t="shared" si="11"/>
        <v>写字楼等级</v>
      </c>
      <c r="R38" s="1569" t="s">
        <v>8</v>
      </c>
      <c r="S38" s="1570">
        <f t="shared" si="12"/>
        <v>100</v>
      </c>
      <c r="T38" s="1569" t="s">
        <v>8</v>
      </c>
      <c r="U38" s="1570">
        <f t="shared" si="13"/>
        <v>100</v>
      </c>
      <c r="V38" s="1569" t="s">
        <v>8</v>
      </c>
      <c r="W38" s="1570">
        <f t="shared" si="14"/>
        <v>100</v>
      </c>
      <c r="X38" s="1571"/>
      <c r="Y38" s="3705"/>
      <c r="Z38" s="1150" t="str">
        <f t="shared" si="15"/>
        <v>写字楼等级</v>
      </c>
      <c r="AA38" s="1572">
        <f t="shared" si="3"/>
        <v>1</v>
      </c>
      <c r="AB38" s="1572">
        <f t="shared" si="4"/>
        <v>1</v>
      </c>
      <c r="AC38" s="1572">
        <f t="shared" si="5"/>
        <v>1</v>
      </c>
    </row>
    <row r="39" spans="1:29" ht="15">
      <c r="A39" s="594"/>
      <c r="B39" s="527" t="s">
        <v>783</v>
      </c>
      <c r="C39" s="574" t="s">
        <v>3308</v>
      </c>
      <c r="D39" s="540">
        <v>100</v>
      </c>
      <c r="E39" s="574" t="s">
        <v>3308</v>
      </c>
      <c r="F39" s="575">
        <f>SUMIF(115:115,E39,116:116)-SUMIF(115:115,C39,116:116)+100</f>
        <v>100</v>
      </c>
      <c r="G39" s="574" t="s">
        <v>3308</v>
      </c>
      <c r="H39" s="540">
        <f>SUMIF(115:115,G39,116:116)-SUMIF(115:115,C39,116:116)+100</f>
        <v>100</v>
      </c>
      <c r="I39" s="574" t="s">
        <v>3308</v>
      </c>
      <c r="J39" s="540">
        <f>SUMIF(115:115,I39,116:116)-SUMIF(115:115,C39,116:116)+100</f>
        <v>100</v>
      </c>
      <c r="K39" s="584"/>
      <c r="L39" s="2144"/>
      <c r="M39" s="2136"/>
      <c r="N39" s="2136"/>
      <c r="O39" s="2136"/>
      <c r="P39" s="3705" t="s">
        <v>551</v>
      </c>
      <c r="Q39" s="1573" t="str">
        <f t="shared" si="11"/>
        <v>物业管理</v>
      </c>
      <c r="R39" s="1574" t="s">
        <v>8</v>
      </c>
      <c r="S39" s="1575">
        <f t="shared" si="12"/>
        <v>100</v>
      </c>
      <c r="T39" s="1574" t="s">
        <v>8</v>
      </c>
      <c r="U39" s="1575">
        <f t="shared" si="13"/>
        <v>100</v>
      </c>
      <c r="V39" s="1574" t="s">
        <v>8</v>
      </c>
      <c r="W39" s="1575">
        <f t="shared" si="14"/>
        <v>100</v>
      </c>
      <c r="X39" s="1568"/>
      <c r="Y39" s="3705" t="s">
        <v>551</v>
      </c>
      <c r="Z39" s="1576" t="str">
        <f t="shared" si="15"/>
        <v>物业管理</v>
      </c>
      <c r="AA39" s="1577">
        <f t="shared" si="3"/>
        <v>1</v>
      </c>
      <c r="AB39" s="1577">
        <f t="shared" si="4"/>
        <v>1</v>
      </c>
      <c r="AC39" s="1577">
        <f t="shared" si="5"/>
        <v>1</v>
      </c>
    </row>
    <row r="40" spans="1:29" ht="15">
      <c r="A40" s="594"/>
      <c r="B40" s="1897" t="s">
        <v>2572</v>
      </c>
      <c r="C40" s="574" t="s">
        <v>3256</v>
      </c>
      <c r="D40" s="540">
        <v>100</v>
      </c>
      <c r="E40" s="574" t="s">
        <v>3256</v>
      </c>
      <c r="F40" s="575">
        <f>SUMIF(117:117,E40,118:118)-SUMIF(117:117,C40,118:118)+100</f>
        <v>100</v>
      </c>
      <c r="G40" s="574" t="s">
        <v>3256</v>
      </c>
      <c r="H40" s="540">
        <f>SUMIF(117:117,G40,118:118)-SUMIF(117:117,C40,118:118)+100</f>
        <v>100</v>
      </c>
      <c r="I40" s="574" t="s">
        <v>3256</v>
      </c>
      <c r="J40" s="540">
        <f>SUMIF(117:117,I40,118:118)-SUMIF(117:117,C40,118:118)+100</f>
        <v>100</v>
      </c>
      <c r="K40" s="584"/>
      <c r="L40" s="2144"/>
      <c r="M40" s="2136"/>
      <c r="N40" s="2136"/>
      <c r="O40" s="2136"/>
      <c r="P40" s="3705"/>
      <c r="Q40" s="1573" t="str">
        <f t="shared" si="11"/>
        <v>市政基础设施</v>
      </c>
      <c r="R40" s="1574" t="s">
        <v>8</v>
      </c>
      <c r="S40" s="1575">
        <f t="shared" si="12"/>
        <v>100</v>
      </c>
      <c r="T40" s="1574" t="s">
        <v>8</v>
      </c>
      <c r="U40" s="1575">
        <f t="shared" si="13"/>
        <v>100</v>
      </c>
      <c r="V40" s="1574" t="s">
        <v>8</v>
      </c>
      <c r="W40" s="1575">
        <f t="shared" si="14"/>
        <v>100</v>
      </c>
      <c r="X40" s="1568"/>
      <c r="Y40" s="3705"/>
      <c r="Z40" s="1576" t="str">
        <f t="shared" si="15"/>
        <v>市政基础设施</v>
      </c>
      <c r="AA40" s="1577">
        <f t="shared" si="3"/>
        <v>1</v>
      </c>
      <c r="AB40" s="1577">
        <f t="shared" si="4"/>
        <v>1</v>
      </c>
      <c r="AC40" s="1577">
        <f t="shared" si="5"/>
        <v>1</v>
      </c>
    </row>
    <row r="41" spans="1:29" ht="15">
      <c r="A41" s="594"/>
      <c r="B41" s="527" t="s">
        <v>768</v>
      </c>
      <c r="C41" s="583" t="s">
        <v>3323</v>
      </c>
      <c r="D41" s="540">
        <v>100</v>
      </c>
      <c r="E41" s="583" t="s">
        <v>3323</v>
      </c>
      <c r="F41" s="575">
        <f>SUMIF(119:119,E41,120:120)-SUMIF(119:119,C41,120:120)+100</f>
        <v>100</v>
      </c>
      <c r="G41" s="583" t="s">
        <v>3323</v>
      </c>
      <c r="H41" s="540">
        <f>SUMIF(119:119,G41,120:120)-SUMIF(119:119,C41,120:120)+100</f>
        <v>100</v>
      </c>
      <c r="I41" s="583" t="s">
        <v>3323</v>
      </c>
      <c r="J41" s="540">
        <f>SUMIF(119:119,I41,120:120)-SUMIF(119:119,C41,120:120)+100</f>
        <v>100</v>
      </c>
      <c r="K41" s="584"/>
      <c r="L41" s="2144"/>
      <c r="M41" s="2136"/>
      <c r="N41" s="2136"/>
      <c r="O41" s="2136"/>
      <c r="P41" s="3705"/>
      <c r="Q41" s="1573" t="str">
        <f t="shared" si="11"/>
        <v>层高</v>
      </c>
      <c r="R41" s="1574" t="s">
        <v>8</v>
      </c>
      <c r="S41" s="1575">
        <f t="shared" si="12"/>
        <v>100</v>
      </c>
      <c r="T41" s="1574" t="s">
        <v>8</v>
      </c>
      <c r="U41" s="1575">
        <f t="shared" si="13"/>
        <v>100</v>
      </c>
      <c r="V41" s="1574" t="s">
        <v>8</v>
      </c>
      <c r="W41" s="1575">
        <f t="shared" si="14"/>
        <v>100</v>
      </c>
      <c r="X41" s="1568"/>
      <c r="Y41" s="3705"/>
      <c r="Z41" s="1576" t="str">
        <f t="shared" si="15"/>
        <v>层高</v>
      </c>
      <c r="AA41" s="1577">
        <f t="shared" si="3"/>
        <v>1</v>
      </c>
      <c r="AB41" s="1577">
        <f t="shared" si="4"/>
        <v>1</v>
      </c>
      <c r="AC41" s="1577">
        <f t="shared" si="5"/>
        <v>1</v>
      </c>
    </row>
    <row r="42" spans="1:29" s="1339" customFormat="1" ht="15" hidden="1">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705"/>
      <c r="Q42" s="1606" t="str">
        <f t="shared" si="11"/>
        <v>单套建筑面积</v>
      </c>
      <c r="R42" s="1578" t="s">
        <v>8</v>
      </c>
      <c r="S42" s="1579">
        <f t="shared" si="12"/>
        <v>100</v>
      </c>
      <c r="T42" s="1578" t="s">
        <v>8</v>
      </c>
      <c r="U42" s="1579">
        <f t="shared" si="13"/>
        <v>100</v>
      </c>
      <c r="V42" s="1578" t="s">
        <v>8</v>
      </c>
      <c r="W42" s="1579">
        <f t="shared" si="14"/>
        <v>100</v>
      </c>
      <c r="X42" s="1580"/>
      <c r="Y42" s="3705"/>
      <c r="Z42" s="1581" t="str">
        <f t="shared" si="15"/>
        <v>单套建筑面积</v>
      </c>
      <c r="AA42" s="1577">
        <f t="shared" si="3"/>
        <v>1</v>
      </c>
      <c r="AB42" s="1577">
        <f t="shared" si="4"/>
        <v>1</v>
      </c>
      <c r="AC42" s="1577">
        <f t="shared" si="5"/>
        <v>1</v>
      </c>
    </row>
    <row r="43" spans="1:29" ht="15.75" thickBot="1">
      <c r="A43" s="594"/>
      <c r="B43" s="527" t="s">
        <v>771</v>
      </c>
      <c r="C43" s="574" t="s">
        <v>3324</v>
      </c>
      <c r="D43" s="540">
        <v>100</v>
      </c>
      <c r="E43" s="574" t="s">
        <v>3324</v>
      </c>
      <c r="F43" s="575">
        <f>SUMIF(123:123,E43,124:124)-SUMIF(123:123,C43,124:124)+100</f>
        <v>100</v>
      </c>
      <c r="G43" s="574" t="s">
        <v>3324</v>
      </c>
      <c r="H43" s="540">
        <f>SUMIF(123:123,G43,124:124)-SUMIF(123:123,C43,124:124)+100</f>
        <v>100</v>
      </c>
      <c r="I43" s="574" t="s">
        <v>3324</v>
      </c>
      <c r="J43" s="540">
        <f>SUMIF(123:123,I43,124:124)-SUMIF(123:123,C43,124:124)+100</f>
        <v>100</v>
      </c>
      <c r="K43" s="584"/>
      <c r="L43" s="2144"/>
      <c r="M43" s="2136"/>
      <c r="N43" s="2136"/>
      <c r="O43" s="2136"/>
      <c r="P43" s="3705"/>
      <c r="Q43" s="1573" t="str">
        <f t="shared" si="11"/>
        <v>内部装修</v>
      </c>
      <c r="R43" s="1574" t="s">
        <v>8</v>
      </c>
      <c r="S43" s="1575">
        <f t="shared" si="12"/>
        <v>100</v>
      </c>
      <c r="T43" s="1574" t="s">
        <v>8</v>
      </c>
      <c r="U43" s="1575">
        <f t="shared" si="13"/>
        <v>100</v>
      </c>
      <c r="V43" s="1574" t="s">
        <v>8</v>
      </c>
      <c r="W43" s="1575">
        <f t="shared" si="14"/>
        <v>100</v>
      </c>
      <c r="X43" s="1568"/>
      <c r="Y43" s="3705"/>
      <c r="Z43" s="1576" t="str">
        <f t="shared" si="15"/>
        <v>内部装修</v>
      </c>
      <c r="AA43" s="1577">
        <f t="shared" si="3"/>
        <v>1</v>
      </c>
      <c r="AB43" s="1577">
        <f t="shared" si="4"/>
        <v>1</v>
      </c>
      <c r="AC43" s="1577">
        <f t="shared" si="5"/>
        <v>1</v>
      </c>
    </row>
    <row r="44" spans="1:29" ht="27.75" hidden="1" thickBot="1">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705"/>
      <c r="Q44" s="1573" t="str">
        <f t="shared" si="11"/>
        <v>内部装修维护情况</v>
      </c>
      <c r="R44" s="1574" t="s">
        <v>8</v>
      </c>
      <c r="S44" s="1575">
        <f t="shared" si="12"/>
        <v>100</v>
      </c>
      <c r="T44" s="1574" t="s">
        <v>8</v>
      </c>
      <c r="U44" s="1575">
        <f t="shared" si="13"/>
        <v>100</v>
      </c>
      <c r="V44" s="1574" t="s">
        <v>8</v>
      </c>
      <c r="W44" s="1575">
        <f t="shared" si="14"/>
        <v>100</v>
      </c>
      <c r="X44" s="1568"/>
      <c r="Y44" s="3705"/>
      <c r="Z44" s="1576" t="str">
        <f t="shared" si="15"/>
        <v>内部装修维护情况</v>
      </c>
      <c r="AA44" s="1577">
        <f t="shared" si="3"/>
        <v>1</v>
      </c>
      <c r="AB44" s="1577">
        <f t="shared" si="4"/>
        <v>1</v>
      </c>
      <c r="AC44" s="1577">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705"/>
      <c r="Q45" s="1151">
        <f t="shared" si="11"/>
        <v>111</v>
      </c>
      <c r="R45" s="1569" t="s">
        <v>8</v>
      </c>
      <c r="S45" s="1570">
        <f t="shared" si="12"/>
        <v>100</v>
      </c>
      <c r="T45" s="1569" t="s">
        <v>8</v>
      </c>
      <c r="U45" s="1570">
        <f t="shared" si="13"/>
        <v>100</v>
      </c>
      <c r="V45" s="1569" t="s">
        <v>8</v>
      </c>
      <c r="W45" s="1570">
        <f t="shared" si="14"/>
        <v>100</v>
      </c>
      <c r="X45" s="1571"/>
      <c r="Y45" s="3705"/>
      <c r="Z45" s="1150">
        <f t="shared" si="15"/>
        <v>111</v>
      </c>
      <c r="AA45" s="1572">
        <f t="shared" si="3"/>
        <v>1</v>
      </c>
      <c r="AB45" s="1572">
        <f t="shared" si="4"/>
        <v>1</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705"/>
      <c r="Q46" s="1573">
        <f t="shared" si="11"/>
        <v>111</v>
      </c>
      <c r="R46" s="1574" t="s">
        <v>8</v>
      </c>
      <c r="S46" s="1575">
        <f t="shared" si="12"/>
        <v>100</v>
      </c>
      <c r="T46" s="1574" t="s">
        <v>8</v>
      </c>
      <c r="U46" s="1575">
        <f t="shared" si="13"/>
        <v>100</v>
      </c>
      <c r="V46" s="1574" t="s">
        <v>8</v>
      </c>
      <c r="W46" s="1575">
        <f t="shared" si="14"/>
        <v>100</v>
      </c>
      <c r="X46" s="1568"/>
      <c r="Y46" s="3705"/>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2"/>
      <c r="Q47" s="1573">
        <f t="shared" si="11"/>
        <v>111</v>
      </c>
      <c r="R47" s="1574" t="s">
        <v>8</v>
      </c>
      <c r="S47" s="1575">
        <f t="shared" si="12"/>
        <v>100</v>
      </c>
      <c r="T47" s="1574" t="s">
        <v>8</v>
      </c>
      <c r="U47" s="1575">
        <f t="shared" si="13"/>
        <v>100</v>
      </c>
      <c r="V47" s="1574" t="s">
        <v>8</v>
      </c>
      <c r="W47" s="1575">
        <f t="shared" si="14"/>
        <v>100</v>
      </c>
      <c r="X47" s="1568"/>
      <c r="Y47" s="3782"/>
      <c r="Z47" s="1576">
        <f t="shared" si="15"/>
        <v>111</v>
      </c>
      <c r="AA47" s="1577">
        <f t="shared" si="3"/>
        <v>1</v>
      </c>
      <c r="AB47" s="1577">
        <f t="shared" si="4"/>
        <v>1</v>
      </c>
      <c r="AC47" s="1577">
        <f t="shared" si="5"/>
        <v>1</v>
      </c>
    </row>
    <row r="48" spans="1:29" ht="15">
      <c r="A48" s="607" t="s">
        <v>737</v>
      </c>
      <c r="B48" s="887"/>
      <c r="C48" s="2653" t="s">
        <v>1</v>
      </c>
      <c r="D48" s="2654"/>
      <c r="E48" s="2655">
        <v>35000</v>
      </c>
      <c r="F48" s="2656"/>
      <c r="G48" s="2657">
        <v>32000</v>
      </c>
      <c r="H48" s="2658"/>
      <c r="I48" s="2655">
        <v>30000</v>
      </c>
      <c r="J48" s="2658"/>
      <c r="K48" s="1612"/>
      <c r="L48" s="2146"/>
      <c r="M48" s="2136"/>
      <c r="N48" s="2136"/>
      <c r="O48" s="2136"/>
      <c r="P48" s="3665" t="str">
        <f>A48</f>
        <v>成交单价（元/平方米）</v>
      </c>
      <c r="Q48" s="3667"/>
      <c r="R48" s="3781">
        <f>E48</f>
        <v>35000</v>
      </c>
      <c r="S48" s="3781"/>
      <c r="T48" s="3781">
        <f>G48</f>
        <v>32000</v>
      </c>
      <c r="U48" s="3781"/>
      <c r="V48" s="3781">
        <f>I48</f>
        <v>30000</v>
      </c>
      <c r="W48" s="3781"/>
      <c r="X48" s="1560"/>
      <c r="Y48" s="1582"/>
      <c r="Z48" s="1560"/>
      <c r="AA48" s="1560"/>
      <c r="AB48" s="1560"/>
      <c r="AC48" s="1560"/>
    </row>
    <row r="49" spans="1:29" ht="15.75" thickBot="1">
      <c r="A49" s="615" t="s">
        <v>2767</v>
      </c>
      <c r="B49" s="888"/>
      <c r="C49" s="2659">
        <f>R50</f>
        <v>30976</v>
      </c>
      <c r="D49" s="2660"/>
      <c r="E49" s="2661">
        <f>R49</f>
        <v>33641</v>
      </c>
      <c r="F49" s="2661"/>
      <c r="G49" s="2659">
        <f>T49</f>
        <v>30166</v>
      </c>
      <c r="H49" s="2660"/>
      <c r="I49" s="2661">
        <f>V49</f>
        <v>29121</v>
      </c>
      <c r="J49" s="2660"/>
      <c r="K49" s="1613"/>
      <c r="L49" s="2146"/>
      <c r="M49" s="2136"/>
      <c r="N49" s="2136"/>
      <c r="O49" s="2136"/>
      <c r="P49" s="3665" t="str">
        <f>A49</f>
        <v>比较价格（元/平方米）</v>
      </c>
      <c r="Q49" s="3667"/>
      <c r="R49" s="3781">
        <f>IF(F1="售价",ROUND(PRODUCT(R48,AA7:AA47),0),ROUND(PRODUCT(R48,AA7:AA47),1))</f>
        <v>33641</v>
      </c>
      <c r="S49" s="3781"/>
      <c r="T49" s="3781">
        <f>IF(F1="售价",ROUND(PRODUCT(T48,AB7:AB47),0),ROUND(PRODUCT(T48,AB7:AB47),1))</f>
        <v>30166</v>
      </c>
      <c r="U49" s="3781"/>
      <c r="V49" s="3781">
        <f>IF(F1="售价",ROUND(PRODUCT(V48,AC7:AC47),0),ROUND(PRODUCT(V48,AC7:AC47),1))</f>
        <v>29121</v>
      </c>
      <c r="W49" s="3781"/>
      <c r="X49" s="1560"/>
      <c r="Y49" s="1560"/>
      <c r="Z49" s="1560"/>
      <c r="AA49" s="1560"/>
      <c r="AB49" s="1560"/>
      <c r="AC49" s="1560"/>
    </row>
    <row r="50" spans="1:29" ht="15.75" thickBot="1">
      <c r="A50" s="621" t="s">
        <v>2943</v>
      </c>
      <c r="B50" s="622"/>
      <c r="C50" s="2662">
        <f>R50</f>
        <v>30976</v>
      </c>
      <c r="D50" s="2662"/>
      <c r="E50" s="2662"/>
      <c r="F50" s="2662"/>
      <c r="G50" s="2662"/>
      <c r="H50" s="2662"/>
      <c r="I50" s="2662"/>
      <c r="J50" s="2662"/>
      <c r="K50" s="1614"/>
      <c r="L50" s="2146"/>
      <c r="M50" s="2136"/>
      <c r="N50" s="2136"/>
      <c r="O50" s="2136"/>
      <c r="P50" s="3783" t="str">
        <f>A50</f>
        <v>估价对象XX用房的比较价格（楼面单价，元/平方米）</v>
      </c>
      <c r="Q50" s="3665"/>
      <c r="R50" s="3780">
        <f>IF(F1="售价",ROUND(AVERAGE(R49:V49),0),ROUND(AVERAGE(R49:V49),1))</f>
        <v>30976</v>
      </c>
      <c r="S50" s="3780"/>
      <c r="T50" s="3780"/>
      <c r="U50" s="3780"/>
      <c r="V50" s="3780"/>
      <c r="W50" s="378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4.0397134449035477E-2</v>
      </c>
      <c r="F53" s="627" t="str">
        <f>IF(OR(E53&gt;=0.3,E53&lt;=-0.3),"超过30%","")</f>
        <v/>
      </c>
      <c r="G53" s="626">
        <f>IF(G48&lt;G49,G49/G48-1,G48/G49-1)</f>
        <v>6.0796923688921201E-2</v>
      </c>
      <c r="H53" s="627" t="str">
        <f>IF(OR(G53&gt;=0.3,G53&lt;=-0.3),"超过30%","")</f>
        <v/>
      </c>
      <c r="I53" s="626">
        <f>IF(I48&lt;I49,I49/I48-1,I48/I49-1)</f>
        <v>3.0184403008138405E-2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0.11519591593184386</v>
      </c>
      <c r="F54" s="627" t="str">
        <f>IF(OR(E54&gt;=0.2,E54&lt;=-0.2),"超过20%","")</f>
        <v/>
      </c>
      <c r="G54" s="626">
        <f>IF(G49&lt;I49,I49/G49-1,G49/I49-1)</f>
        <v>3.5884756704783527E-2</v>
      </c>
      <c r="H54" s="627" t="str">
        <f>IF(OR(G54&gt;=0.2,G54&lt;=-0.2),"超过20%","")</f>
        <v/>
      </c>
      <c r="I54" s="626">
        <f>IF(I49&lt;E49,E49/I49-1,I49/E49-1)</f>
        <v>0.15521445005322621</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9.375E-2</v>
      </c>
      <c r="F55" s="627" t="str">
        <f>IF(OR(E55&gt;=0.3,E55&lt;=-0.3),"超过30%","")</f>
        <v/>
      </c>
      <c r="G55" s="626">
        <f>IF(G48&lt;I48,I48/G48-1,G48/I48-1)</f>
        <v>6.6666666666666652E-2</v>
      </c>
      <c r="H55" s="627" t="str">
        <f>IF(OR(G55&gt;=0.3,G55&lt;=-0.3),"超过30%","")</f>
        <v/>
      </c>
      <c r="I55" s="626">
        <f>IF(I48&lt;E48,E48/I48-1,I48/E48-1)</f>
        <v>0.16666666666666674</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2（含）-4</v>
      </c>
      <c r="D68" s="682" t="str">
        <f t="shared" ref="D68:L68" si="17">D69&amp;"（含）"&amp;"-"&amp;E69</f>
        <v>4（含）-6</v>
      </c>
      <c r="E68" s="682" t="str">
        <f t="shared" si="17"/>
        <v>6（含）-8</v>
      </c>
      <c r="F68" s="682" t="str">
        <f t="shared" si="17"/>
        <v>8（含）-10</v>
      </c>
      <c r="G68" s="682" t="str">
        <f t="shared" si="17"/>
        <v>10（含）-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2</v>
      </c>
      <c r="D69" s="541">
        <v>4</v>
      </c>
      <c r="E69" s="541">
        <v>6</v>
      </c>
      <c r="F69" s="541">
        <v>8</v>
      </c>
      <c r="G69" s="541">
        <v>10</v>
      </c>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97</v>
      </c>
      <c r="E82" s="679">
        <f>D82-$K19</f>
        <v>94</v>
      </c>
      <c r="F82" s="679">
        <f>E82-$K19</f>
        <v>91</v>
      </c>
      <c r="G82" s="679">
        <f>F82-$K19</f>
        <v>88</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97</v>
      </c>
      <c r="E84" s="679">
        <f>D84-$K21</f>
        <v>94</v>
      </c>
      <c r="F84" s="679">
        <f>E84-$K21</f>
        <v>91</v>
      </c>
      <c r="G84" s="679">
        <f>F84-$K21</f>
        <v>88</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749</v>
      </c>
      <c r="C103" s="708" t="str">
        <f>C104&amp;"(含)"&amp;"-"&amp;D104</f>
        <v>1(含)-100000</v>
      </c>
      <c r="D103" s="708" t="str">
        <f t="shared" ref="D103:L103" si="23">D104&amp;"(含)"&amp;"-"&amp;E104</f>
        <v>100000(含)-200000</v>
      </c>
      <c r="E103" s="708" t="str">
        <f t="shared" si="23"/>
        <v>200000(含)-300000</v>
      </c>
      <c r="F103" s="708" t="str">
        <f t="shared" si="23"/>
        <v>300000(含)-400000</v>
      </c>
      <c r="G103" s="708" t="str">
        <f t="shared" si="23"/>
        <v>400000(含)-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1</v>
      </c>
      <c r="D104" s="730">
        <v>100000</v>
      </c>
      <c r="E104" s="730">
        <v>200000</v>
      </c>
      <c r="F104" s="730">
        <v>300000</v>
      </c>
      <c r="G104" s="730">
        <v>400000</v>
      </c>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71">
        <v>102</v>
      </c>
      <c r="F105" s="671">
        <v>103</v>
      </c>
      <c r="G105" s="671">
        <v>104</v>
      </c>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73" t="s">
        <v>523</v>
      </c>
      <c r="D4" s="3674"/>
      <c r="E4" s="3708" t="s">
        <v>524</v>
      </c>
      <c r="F4" s="3709"/>
      <c r="G4" s="3673" t="s">
        <v>525</v>
      </c>
      <c r="H4" s="3674"/>
      <c r="I4" s="3673" t="s">
        <v>526</v>
      </c>
      <c r="J4" s="3674"/>
      <c r="K4" s="514" t="s">
        <v>527</v>
      </c>
      <c r="L4" s="2135"/>
      <c r="M4" s="2136"/>
      <c r="N4" s="2136"/>
      <c r="O4" s="2136"/>
      <c r="P4" s="3675" t="s">
        <v>528</v>
      </c>
      <c r="Q4" s="3676"/>
      <c r="R4" s="3681" t="s">
        <v>524</v>
      </c>
      <c r="S4" s="3682"/>
      <c r="T4" s="3681" t="s">
        <v>525</v>
      </c>
      <c r="U4" s="3682"/>
      <c r="V4" s="3668" t="s">
        <v>526</v>
      </c>
      <c r="W4" s="3668"/>
      <c r="X4" s="1568"/>
      <c r="Y4" s="3681" t="s">
        <v>528</v>
      </c>
      <c r="Z4" s="3682"/>
      <c r="AA4" s="3670" t="s">
        <v>524</v>
      </c>
      <c r="AB4" s="3671" t="s">
        <v>525</v>
      </c>
      <c r="AC4" s="3670" t="s">
        <v>526</v>
      </c>
    </row>
    <row r="5" spans="1:29" ht="15">
      <c r="A5" s="515"/>
      <c r="B5" s="516"/>
      <c r="C5" s="3689" t="s">
        <v>2937</v>
      </c>
      <c r="D5" s="3690"/>
      <c r="E5" s="3710" t="s">
        <v>2938</v>
      </c>
      <c r="F5" s="3711"/>
      <c r="G5" s="3689" t="s">
        <v>2939</v>
      </c>
      <c r="H5" s="3690"/>
      <c r="I5" s="3689" t="s">
        <v>2940</v>
      </c>
      <c r="J5" s="3690"/>
      <c r="K5" s="514"/>
      <c r="L5" s="2135"/>
      <c r="M5" s="2136"/>
      <c r="N5" s="2136"/>
      <c r="O5" s="2136"/>
      <c r="P5" s="3677"/>
      <c r="Q5" s="3678"/>
      <c r="R5" s="3683"/>
      <c r="S5" s="3684"/>
      <c r="T5" s="3683"/>
      <c r="U5" s="3684"/>
      <c r="V5" s="3668"/>
      <c r="W5" s="3668"/>
      <c r="X5" s="1568"/>
      <c r="Y5" s="3683"/>
      <c r="Z5" s="3684"/>
      <c r="AA5" s="3671"/>
      <c r="AB5" s="3671"/>
      <c r="AC5" s="3671"/>
    </row>
    <row r="6" spans="1:29" ht="15.75" thickBot="1">
      <c r="A6" s="517"/>
      <c r="B6" s="518"/>
      <c r="C6" s="3687" t="s">
        <v>2941</v>
      </c>
      <c r="D6" s="3688"/>
      <c r="E6" s="3706" t="s">
        <v>2941</v>
      </c>
      <c r="F6" s="3707"/>
      <c r="G6" s="3687" t="s">
        <v>2941</v>
      </c>
      <c r="H6" s="3688"/>
      <c r="I6" s="3687" t="s">
        <v>2941</v>
      </c>
      <c r="J6" s="3688"/>
      <c r="K6" s="514" t="s">
        <v>529</v>
      </c>
      <c r="L6" s="2135"/>
      <c r="M6" s="2136"/>
      <c r="N6" s="2136"/>
      <c r="O6" s="2136"/>
      <c r="P6" s="3679"/>
      <c r="Q6" s="3680"/>
      <c r="R6" s="3683"/>
      <c r="S6" s="3684"/>
      <c r="T6" s="3685"/>
      <c r="U6" s="3686"/>
      <c r="V6" s="3668"/>
      <c r="W6" s="3668"/>
      <c r="X6" s="1568"/>
      <c r="Y6" s="3685"/>
      <c r="Z6" s="3686"/>
      <c r="AA6" s="3672"/>
      <c r="AB6" s="3672"/>
      <c r="AC6" s="3672"/>
    </row>
    <row r="7" spans="1:29" s="1220" customFormat="1" ht="15.75" thickBot="1">
      <c r="A7" s="2939"/>
      <c r="B7" s="2946" t="s">
        <v>530</v>
      </c>
      <c r="C7" s="519">
        <f>'数据-取费表'!B2</f>
        <v>43117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99" t="s">
        <v>531</v>
      </c>
      <c r="Q7" s="3701"/>
      <c r="R7" s="1569" t="s">
        <v>8</v>
      </c>
      <c r="S7" s="1570">
        <f t="shared" ref="S7:S15" si="0">F7</f>
        <v>0</v>
      </c>
      <c r="T7" s="1569" t="s">
        <v>8</v>
      </c>
      <c r="U7" s="1570">
        <f t="shared" ref="U7:U15" si="1">H7</f>
        <v>0</v>
      </c>
      <c r="V7" s="1569" t="s">
        <v>8</v>
      </c>
      <c r="W7" s="1570">
        <f t="shared" ref="W7:W15" si="2">J7</f>
        <v>0</v>
      </c>
      <c r="X7" s="1571"/>
      <c r="Y7" s="3699" t="s">
        <v>531</v>
      </c>
      <c r="Z7" s="3700"/>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99" t="s">
        <v>534</v>
      </c>
      <c r="Q8" s="3700"/>
      <c r="R8" s="1569" t="s">
        <v>8</v>
      </c>
      <c r="S8" s="1570">
        <f t="shared" si="0"/>
        <v>0</v>
      </c>
      <c r="T8" s="1569" t="s">
        <v>8</v>
      </c>
      <c r="U8" s="1570">
        <f t="shared" si="1"/>
        <v>0</v>
      </c>
      <c r="V8" s="1569" t="s">
        <v>8</v>
      </c>
      <c r="W8" s="1570">
        <f t="shared" si="2"/>
        <v>0</v>
      </c>
      <c r="X8" s="1571"/>
      <c r="Y8" s="3699" t="s">
        <v>534</v>
      </c>
      <c r="Z8" s="3700"/>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67" t="s">
        <v>536</v>
      </c>
      <c r="Q9" s="1151" t="str">
        <f t="shared" ref="Q9:Q15" si="6">B9</f>
        <v>用途</v>
      </c>
      <c r="R9" s="1569" t="s">
        <v>8</v>
      </c>
      <c r="S9" s="1570">
        <f t="shared" si="0"/>
        <v>100</v>
      </c>
      <c r="T9" s="1569" t="s">
        <v>8</v>
      </c>
      <c r="U9" s="1570">
        <f t="shared" si="1"/>
        <v>100</v>
      </c>
      <c r="V9" s="1569" t="s">
        <v>8</v>
      </c>
      <c r="W9" s="1570">
        <f t="shared" si="2"/>
        <v>100</v>
      </c>
      <c r="X9" s="1571"/>
      <c r="Y9" s="3613"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67"/>
      <c r="Q11" s="1151" t="str">
        <f t="shared" si="6"/>
        <v>容积率</v>
      </c>
      <c r="R11" s="1569" t="s">
        <v>8</v>
      </c>
      <c r="S11" s="1570" t="e">
        <f t="shared" si="0"/>
        <v>#N/A</v>
      </c>
      <c r="T11" s="1569" t="s">
        <v>8</v>
      </c>
      <c r="U11" s="1570" t="e">
        <f t="shared" si="1"/>
        <v>#N/A</v>
      </c>
      <c r="V11" s="1569" t="s">
        <v>8</v>
      </c>
      <c r="W11" s="1570" t="e">
        <f t="shared" si="2"/>
        <v>#N/A</v>
      </c>
      <c r="X11" s="1571"/>
      <c r="Y11" s="3613"/>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67"/>
      <c r="Q14" s="1151">
        <f t="shared" si="6"/>
        <v>111</v>
      </c>
      <c r="R14" s="1569" t="s">
        <v>8</v>
      </c>
      <c r="S14" s="1570">
        <f t="shared" si="0"/>
        <v>100</v>
      </c>
      <c r="T14" s="1569" t="s">
        <v>8</v>
      </c>
      <c r="U14" s="1570">
        <f t="shared" si="1"/>
        <v>100</v>
      </c>
      <c r="V14" s="1569" t="s">
        <v>8</v>
      </c>
      <c r="W14" s="1570">
        <f t="shared" si="2"/>
        <v>100</v>
      </c>
      <c r="X14" s="1571"/>
      <c r="Y14" s="3613"/>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702" t="s">
        <v>541</v>
      </c>
      <c r="Q15" s="1573" t="str">
        <f t="shared" si="6"/>
        <v>产业集聚程度</v>
      </c>
      <c r="R15" s="1574" t="s">
        <v>8</v>
      </c>
      <c r="S15" s="1575">
        <f t="shared" si="0"/>
        <v>100</v>
      </c>
      <c r="T15" s="1574" t="s">
        <v>8</v>
      </c>
      <c r="U15" s="1575">
        <f t="shared" si="1"/>
        <v>100</v>
      </c>
      <c r="V15" s="1574" t="s">
        <v>8</v>
      </c>
      <c r="W15" s="1575">
        <f t="shared" si="2"/>
        <v>100</v>
      </c>
      <c r="X15" s="1568"/>
      <c r="Y15" s="3702"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703"/>
      <c r="Q16" s="1573"/>
      <c r="R16" s="1574"/>
      <c r="S16" s="1575"/>
      <c r="T16" s="1574"/>
      <c r="U16" s="1575"/>
      <c r="V16" s="1574"/>
      <c r="W16" s="1575"/>
      <c r="X16" s="1568"/>
      <c r="Y16" s="370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703"/>
      <c r="Q17" s="1573" t="str">
        <f>B17</f>
        <v>交通便捷度</v>
      </c>
      <c r="R17" s="1574" t="s">
        <v>8</v>
      </c>
      <c r="S17" s="1575">
        <f>F17</f>
        <v>100</v>
      </c>
      <c r="T17" s="1574" t="s">
        <v>8</v>
      </c>
      <c r="U17" s="1575">
        <f>H17</f>
        <v>100</v>
      </c>
      <c r="V17" s="1574" t="s">
        <v>8</v>
      </c>
      <c r="W17" s="1575">
        <f>J17</f>
        <v>100</v>
      </c>
      <c r="X17" s="1568"/>
      <c r="Y17" s="37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703"/>
      <c r="Q18" s="1573"/>
      <c r="R18" s="1574"/>
      <c r="S18" s="1575"/>
      <c r="T18" s="1574"/>
      <c r="U18" s="1575"/>
      <c r="V18" s="1574"/>
      <c r="W18" s="1575"/>
      <c r="X18" s="1568"/>
      <c r="Y18" s="3703"/>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703"/>
      <c r="Q19" s="1573" t="str">
        <f>B19</f>
        <v>公共配套设施</v>
      </c>
      <c r="R19" s="1574" t="s">
        <v>8</v>
      </c>
      <c r="S19" s="1575">
        <f>F19</f>
        <v>100</v>
      </c>
      <c r="T19" s="1574" t="s">
        <v>8</v>
      </c>
      <c r="U19" s="1575">
        <f>H19</f>
        <v>100</v>
      </c>
      <c r="V19" s="1574" t="s">
        <v>8</v>
      </c>
      <c r="W19" s="1575">
        <f>J19</f>
        <v>100</v>
      </c>
      <c r="X19" s="1568"/>
      <c r="Y19" s="370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703"/>
      <c r="Q20" s="1573"/>
      <c r="R20" s="1574"/>
      <c r="S20" s="1575"/>
      <c r="T20" s="1574"/>
      <c r="U20" s="1575"/>
      <c r="V20" s="1574"/>
      <c r="W20" s="1575"/>
      <c r="X20" s="1568"/>
      <c r="Y20" s="3703"/>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703"/>
      <c r="Q21" s="2605" t="str">
        <f>B21</f>
        <v>基础设施水平</v>
      </c>
      <c r="R21" s="1574" t="s">
        <v>8</v>
      </c>
      <c r="S21" s="1575">
        <f>F21</f>
        <v>100</v>
      </c>
      <c r="T21" s="1574" t="s">
        <v>8</v>
      </c>
      <c r="U21" s="1575">
        <f>H21</f>
        <v>100</v>
      </c>
      <c r="V21" s="1574" t="s">
        <v>8</v>
      </c>
      <c r="W21" s="1575">
        <f>J21</f>
        <v>100</v>
      </c>
      <c r="X21" s="2607"/>
      <c r="Y21" s="3703"/>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703"/>
      <c r="Q22" s="2605"/>
      <c r="R22" s="1574"/>
      <c r="S22" s="1575"/>
      <c r="T22" s="1574"/>
      <c r="U22" s="1575"/>
      <c r="V22" s="1574"/>
      <c r="W22" s="1575"/>
      <c r="X22" s="2607"/>
      <c r="Y22" s="3703"/>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703"/>
      <c r="Q23" s="1573" t="str">
        <f>B23</f>
        <v>环境质量</v>
      </c>
      <c r="R23" s="1574" t="s">
        <v>8</v>
      </c>
      <c r="S23" s="1575">
        <f>F23</f>
        <v>100</v>
      </c>
      <c r="T23" s="1574" t="s">
        <v>8</v>
      </c>
      <c r="U23" s="1575">
        <f>H23</f>
        <v>100</v>
      </c>
      <c r="V23" s="1574" t="s">
        <v>8</v>
      </c>
      <c r="W23" s="1575">
        <f>J23</f>
        <v>100</v>
      </c>
      <c r="X23" s="1568"/>
      <c r="Y23" s="370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703"/>
      <c r="Q24" s="1573"/>
      <c r="R24" s="1574"/>
      <c r="S24" s="1575"/>
      <c r="T24" s="1574"/>
      <c r="U24" s="1575"/>
      <c r="V24" s="1574"/>
      <c r="W24" s="1575"/>
      <c r="X24" s="1568"/>
      <c r="Y24" s="370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703"/>
      <c r="Q25" s="1573">
        <f>B25</f>
        <v>111</v>
      </c>
      <c r="R25" s="1574" t="s">
        <v>8</v>
      </c>
      <c r="S25" s="1575">
        <f>F25</f>
        <v>100</v>
      </c>
      <c r="T25" s="1574" t="s">
        <v>8</v>
      </c>
      <c r="U25" s="1575">
        <f>H25</f>
        <v>100</v>
      </c>
      <c r="V25" s="1574" t="s">
        <v>8</v>
      </c>
      <c r="W25" s="1575">
        <f>J25</f>
        <v>100</v>
      </c>
      <c r="X25" s="1568"/>
      <c r="Y25" s="370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703"/>
      <c r="Q26" s="1573">
        <f t="shared" ref="Q26:Q40" si="11">B26</f>
        <v>111</v>
      </c>
      <c r="R26" s="1574" t="s">
        <v>8</v>
      </c>
      <c r="S26" s="1575">
        <f>F26</f>
        <v>100</v>
      </c>
      <c r="T26" s="1574" t="s">
        <v>8</v>
      </c>
      <c r="U26" s="1575">
        <f>H26</f>
        <v>100</v>
      </c>
      <c r="V26" s="1574" t="s">
        <v>8</v>
      </c>
      <c r="W26" s="1575">
        <f>J26</f>
        <v>100</v>
      </c>
      <c r="X26" s="1568"/>
      <c r="Y26" s="370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703"/>
      <c r="Q27" s="1151">
        <f t="shared" si="11"/>
        <v>111</v>
      </c>
      <c r="R27" s="1569" t="s">
        <v>8</v>
      </c>
      <c r="S27" s="1570">
        <f>F27</f>
        <v>100</v>
      </c>
      <c r="T27" s="1569" t="s">
        <v>8</v>
      </c>
      <c r="U27" s="1570">
        <f>H27</f>
        <v>100</v>
      </c>
      <c r="V27" s="1569" t="s">
        <v>8</v>
      </c>
      <c r="W27" s="1570">
        <f>J27</f>
        <v>100</v>
      </c>
      <c r="X27" s="1571"/>
      <c r="Y27" s="370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703"/>
      <c r="Q28" s="1573">
        <f t="shared" si="11"/>
        <v>111</v>
      </c>
      <c r="R28" s="1574" t="s">
        <v>8</v>
      </c>
      <c r="S28" s="1575">
        <f t="shared" ref="S28:S40" si="12">F28</f>
        <v>100</v>
      </c>
      <c r="T28" s="1574" t="s">
        <v>8</v>
      </c>
      <c r="U28" s="1575">
        <f t="shared" ref="U28:U40" si="13">H28</f>
        <v>100</v>
      </c>
      <c r="V28" s="1574" t="s">
        <v>8</v>
      </c>
      <c r="W28" s="1575">
        <f t="shared" ref="W28:W40" si="14">J28</f>
        <v>100</v>
      </c>
      <c r="X28" s="1568"/>
      <c r="Y28" s="3703"/>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704" t="s">
        <v>551</v>
      </c>
      <c r="Q29" s="1573" t="str">
        <f t="shared" si="11"/>
        <v>建筑类型</v>
      </c>
      <c r="R29" s="1574" t="s">
        <v>8</v>
      </c>
      <c r="S29" s="1575">
        <f t="shared" si="12"/>
        <v>100</v>
      </c>
      <c r="T29" s="1574" t="s">
        <v>8</v>
      </c>
      <c r="U29" s="1575">
        <f t="shared" si="13"/>
        <v>100</v>
      </c>
      <c r="V29" s="1574" t="s">
        <v>8</v>
      </c>
      <c r="W29" s="1575">
        <f t="shared" si="14"/>
        <v>100</v>
      </c>
      <c r="X29" s="1568"/>
      <c r="Y29" s="3705"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705"/>
      <c r="Q30" s="1606" t="str">
        <f t="shared" si="11"/>
        <v>项目建筑规模</v>
      </c>
      <c r="R30" s="1578" t="s">
        <v>8</v>
      </c>
      <c r="S30" s="1579" t="e">
        <f t="shared" si="12"/>
        <v>#N/A</v>
      </c>
      <c r="T30" s="1578" t="s">
        <v>8</v>
      </c>
      <c r="U30" s="1579" t="e">
        <f t="shared" si="13"/>
        <v>#N/A</v>
      </c>
      <c r="V30" s="1578" t="s">
        <v>8</v>
      </c>
      <c r="W30" s="1579" t="e">
        <f t="shared" si="14"/>
        <v>#N/A</v>
      </c>
      <c r="X30" s="1580"/>
      <c r="Y30" s="3705"/>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705"/>
      <c r="Q31" s="1573" t="str">
        <f t="shared" si="11"/>
        <v>建筑结构</v>
      </c>
      <c r="R31" s="1574" t="s">
        <v>8</v>
      </c>
      <c r="S31" s="1575">
        <f t="shared" si="12"/>
        <v>100</v>
      </c>
      <c r="T31" s="1574" t="s">
        <v>8</v>
      </c>
      <c r="U31" s="1575">
        <f t="shared" si="13"/>
        <v>100</v>
      </c>
      <c r="V31" s="1574" t="s">
        <v>8</v>
      </c>
      <c r="W31" s="1575">
        <f t="shared" si="14"/>
        <v>100</v>
      </c>
      <c r="X31" s="1568"/>
      <c r="Y31" s="3705"/>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705"/>
      <c r="Q32" s="1573" t="str">
        <f t="shared" si="11"/>
        <v>公共部分装修</v>
      </c>
      <c r="R32" s="1574" t="s">
        <v>8</v>
      </c>
      <c r="S32" s="1575">
        <f t="shared" si="12"/>
        <v>100</v>
      </c>
      <c r="T32" s="1574" t="s">
        <v>8</v>
      </c>
      <c r="U32" s="1575">
        <f t="shared" si="13"/>
        <v>100</v>
      </c>
      <c r="V32" s="1574" t="s">
        <v>8</v>
      </c>
      <c r="W32" s="1575">
        <f t="shared" si="14"/>
        <v>100</v>
      </c>
      <c r="X32" s="1568"/>
      <c r="Y32" s="3705"/>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705"/>
      <c r="Q33" s="1573" t="str">
        <f t="shared" si="11"/>
        <v>成新度</v>
      </c>
      <c r="R33" s="1574" t="s">
        <v>8</v>
      </c>
      <c r="S33" s="1575" t="e">
        <f t="shared" si="12"/>
        <v>#N/A</v>
      </c>
      <c r="T33" s="1574" t="s">
        <v>8</v>
      </c>
      <c r="U33" s="1575" t="e">
        <f t="shared" si="13"/>
        <v>#N/A</v>
      </c>
      <c r="V33" s="1574" t="s">
        <v>8</v>
      </c>
      <c r="W33" s="1575" t="e">
        <f t="shared" si="14"/>
        <v>#N/A</v>
      </c>
      <c r="X33" s="1568"/>
      <c r="Y33" s="3705"/>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705"/>
      <c r="Q34" s="1151" t="str">
        <f t="shared" si="11"/>
        <v>物业管理</v>
      </c>
      <c r="R34" s="1569" t="s">
        <v>8</v>
      </c>
      <c r="S34" s="1570">
        <f t="shared" si="12"/>
        <v>100</v>
      </c>
      <c r="T34" s="1569" t="s">
        <v>8</v>
      </c>
      <c r="U34" s="1570">
        <f t="shared" si="13"/>
        <v>100</v>
      </c>
      <c r="V34" s="1569" t="s">
        <v>8</v>
      </c>
      <c r="W34" s="1570">
        <f t="shared" si="14"/>
        <v>100</v>
      </c>
      <c r="X34" s="1571"/>
      <c r="Y34" s="3705"/>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705" t="s">
        <v>551</v>
      </c>
      <c r="Q35" s="1573" t="str">
        <f t="shared" si="11"/>
        <v>市政基础设施</v>
      </c>
      <c r="R35" s="1574" t="s">
        <v>8</v>
      </c>
      <c r="S35" s="1575">
        <f t="shared" si="12"/>
        <v>100</v>
      </c>
      <c r="T35" s="1574" t="s">
        <v>8</v>
      </c>
      <c r="U35" s="1575">
        <f t="shared" si="13"/>
        <v>100</v>
      </c>
      <c r="V35" s="1574" t="s">
        <v>8</v>
      </c>
      <c r="W35" s="1575">
        <f t="shared" si="14"/>
        <v>100</v>
      </c>
      <c r="X35" s="1568"/>
      <c r="Y35" s="3705"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705"/>
      <c r="Q36" s="1573" t="str">
        <f t="shared" si="11"/>
        <v>内部装修</v>
      </c>
      <c r="R36" s="1574" t="s">
        <v>8</v>
      </c>
      <c r="S36" s="1575">
        <f t="shared" si="12"/>
        <v>100</v>
      </c>
      <c r="T36" s="1574" t="s">
        <v>8</v>
      </c>
      <c r="U36" s="1575">
        <f t="shared" si="13"/>
        <v>100</v>
      </c>
      <c r="V36" s="1574" t="s">
        <v>8</v>
      </c>
      <c r="W36" s="1575">
        <f t="shared" si="14"/>
        <v>100</v>
      </c>
      <c r="X36" s="1568"/>
      <c r="Y36" s="3705"/>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705"/>
      <c r="Q37" s="1573" t="str">
        <f t="shared" si="11"/>
        <v>内部装修状况</v>
      </c>
      <c r="R37" s="1574" t="s">
        <v>8</v>
      </c>
      <c r="S37" s="1575">
        <f t="shared" si="12"/>
        <v>100</v>
      </c>
      <c r="T37" s="1574" t="s">
        <v>8</v>
      </c>
      <c r="U37" s="1575">
        <f t="shared" si="13"/>
        <v>100</v>
      </c>
      <c r="V37" s="1574" t="s">
        <v>8</v>
      </c>
      <c r="W37" s="1575">
        <f t="shared" si="14"/>
        <v>100</v>
      </c>
      <c r="X37" s="1568"/>
      <c r="Y37" s="370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705"/>
      <c r="Q38" s="1606">
        <f t="shared" si="11"/>
        <v>111</v>
      </c>
      <c r="R38" s="1578" t="s">
        <v>8</v>
      </c>
      <c r="S38" s="1579">
        <f t="shared" si="12"/>
        <v>100</v>
      </c>
      <c r="T38" s="1578" t="s">
        <v>8</v>
      </c>
      <c r="U38" s="1579">
        <f t="shared" si="13"/>
        <v>100</v>
      </c>
      <c r="V38" s="1578" t="s">
        <v>8</v>
      </c>
      <c r="W38" s="1579">
        <f t="shared" si="14"/>
        <v>100</v>
      </c>
      <c r="X38" s="1580"/>
      <c r="Y38" s="370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705"/>
      <c r="Q39" s="1573">
        <f t="shared" si="11"/>
        <v>111</v>
      </c>
      <c r="R39" s="1574" t="s">
        <v>8</v>
      </c>
      <c r="S39" s="1575">
        <f t="shared" si="12"/>
        <v>100</v>
      </c>
      <c r="T39" s="1574" t="s">
        <v>8</v>
      </c>
      <c r="U39" s="1575">
        <f t="shared" si="13"/>
        <v>100</v>
      </c>
      <c r="V39" s="1574" t="s">
        <v>8</v>
      </c>
      <c r="W39" s="1575">
        <f t="shared" si="14"/>
        <v>100</v>
      </c>
      <c r="X39" s="1568"/>
      <c r="Y39" s="370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2"/>
      <c r="Q40" s="1573">
        <f t="shared" si="11"/>
        <v>111</v>
      </c>
      <c r="R40" s="1574" t="s">
        <v>8</v>
      </c>
      <c r="S40" s="1575">
        <f t="shared" si="12"/>
        <v>100</v>
      </c>
      <c r="T40" s="1574" t="s">
        <v>8</v>
      </c>
      <c r="U40" s="1575">
        <f t="shared" si="13"/>
        <v>100</v>
      </c>
      <c r="V40" s="1574" t="s">
        <v>8</v>
      </c>
      <c r="W40" s="1575">
        <f t="shared" si="14"/>
        <v>100</v>
      </c>
      <c r="X40" s="1568"/>
      <c r="Y40" s="3782"/>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67" t="str">
        <f>A41</f>
        <v>成交单价（元/平方米）</v>
      </c>
      <c r="Q41" s="3667"/>
      <c r="R41" s="3781">
        <f>E41</f>
        <v>0</v>
      </c>
      <c r="S41" s="3781"/>
      <c r="T41" s="3781">
        <f>G41</f>
        <v>0</v>
      </c>
      <c r="U41" s="3781"/>
      <c r="V41" s="3781">
        <f>I41</f>
        <v>0</v>
      </c>
      <c r="W41" s="3781"/>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67" t="str">
        <f>A42</f>
        <v>比较价格（元/平方米）</v>
      </c>
      <c r="Q42" s="3667"/>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560"/>
      <c r="Y42" s="1560"/>
      <c r="Z42" s="1560"/>
      <c r="AA42" s="1560"/>
      <c r="AB42" s="1560"/>
      <c r="AC42" s="1560"/>
    </row>
    <row r="43" spans="1:29" ht="15.75" thickBot="1">
      <c r="A43" s="621" t="s">
        <v>2943</v>
      </c>
      <c r="B43" s="622"/>
      <c r="C43" s="2662" t="e">
        <f>R43</f>
        <v>#DIV/0!</v>
      </c>
      <c r="D43" s="2662"/>
      <c r="E43" s="2662"/>
      <c r="F43" s="2662"/>
      <c r="G43" s="2662"/>
      <c r="H43" s="2662"/>
      <c r="I43" s="2662"/>
      <c r="J43" s="2662"/>
      <c r="K43" s="1614"/>
      <c r="L43" s="2146"/>
      <c r="M43" s="2147"/>
      <c r="N43" s="2147"/>
      <c r="O43" s="2147"/>
      <c r="P43" s="3664" t="str">
        <f>A43</f>
        <v>估价对象XX用房的比较价格（楼面单价，元/平方米）</v>
      </c>
      <c r="Q43" s="3665"/>
      <c r="R43" s="3780" t="e">
        <f>IF(F1="售价",ROUND(AVERAGE(R42:V42),0),ROUND(AVERAGE(R42:V42),1))</f>
        <v>#DIV/0!</v>
      </c>
      <c r="S43" s="3780"/>
      <c r="T43" s="3780"/>
      <c r="U43" s="3780"/>
      <c r="V43" s="3780"/>
      <c r="W43" s="378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3" t="s">
        <v>799</v>
      </c>
      <c r="D4" s="3674"/>
      <c r="E4" s="3673" t="s">
        <v>800</v>
      </c>
      <c r="F4" s="3674"/>
      <c r="G4" s="3673" t="s">
        <v>801</v>
      </c>
      <c r="H4" s="3674"/>
      <c r="I4" s="3673" t="s">
        <v>802</v>
      </c>
      <c r="J4" s="3674"/>
      <c r="K4" s="514" t="s">
        <v>803</v>
      </c>
      <c r="L4" s="2135"/>
      <c r="M4" s="2136"/>
      <c r="N4" s="2136"/>
      <c r="O4" s="2136"/>
      <c r="P4" s="3675" t="s">
        <v>804</v>
      </c>
      <c r="Q4" s="3676"/>
      <c r="R4" s="3681" t="s">
        <v>800</v>
      </c>
      <c r="S4" s="3682"/>
      <c r="T4" s="3681" t="s">
        <v>801</v>
      </c>
      <c r="U4" s="3682"/>
      <c r="V4" s="3668" t="s">
        <v>802</v>
      </c>
      <c r="W4" s="3668"/>
      <c r="X4" s="1568"/>
      <c r="Y4" s="3681" t="s">
        <v>804</v>
      </c>
      <c r="Z4" s="3682"/>
      <c r="AA4" s="3670" t="s">
        <v>800</v>
      </c>
      <c r="AB4" s="3671" t="s">
        <v>801</v>
      </c>
      <c r="AC4" s="3670" t="s">
        <v>802</v>
      </c>
    </row>
    <row r="5" spans="1:29" ht="15">
      <c r="A5" s="515"/>
      <c r="B5" s="516"/>
      <c r="C5" s="3689" t="s">
        <v>2937</v>
      </c>
      <c r="D5" s="3690"/>
      <c r="E5" s="3689" t="s">
        <v>2938</v>
      </c>
      <c r="F5" s="3690"/>
      <c r="G5" s="3689" t="s">
        <v>2939</v>
      </c>
      <c r="H5" s="3690"/>
      <c r="I5" s="3689" t="s">
        <v>2940</v>
      </c>
      <c r="J5" s="3690"/>
      <c r="K5" s="514"/>
      <c r="L5" s="2135"/>
      <c r="M5" s="2136"/>
      <c r="N5" s="2136"/>
      <c r="O5" s="2136"/>
      <c r="P5" s="3677"/>
      <c r="Q5" s="3678"/>
      <c r="R5" s="3683"/>
      <c r="S5" s="3684"/>
      <c r="T5" s="3683"/>
      <c r="U5" s="3684"/>
      <c r="V5" s="3668"/>
      <c r="W5" s="3668"/>
      <c r="X5" s="1568"/>
      <c r="Y5" s="3683"/>
      <c r="Z5" s="3684"/>
      <c r="AA5" s="3671"/>
      <c r="AB5" s="3671"/>
      <c r="AC5" s="3671"/>
    </row>
    <row r="6" spans="1:29" ht="15.75" thickBot="1">
      <c r="A6" s="517"/>
      <c r="B6" s="518"/>
      <c r="C6" s="3687" t="s">
        <v>2941</v>
      </c>
      <c r="D6" s="3688"/>
      <c r="E6" s="3693" t="s">
        <v>2941</v>
      </c>
      <c r="F6" s="3692"/>
      <c r="G6" s="3687" t="s">
        <v>2941</v>
      </c>
      <c r="H6" s="3688"/>
      <c r="I6" s="3687" t="s">
        <v>2941</v>
      </c>
      <c r="J6" s="3688"/>
      <c r="K6" s="514" t="s">
        <v>529</v>
      </c>
      <c r="L6" s="2135"/>
      <c r="M6" s="2136"/>
      <c r="N6" s="2136"/>
      <c r="O6" s="2136"/>
      <c r="P6" s="3679"/>
      <c r="Q6" s="3680"/>
      <c r="R6" s="3683"/>
      <c r="S6" s="3684"/>
      <c r="T6" s="3685"/>
      <c r="U6" s="3686"/>
      <c r="V6" s="3668"/>
      <c r="W6" s="3668"/>
      <c r="X6" s="1568"/>
      <c r="Y6" s="3685"/>
      <c r="Z6" s="3686"/>
      <c r="AA6" s="3672"/>
      <c r="AB6" s="3672"/>
      <c r="AC6" s="3672"/>
    </row>
    <row r="7" spans="1:29" s="1220" customFormat="1" ht="15.75" thickBot="1">
      <c r="A7" s="2939"/>
      <c r="B7" s="2946" t="s">
        <v>530</v>
      </c>
      <c r="C7" s="519">
        <f>'数据-取费表'!B2</f>
        <v>43117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99" t="s">
        <v>531</v>
      </c>
      <c r="Q7" s="3701"/>
      <c r="R7" s="1569" t="s">
        <v>8</v>
      </c>
      <c r="S7" s="1570">
        <f t="shared" ref="S7:S14" si="0">F7</f>
        <v>0</v>
      </c>
      <c r="T7" s="1569" t="s">
        <v>8</v>
      </c>
      <c r="U7" s="1570">
        <f t="shared" ref="U7:U14" si="1">H7</f>
        <v>0</v>
      </c>
      <c r="V7" s="1569" t="s">
        <v>8</v>
      </c>
      <c r="W7" s="1570">
        <f t="shared" ref="W7:W14" si="2">J7</f>
        <v>0</v>
      </c>
      <c r="X7" s="1571"/>
      <c r="Y7" s="3699" t="s">
        <v>531</v>
      </c>
      <c r="Z7" s="3700"/>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99" t="s">
        <v>534</v>
      </c>
      <c r="Q8" s="3700"/>
      <c r="R8" s="1569" t="s">
        <v>8</v>
      </c>
      <c r="S8" s="1570">
        <f t="shared" si="0"/>
        <v>0</v>
      </c>
      <c r="T8" s="1569" t="s">
        <v>8</v>
      </c>
      <c r="U8" s="1570">
        <f t="shared" si="1"/>
        <v>0</v>
      </c>
      <c r="V8" s="1569" t="s">
        <v>8</v>
      </c>
      <c r="W8" s="1570">
        <f t="shared" si="2"/>
        <v>0</v>
      </c>
      <c r="X8" s="1571"/>
      <c r="Y8" s="3699" t="s">
        <v>534</v>
      </c>
      <c r="Z8" s="3700"/>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67" t="s">
        <v>536</v>
      </c>
      <c r="Q9" s="1151" t="str">
        <f t="shared" ref="Q9:Q14" si="6">B9</f>
        <v>用途</v>
      </c>
      <c r="R9" s="1569" t="s">
        <v>8</v>
      </c>
      <c r="S9" s="1570">
        <f t="shared" si="0"/>
        <v>100</v>
      </c>
      <c r="T9" s="1569" t="s">
        <v>8</v>
      </c>
      <c r="U9" s="1570">
        <f t="shared" si="1"/>
        <v>100</v>
      </c>
      <c r="V9" s="1569" t="s">
        <v>8</v>
      </c>
      <c r="W9" s="1570">
        <f t="shared" si="2"/>
        <v>100</v>
      </c>
      <c r="X9" s="1571"/>
      <c r="Y9" s="3613"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67"/>
      <c r="Q11" s="1151">
        <f t="shared" si="6"/>
        <v>111</v>
      </c>
      <c r="R11" s="1569" t="s">
        <v>8</v>
      </c>
      <c r="S11" s="1570">
        <f t="shared" si="0"/>
        <v>100</v>
      </c>
      <c r="T11" s="1569" t="s">
        <v>8</v>
      </c>
      <c r="U11" s="1570">
        <f t="shared" si="1"/>
        <v>100</v>
      </c>
      <c r="V11" s="1569" t="s">
        <v>8</v>
      </c>
      <c r="W11" s="1570">
        <f t="shared" si="2"/>
        <v>100</v>
      </c>
      <c r="X11" s="1571"/>
      <c r="Y11" s="3613"/>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702" t="s">
        <v>541</v>
      </c>
      <c r="Q14" s="1573" t="str">
        <f t="shared" si="6"/>
        <v>交通便捷度</v>
      </c>
      <c r="R14" s="1574" t="s">
        <v>8</v>
      </c>
      <c r="S14" s="1575">
        <f t="shared" si="0"/>
        <v>100</v>
      </c>
      <c r="T14" s="1574" t="s">
        <v>8</v>
      </c>
      <c r="U14" s="1575">
        <f t="shared" si="1"/>
        <v>100</v>
      </c>
      <c r="V14" s="1574" t="s">
        <v>8</v>
      </c>
      <c r="W14" s="1575">
        <f t="shared" si="2"/>
        <v>100</v>
      </c>
      <c r="X14" s="1568"/>
      <c r="Y14" s="3702"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703"/>
      <c r="Q15" s="1573"/>
      <c r="R15" s="1574"/>
      <c r="S15" s="1575"/>
      <c r="T15" s="1574"/>
      <c r="U15" s="1575"/>
      <c r="V15" s="1574"/>
      <c r="W15" s="1575"/>
      <c r="X15" s="1568"/>
      <c r="Y15" s="3703"/>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703"/>
      <c r="Q16" s="1573" t="str">
        <f>B16</f>
        <v>公共配套设施</v>
      </c>
      <c r="R16" s="1574" t="s">
        <v>8</v>
      </c>
      <c r="S16" s="1575">
        <f>F16</f>
        <v>100</v>
      </c>
      <c r="T16" s="1574" t="s">
        <v>8</v>
      </c>
      <c r="U16" s="1575">
        <f>H16</f>
        <v>100</v>
      </c>
      <c r="V16" s="1574" t="s">
        <v>8</v>
      </c>
      <c r="W16" s="1575">
        <f>J16</f>
        <v>100</v>
      </c>
      <c r="X16" s="1568"/>
      <c r="Y16" s="370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703"/>
      <c r="Q17" s="1573"/>
      <c r="R17" s="1574"/>
      <c r="S17" s="1575"/>
      <c r="T17" s="1574"/>
      <c r="U17" s="1575"/>
      <c r="V17" s="1574"/>
      <c r="W17" s="1575"/>
      <c r="X17" s="1568"/>
      <c r="Y17" s="3703"/>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703"/>
      <c r="Q18" s="2605" t="str">
        <f>B18</f>
        <v>基础设施水平</v>
      </c>
      <c r="R18" s="1574" t="s">
        <v>8</v>
      </c>
      <c r="S18" s="1575">
        <f>F18</f>
        <v>100</v>
      </c>
      <c r="T18" s="1574" t="s">
        <v>8</v>
      </c>
      <c r="U18" s="1575">
        <f>H18</f>
        <v>100</v>
      </c>
      <c r="V18" s="1574" t="s">
        <v>8</v>
      </c>
      <c r="W18" s="1575">
        <f>J18</f>
        <v>100</v>
      </c>
      <c r="X18" s="2607"/>
      <c r="Y18" s="3703"/>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703"/>
      <c r="Q19" s="2605"/>
      <c r="R19" s="1574"/>
      <c r="S19" s="1575"/>
      <c r="T19" s="1574"/>
      <c r="U19" s="1575"/>
      <c r="V19" s="1574"/>
      <c r="W19" s="1575"/>
      <c r="X19" s="2607"/>
      <c r="Y19" s="3703"/>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703"/>
      <c r="Q20" s="1573" t="str">
        <f>B20</f>
        <v>自然及人文环境</v>
      </c>
      <c r="R20" s="1574" t="s">
        <v>8</v>
      </c>
      <c r="S20" s="1575">
        <f>F20</f>
        <v>100</v>
      </c>
      <c r="T20" s="1574" t="s">
        <v>8</v>
      </c>
      <c r="U20" s="1575">
        <f>H20</f>
        <v>100</v>
      </c>
      <c r="V20" s="1574" t="s">
        <v>8</v>
      </c>
      <c r="W20" s="1575">
        <f>J20</f>
        <v>100</v>
      </c>
      <c r="X20" s="1568"/>
      <c r="Y20" s="370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703"/>
      <c r="Q21" s="1573"/>
      <c r="R21" s="1574"/>
      <c r="S21" s="1575"/>
      <c r="T21" s="1574"/>
      <c r="U21" s="1575"/>
      <c r="V21" s="1574"/>
      <c r="W21" s="1575"/>
      <c r="X21" s="1568"/>
      <c r="Y21" s="3703"/>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703"/>
      <c r="Q22" s="1573" t="str">
        <f>B22</f>
        <v>楼层</v>
      </c>
      <c r="R22" s="1574" t="s">
        <v>8</v>
      </c>
      <c r="S22" s="1575">
        <f>F22</f>
        <v>100</v>
      </c>
      <c r="T22" s="1574" t="s">
        <v>8</v>
      </c>
      <c r="U22" s="1575">
        <f>H22</f>
        <v>100</v>
      </c>
      <c r="V22" s="1574" t="s">
        <v>8</v>
      </c>
      <c r="W22" s="1575">
        <f>J22</f>
        <v>100</v>
      </c>
      <c r="X22" s="1568"/>
      <c r="Y22" s="370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703"/>
      <c r="Q23" s="1573">
        <f>B23</f>
        <v>111</v>
      </c>
      <c r="R23" s="1574" t="s">
        <v>8</v>
      </c>
      <c r="S23" s="1575">
        <f>F23</f>
        <v>100</v>
      </c>
      <c r="T23" s="1574" t="s">
        <v>8</v>
      </c>
      <c r="U23" s="1575">
        <f>H23</f>
        <v>100</v>
      </c>
      <c r="V23" s="1574" t="s">
        <v>8</v>
      </c>
      <c r="W23" s="1575">
        <f>J23</f>
        <v>100</v>
      </c>
      <c r="X23" s="1568"/>
      <c r="Y23" s="370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703"/>
      <c r="Q24" s="1573">
        <f t="shared" ref="Q24:Q36" si="11">B24</f>
        <v>111</v>
      </c>
      <c r="R24" s="1574" t="s">
        <v>8</v>
      </c>
      <c r="S24" s="1575">
        <f>F24</f>
        <v>100</v>
      </c>
      <c r="T24" s="1574" t="s">
        <v>8</v>
      </c>
      <c r="U24" s="1575">
        <f>H24</f>
        <v>100</v>
      </c>
      <c r="V24" s="1574" t="s">
        <v>8</v>
      </c>
      <c r="W24" s="1575">
        <f>J24</f>
        <v>100</v>
      </c>
      <c r="X24" s="1568"/>
      <c r="Y24" s="370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703"/>
      <c r="Q25" s="1151">
        <f t="shared" si="11"/>
        <v>111</v>
      </c>
      <c r="R25" s="1569" t="s">
        <v>8</v>
      </c>
      <c r="S25" s="1570">
        <f>F25</f>
        <v>100</v>
      </c>
      <c r="T25" s="1569" t="s">
        <v>8</v>
      </c>
      <c r="U25" s="1570">
        <f>H25</f>
        <v>100</v>
      </c>
      <c r="V25" s="1569" t="s">
        <v>8</v>
      </c>
      <c r="W25" s="1570">
        <f>J25</f>
        <v>100</v>
      </c>
      <c r="X25" s="1571"/>
      <c r="Y25" s="3703"/>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70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05"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705"/>
      <c r="Q27" s="1606" t="str">
        <f t="shared" si="11"/>
        <v>项目停车位配比</v>
      </c>
      <c r="R27" s="1578" t="s">
        <v>8</v>
      </c>
      <c r="S27" s="1579">
        <f t="shared" si="12"/>
        <v>100</v>
      </c>
      <c r="T27" s="1578" t="s">
        <v>8</v>
      </c>
      <c r="U27" s="1579">
        <f t="shared" si="13"/>
        <v>100</v>
      </c>
      <c r="V27" s="1578" t="s">
        <v>8</v>
      </c>
      <c r="W27" s="1579">
        <f t="shared" si="14"/>
        <v>100</v>
      </c>
      <c r="X27" s="1580"/>
      <c r="Y27" s="3705"/>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705"/>
      <c r="Q28" s="1573" t="str">
        <f t="shared" si="11"/>
        <v>公共部分装修</v>
      </c>
      <c r="R28" s="1574" t="s">
        <v>8</v>
      </c>
      <c r="S28" s="1575">
        <f t="shared" si="12"/>
        <v>100</v>
      </c>
      <c r="T28" s="1574" t="s">
        <v>8</v>
      </c>
      <c r="U28" s="1575">
        <f t="shared" si="13"/>
        <v>100</v>
      </c>
      <c r="V28" s="1574" t="s">
        <v>8</v>
      </c>
      <c r="W28" s="1575">
        <f t="shared" si="14"/>
        <v>100</v>
      </c>
      <c r="X28" s="1568"/>
      <c r="Y28" s="3705"/>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705"/>
      <c r="Q29" s="1573" t="str">
        <f t="shared" si="11"/>
        <v>成新率</v>
      </c>
      <c r="R29" s="1574" t="s">
        <v>8</v>
      </c>
      <c r="S29" s="1575" t="e">
        <f t="shared" si="12"/>
        <v>#N/A</v>
      </c>
      <c r="T29" s="1574" t="s">
        <v>8</v>
      </c>
      <c r="U29" s="1575" t="e">
        <f t="shared" si="13"/>
        <v>#N/A</v>
      </c>
      <c r="V29" s="1574" t="s">
        <v>8</v>
      </c>
      <c r="W29" s="1575" t="e">
        <f t="shared" si="14"/>
        <v>#N/A</v>
      </c>
      <c r="X29" s="1568"/>
      <c r="Y29" s="3705"/>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705"/>
      <c r="Q30" s="1573" t="str">
        <f t="shared" si="11"/>
        <v>物业等级</v>
      </c>
      <c r="R30" s="1574" t="s">
        <v>8</v>
      </c>
      <c r="S30" s="1575">
        <f t="shared" si="12"/>
        <v>100</v>
      </c>
      <c r="T30" s="1574" t="s">
        <v>8</v>
      </c>
      <c r="U30" s="1575">
        <f t="shared" si="13"/>
        <v>100</v>
      </c>
      <c r="V30" s="1574" t="s">
        <v>8</v>
      </c>
      <c r="W30" s="1575">
        <f t="shared" si="14"/>
        <v>100</v>
      </c>
      <c r="X30" s="1568"/>
      <c r="Y30" s="3705"/>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705"/>
      <c r="Q31" s="1151" t="str">
        <f t="shared" si="11"/>
        <v>停车位面积</v>
      </c>
      <c r="R31" s="1569" t="s">
        <v>8</v>
      </c>
      <c r="S31" s="1570" t="e">
        <f t="shared" si="12"/>
        <v>#N/A</v>
      </c>
      <c r="T31" s="1569" t="s">
        <v>8</v>
      </c>
      <c r="U31" s="1570" t="e">
        <f t="shared" si="13"/>
        <v>#N/A</v>
      </c>
      <c r="V31" s="1569" t="s">
        <v>8</v>
      </c>
      <c r="W31" s="1570" t="e">
        <f t="shared" si="14"/>
        <v>#N/A</v>
      </c>
      <c r="X31" s="1571"/>
      <c r="Y31" s="3705"/>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705" t="s">
        <v>551</v>
      </c>
      <c r="Q32" s="1573" t="str">
        <f t="shared" si="11"/>
        <v>车位类型</v>
      </c>
      <c r="R32" s="1574" t="s">
        <v>8</v>
      </c>
      <c r="S32" s="1575">
        <f t="shared" si="12"/>
        <v>100</v>
      </c>
      <c r="T32" s="1574" t="s">
        <v>8</v>
      </c>
      <c r="U32" s="1575">
        <f t="shared" si="13"/>
        <v>100</v>
      </c>
      <c r="V32" s="1574" t="s">
        <v>8</v>
      </c>
      <c r="W32" s="1575">
        <f t="shared" si="14"/>
        <v>100</v>
      </c>
      <c r="X32" s="1568"/>
      <c r="Y32" s="3705"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705"/>
      <c r="Q33" s="1573" t="str">
        <f t="shared" si="11"/>
        <v>是否直接入户</v>
      </c>
      <c r="R33" s="1574" t="s">
        <v>8</v>
      </c>
      <c r="S33" s="1575">
        <f t="shared" si="12"/>
        <v>100</v>
      </c>
      <c r="T33" s="1574" t="s">
        <v>8</v>
      </c>
      <c r="U33" s="1575">
        <f t="shared" si="13"/>
        <v>100</v>
      </c>
      <c r="V33" s="1574" t="s">
        <v>8</v>
      </c>
      <c r="W33" s="1575">
        <f t="shared" si="14"/>
        <v>100</v>
      </c>
      <c r="X33" s="1568"/>
      <c r="Y33" s="370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705"/>
      <c r="Q34" s="1573">
        <f t="shared" si="11"/>
        <v>111</v>
      </c>
      <c r="R34" s="1574" t="s">
        <v>8</v>
      </c>
      <c r="S34" s="1575">
        <f t="shared" si="12"/>
        <v>100</v>
      </c>
      <c r="T34" s="1574" t="s">
        <v>8</v>
      </c>
      <c r="U34" s="1575">
        <f t="shared" si="13"/>
        <v>100</v>
      </c>
      <c r="V34" s="1574" t="s">
        <v>8</v>
      </c>
      <c r="W34" s="1575">
        <f t="shared" si="14"/>
        <v>100</v>
      </c>
      <c r="X34" s="1568"/>
      <c r="Y34" s="370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705"/>
      <c r="Q35" s="1606">
        <f t="shared" si="11"/>
        <v>111</v>
      </c>
      <c r="R35" s="1578" t="s">
        <v>8</v>
      </c>
      <c r="S35" s="1579">
        <f t="shared" si="12"/>
        <v>100</v>
      </c>
      <c r="T35" s="1578" t="s">
        <v>8</v>
      </c>
      <c r="U35" s="1579">
        <f t="shared" si="13"/>
        <v>100</v>
      </c>
      <c r="V35" s="1578" t="s">
        <v>8</v>
      </c>
      <c r="W35" s="1579">
        <f t="shared" si="14"/>
        <v>100</v>
      </c>
      <c r="X35" s="1580"/>
      <c r="Y35" s="370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705"/>
      <c r="Q36" s="1573">
        <f t="shared" si="11"/>
        <v>111</v>
      </c>
      <c r="R36" s="1574" t="s">
        <v>8</v>
      </c>
      <c r="S36" s="1575">
        <f t="shared" si="12"/>
        <v>100</v>
      </c>
      <c r="T36" s="1574" t="s">
        <v>8</v>
      </c>
      <c r="U36" s="1575">
        <f t="shared" si="13"/>
        <v>100</v>
      </c>
      <c r="V36" s="1574" t="s">
        <v>8</v>
      </c>
      <c r="W36" s="1575">
        <f t="shared" si="14"/>
        <v>100</v>
      </c>
      <c r="X36" s="1568"/>
      <c r="Y36" s="3705"/>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67" t="str">
        <f>A37</f>
        <v>成交单价</v>
      </c>
      <c r="Q37" s="3667"/>
      <c r="R37" s="3781">
        <f>E37</f>
        <v>0</v>
      </c>
      <c r="S37" s="3781"/>
      <c r="T37" s="3781">
        <f>G37</f>
        <v>0</v>
      </c>
      <c r="U37" s="3781"/>
      <c r="V37" s="3781">
        <f>I37</f>
        <v>0</v>
      </c>
      <c r="W37" s="3781"/>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67" t="str">
        <f>A38</f>
        <v>比较价格（元/平方米）</v>
      </c>
      <c r="Q38" s="3667"/>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560"/>
      <c r="Y38" s="1560"/>
      <c r="Z38" s="1560"/>
      <c r="AA38" s="1560"/>
      <c r="AB38" s="1560"/>
      <c r="AC38" s="1560"/>
    </row>
    <row r="39" spans="1:29" ht="15.75" thickBot="1">
      <c r="A39" s="621" t="s">
        <v>2943</v>
      </c>
      <c r="B39" s="622"/>
      <c r="C39" s="2662" t="e">
        <f>R39</f>
        <v>#DIV/0!</v>
      </c>
      <c r="D39" s="2662"/>
      <c r="E39" s="2662"/>
      <c r="F39" s="2662"/>
      <c r="G39" s="2662"/>
      <c r="H39" s="2662"/>
      <c r="I39" s="2662"/>
      <c r="J39" s="2662"/>
      <c r="K39" s="1614"/>
      <c r="L39" s="2146"/>
      <c r="M39" s="2147"/>
      <c r="N39" s="2147"/>
      <c r="O39" s="2147"/>
      <c r="P39" s="3664" t="str">
        <f>A39</f>
        <v>估价对象XX用房的比较价格（楼面单价，元/平方米）</v>
      </c>
      <c r="Q39" s="3665"/>
      <c r="R39" s="3780" t="e">
        <f>IF(F1="售价",ROUND(AVERAGE(R38:V38),0),ROUND(AVERAGE(R38:V38),1))</f>
        <v>#DIV/0!</v>
      </c>
      <c r="S39" s="3780"/>
      <c r="T39" s="3780"/>
      <c r="U39" s="3780"/>
      <c r="V39" s="3780"/>
      <c r="W39" s="378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56.25">
      <c r="A7" s="1797" t="s">
        <v>2754</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2018年1月17日（评估专业人员勘察现场之日）</v>
      </c>
    </row>
    <row r="12" spans="1:4" ht="18.75">
      <c r="A12" s="1799" t="s">
        <v>2029</v>
      </c>
    </row>
    <row r="13" spans="1:4" ht="18.75">
      <c r="A13" s="1793" t="s">
        <v>2951</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本次估价对象为出让国有建设用地使用权，《国有土地使用证》[]证载土地终止日期为住宅2087年11月30日、商业2057年11月30日。截至估价期日，出让国有建设用地使用权剩余土地使用年限为。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73" t="s">
        <v>799</v>
      </c>
      <c r="D4" s="3674"/>
      <c r="E4" s="3708" t="s">
        <v>800</v>
      </c>
      <c r="F4" s="3709"/>
      <c r="G4" s="3673" t="s">
        <v>801</v>
      </c>
      <c r="H4" s="3674"/>
      <c r="I4" s="3673" t="s">
        <v>802</v>
      </c>
      <c r="J4" s="3674"/>
      <c r="K4" s="514" t="s">
        <v>803</v>
      </c>
      <c r="L4" s="2135"/>
      <c r="M4" s="2136"/>
      <c r="N4" s="2136"/>
      <c r="O4" s="2136"/>
      <c r="P4" s="3675" t="s">
        <v>804</v>
      </c>
      <c r="Q4" s="3676"/>
      <c r="R4" s="3681" t="s">
        <v>800</v>
      </c>
      <c r="S4" s="3682"/>
      <c r="T4" s="3681" t="s">
        <v>801</v>
      </c>
      <c r="U4" s="3682"/>
      <c r="V4" s="3668" t="s">
        <v>802</v>
      </c>
      <c r="W4" s="3668"/>
      <c r="X4" s="1568"/>
      <c r="Y4" s="3681" t="s">
        <v>804</v>
      </c>
      <c r="Z4" s="3682"/>
      <c r="AA4" s="3670" t="s">
        <v>800</v>
      </c>
      <c r="AB4" s="3671" t="s">
        <v>801</v>
      </c>
      <c r="AC4" s="3670" t="s">
        <v>802</v>
      </c>
    </row>
    <row r="5" spans="1:29" ht="15">
      <c r="A5" s="515"/>
      <c r="B5" s="516"/>
      <c r="C5" s="3689" t="s">
        <v>2937</v>
      </c>
      <c r="D5" s="3690"/>
      <c r="E5" s="3710" t="s">
        <v>2938</v>
      </c>
      <c r="F5" s="3711"/>
      <c r="G5" s="3689" t="s">
        <v>2939</v>
      </c>
      <c r="H5" s="3690"/>
      <c r="I5" s="3689" t="s">
        <v>2940</v>
      </c>
      <c r="J5" s="3690"/>
      <c r="K5" s="514"/>
      <c r="L5" s="2135"/>
      <c r="M5" s="2136"/>
      <c r="N5" s="2136"/>
      <c r="O5" s="2136"/>
      <c r="P5" s="3677"/>
      <c r="Q5" s="3678"/>
      <c r="R5" s="3683"/>
      <c r="S5" s="3684"/>
      <c r="T5" s="3683"/>
      <c r="U5" s="3684"/>
      <c r="V5" s="3668"/>
      <c r="W5" s="3668"/>
      <c r="X5" s="1568"/>
      <c r="Y5" s="3683"/>
      <c r="Z5" s="3684"/>
      <c r="AA5" s="3671"/>
      <c r="AB5" s="3671"/>
      <c r="AC5" s="3671"/>
    </row>
    <row r="6" spans="1:29" ht="15.75" thickBot="1">
      <c r="A6" s="517"/>
      <c r="B6" s="518"/>
      <c r="C6" s="3687" t="s">
        <v>2941</v>
      </c>
      <c r="D6" s="3688"/>
      <c r="E6" s="3706" t="s">
        <v>2941</v>
      </c>
      <c r="F6" s="3707"/>
      <c r="G6" s="3687" t="s">
        <v>2941</v>
      </c>
      <c r="H6" s="3688"/>
      <c r="I6" s="3687" t="s">
        <v>2941</v>
      </c>
      <c r="J6" s="3688"/>
      <c r="K6" s="514" t="s">
        <v>529</v>
      </c>
      <c r="L6" s="2135"/>
      <c r="M6" s="2136"/>
      <c r="N6" s="2136"/>
      <c r="O6" s="2136"/>
      <c r="P6" s="3679"/>
      <c r="Q6" s="3680"/>
      <c r="R6" s="3683"/>
      <c r="S6" s="3684"/>
      <c r="T6" s="3685"/>
      <c r="U6" s="3686"/>
      <c r="V6" s="3668"/>
      <c r="W6" s="3668"/>
      <c r="X6" s="1568"/>
      <c r="Y6" s="3685"/>
      <c r="Z6" s="3686"/>
      <c r="AA6" s="3672"/>
      <c r="AB6" s="3672"/>
      <c r="AC6" s="3672"/>
    </row>
    <row r="7" spans="1:29" s="1220" customFormat="1" ht="15.75" thickBot="1">
      <c r="A7" s="2939"/>
      <c r="B7" s="2946" t="s">
        <v>530</v>
      </c>
      <c r="C7" s="519">
        <f>'数据-取费表'!B2</f>
        <v>43117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99" t="s">
        <v>531</v>
      </c>
      <c r="Q7" s="3701"/>
      <c r="R7" s="1569" t="s">
        <v>8</v>
      </c>
      <c r="S7" s="1570">
        <f t="shared" ref="S7:S14" si="0">F7</f>
        <v>0</v>
      </c>
      <c r="T7" s="1569" t="s">
        <v>8</v>
      </c>
      <c r="U7" s="1570">
        <f t="shared" ref="U7:U14" si="1">H7</f>
        <v>0</v>
      </c>
      <c r="V7" s="1569" t="s">
        <v>8</v>
      </c>
      <c r="W7" s="1570">
        <f t="shared" ref="W7:W14" si="2">J7</f>
        <v>0</v>
      </c>
      <c r="X7" s="1571"/>
      <c r="Y7" s="3699" t="s">
        <v>531</v>
      </c>
      <c r="Z7" s="3700"/>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99" t="s">
        <v>534</v>
      </c>
      <c r="Q8" s="3700"/>
      <c r="R8" s="1569" t="s">
        <v>8</v>
      </c>
      <c r="S8" s="1570">
        <f t="shared" si="0"/>
        <v>0</v>
      </c>
      <c r="T8" s="1569" t="s">
        <v>8</v>
      </c>
      <c r="U8" s="1570">
        <f t="shared" si="1"/>
        <v>0</v>
      </c>
      <c r="V8" s="1569" t="s">
        <v>8</v>
      </c>
      <c r="W8" s="1570">
        <f t="shared" si="2"/>
        <v>0</v>
      </c>
      <c r="X8" s="1571"/>
      <c r="Y8" s="3699" t="s">
        <v>534</v>
      </c>
      <c r="Z8" s="3700"/>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67" t="s">
        <v>536</v>
      </c>
      <c r="Q9" s="1151" t="str">
        <f t="shared" ref="Q9:Q14" si="6">B9</f>
        <v>用途</v>
      </c>
      <c r="R9" s="1569" t="s">
        <v>8</v>
      </c>
      <c r="S9" s="1570">
        <f t="shared" si="0"/>
        <v>100</v>
      </c>
      <c r="T9" s="1569" t="s">
        <v>8</v>
      </c>
      <c r="U9" s="1570">
        <f t="shared" si="1"/>
        <v>100</v>
      </c>
      <c r="V9" s="1569" t="s">
        <v>8</v>
      </c>
      <c r="W9" s="1570">
        <f t="shared" si="2"/>
        <v>100</v>
      </c>
      <c r="X9" s="1571"/>
      <c r="Y9" s="3613"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67"/>
      <c r="Q10" s="1151" t="str">
        <f t="shared" si="6"/>
        <v>土地使用年限（年）</v>
      </c>
      <c r="R10" s="1569" t="s">
        <v>8</v>
      </c>
      <c r="S10" s="1570">
        <f t="shared" si="0"/>
        <v>100</v>
      </c>
      <c r="T10" s="1569" t="s">
        <v>8</v>
      </c>
      <c r="U10" s="1570">
        <f t="shared" si="1"/>
        <v>100</v>
      </c>
      <c r="V10" s="1569" t="s">
        <v>8</v>
      </c>
      <c r="W10" s="1570">
        <f t="shared" si="2"/>
        <v>100</v>
      </c>
      <c r="X10" s="1571"/>
      <c r="Y10" s="3613"/>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67"/>
      <c r="Q11" s="1151">
        <f t="shared" si="6"/>
        <v>111</v>
      </c>
      <c r="R11" s="1569" t="s">
        <v>8</v>
      </c>
      <c r="S11" s="1570">
        <f t="shared" si="0"/>
        <v>100</v>
      </c>
      <c r="T11" s="1569" t="s">
        <v>8</v>
      </c>
      <c r="U11" s="1570">
        <f t="shared" si="1"/>
        <v>100</v>
      </c>
      <c r="V11" s="1569" t="s">
        <v>8</v>
      </c>
      <c r="W11" s="1570">
        <f t="shared" si="2"/>
        <v>100</v>
      </c>
      <c r="X11" s="1571"/>
      <c r="Y11" s="3613"/>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67"/>
      <c r="Q12" s="1151">
        <f t="shared" si="6"/>
        <v>111</v>
      </c>
      <c r="R12" s="1569" t="s">
        <v>8</v>
      </c>
      <c r="S12" s="1570">
        <f t="shared" si="0"/>
        <v>100</v>
      </c>
      <c r="T12" s="1569" t="s">
        <v>8</v>
      </c>
      <c r="U12" s="1570">
        <f t="shared" si="1"/>
        <v>100</v>
      </c>
      <c r="V12" s="1569" t="s">
        <v>8</v>
      </c>
      <c r="W12" s="1570">
        <f t="shared" si="2"/>
        <v>100</v>
      </c>
      <c r="X12" s="1571"/>
      <c r="Y12" s="3613"/>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67"/>
      <c r="Q13" s="1151">
        <f t="shared" si="6"/>
        <v>111</v>
      </c>
      <c r="R13" s="1569" t="s">
        <v>8</v>
      </c>
      <c r="S13" s="1570">
        <f t="shared" si="0"/>
        <v>100</v>
      </c>
      <c r="T13" s="1569" t="s">
        <v>8</v>
      </c>
      <c r="U13" s="1570">
        <f t="shared" si="1"/>
        <v>100</v>
      </c>
      <c r="V13" s="1569" t="s">
        <v>8</v>
      </c>
      <c r="W13" s="1570">
        <f t="shared" si="2"/>
        <v>100</v>
      </c>
      <c r="X13" s="1571"/>
      <c r="Y13" s="3613"/>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702" t="s">
        <v>541</v>
      </c>
      <c r="Q14" s="1573" t="str">
        <f t="shared" si="6"/>
        <v>交通便捷度</v>
      </c>
      <c r="R14" s="1574" t="s">
        <v>8</v>
      </c>
      <c r="S14" s="1575">
        <f t="shared" si="0"/>
        <v>100</v>
      </c>
      <c r="T14" s="1574" t="s">
        <v>8</v>
      </c>
      <c r="U14" s="1575">
        <f t="shared" si="1"/>
        <v>100</v>
      </c>
      <c r="V14" s="1574" t="s">
        <v>8</v>
      </c>
      <c r="W14" s="1575">
        <f t="shared" si="2"/>
        <v>100</v>
      </c>
      <c r="X14" s="1568"/>
      <c r="Y14" s="3702"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703"/>
      <c r="Q15" s="1573"/>
      <c r="R15" s="1574"/>
      <c r="S15" s="1575"/>
      <c r="T15" s="1574"/>
      <c r="U15" s="1575"/>
      <c r="V15" s="1574"/>
      <c r="W15" s="1575"/>
      <c r="X15" s="1568"/>
      <c r="Y15" s="3703"/>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703"/>
      <c r="Q16" s="1573" t="str">
        <f>B16</f>
        <v>公共配套设施</v>
      </c>
      <c r="R16" s="1574" t="s">
        <v>8</v>
      </c>
      <c r="S16" s="1575">
        <f>F16</f>
        <v>100</v>
      </c>
      <c r="T16" s="1574" t="s">
        <v>8</v>
      </c>
      <c r="U16" s="1575">
        <f>H16</f>
        <v>100</v>
      </c>
      <c r="V16" s="1574" t="s">
        <v>8</v>
      </c>
      <c r="W16" s="1575">
        <f>J16</f>
        <v>100</v>
      </c>
      <c r="X16" s="1568"/>
      <c r="Y16" s="370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703"/>
      <c r="Q17" s="1573"/>
      <c r="R17" s="1574"/>
      <c r="S17" s="1575"/>
      <c r="T17" s="1574"/>
      <c r="U17" s="1575"/>
      <c r="V17" s="1574"/>
      <c r="W17" s="1575"/>
      <c r="X17" s="1568"/>
      <c r="Y17" s="3703"/>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703"/>
      <c r="Q18" s="2605" t="str">
        <f>B18</f>
        <v>基础设施水平</v>
      </c>
      <c r="R18" s="1574" t="s">
        <v>8</v>
      </c>
      <c r="S18" s="1575">
        <f>F18</f>
        <v>100</v>
      </c>
      <c r="T18" s="1574" t="s">
        <v>8</v>
      </c>
      <c r="U18" s="1575">
        <f>H18</f>
        <v>100</v>
      </c>
      <c r="V18" s="1574" t="s">
        <v>8</v>
      </c>
      <c r="W18" s="1575">
        <f>J18</f>
        <v>100</v>
      </c>
      <c r="X18" s="2607"/>
      <c r="Y18" s="3703"/>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703"/>
      <c r="Q19" s="2605"/>
      <c r="R19" s="1574"/>
      <c r="S19" s="1575"/>
      <c r="T19" s="1574"/>
      <c r="U19" s="1575"/>
      <c r="V19" s="1574"/>
      <c r="W19" s="1575"/>
      <c r="X19" s="2607"/>
      <c r="Y19" s="3703"/>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703"/>
      <c r="Q20" s="1573" t="str">
        <f>B20</f>
        <v>自然及人文环境</v>
      </c>
      <c r="R20" s="1574" t="s">
        <v>8</v>
      </c>
      <c r="S20" s="1575">
        <f>F20</f>
        <v>100</v>
      </c>
      <c r="T20" s="1574" t="s">
        <v>8</v>
      </c>
      <c r="U20" s="1575">
        <f>H20</f>
        <v>100</v>
      </c>
      <c r="V20" s="1574" t="s">
        <v>8</v>
      </c>
      <c r="W20" s="1575">
        <f>J20</f>
        <v>100</v>
      </c>
      <c r="X20" s="1568"/>
      <c r="Y20" s="370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703"/>
      <c r="Q21" s="1573"/>
      <c r="R21" s="1574"/>
      <c r="S21" s="1575"/>
      <c r="T21" s="1574"/>
      <c r="U21" s="1575"/>
      <c r="V21" s="1574"/>
      <c r="W21" s="1575"/>
      <c r="X21" s="1568"/>
      <c r="Y21" s="3703"/>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703"/>
      <c r="Q22" s="1573" t="str">
        <f>B22</f>
        <v>楼层</v>
      </c>
      <c r="R22" s="1574" t="s">
        <v>8</v>
      </c>
      <c r="S22" s="1575">
        <f>F22</f>
        <v>100</v>
      </c>
      <c r="T22" s="1574" t="s">
        <v>8</v>
      </c>
      <c r="U22" s="1575">
        <f>H22</f>
        <v>100</v>
      </c>
      <c r="V22" s="1574" t="s">
        <v>8</v>
      </c>
      <c r="W22" s="1575">
        <f>J22</f>
        <v>100</v>
      </c>
      <c r="X22" s="1568"/>
      <c r="Y22" s="370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703"/>
      <c r="Q23" s="1573">
        <f>B23</f>
        <v>111</v>
      </c>
      <c r="R23" s="1574" t="s">
        <v>8</v>
      </c>
      <c r="S23" s="1575">
        <f>F23</f>
        <v>100</v>
      </c>
      <c r="T23" s="1574" t="s">
        <v>8</v>
      </c>
      <c r="U23" s="1575">
        <f>H23</f>
        <v>100</v>
      </c>
      <c r="V23" s="1574" t="s">
        <v>8</v>
      </c>
      <c r="W23" s="1575">
        <f>J23</f>
        <v>100</v>
      </c>
      <c r="X23" s="1568"/>
      <c r="Y23" s="370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703"/>
      <c r="Q24" s="1573">
        <f t="shared" ref="Q24:Q34" si="11">B24</f>
        <v>111</v>
      </c>
      <c r="R24" s="1574" t="s">
        <v>8</v>
      </c>
      <c r="S24" s="1575">
        <f>F24</f>
        <v>100</v>
      </c>
      <c r="T24" s="1574" t="s">
        <v>8</v>
      </c>
      <c r="U24" s="1575">
        <f>H24</f>
        <v>100</v>
      </c>
      <c r="V24" s="1574" t="s">
        <v>8</v>
      </c>
      <c r="W24" s="1575">
        <f>J24</f>
        <v>100</v>
      </c>
      <c r="X24" s="1568"/>
      <c r="Y24" s="370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703"/>
      <c r="Q25" s="1151">
        <f t="shared" si="11"/>
        <v>111</v>
      </c>
      <c r="R25" s="1569" t="s">
        <v>8</v>
      </c>
      <c r="S25" s="1570">
        <f>F25</f>
        <v>100</v>
      </c>
      <c r="T25" s="1569" t="s">
        <v>8</v>
      </c>
      <c r="U25" s="1570">
        <f>H25</f>
        <v>100</v>
      </c>
      <c r="V25" s="1569" t="s">
        <v>8</v>
      </c>
      <c r="W25" s="1570">
        <f>J25</f>
        <v>100</v>
      </c>
      <c r="X25" s="1571"/>
      <c r="Y25" s="3703"/>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704"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05"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705"/>
      <c r="Q27" s="1606" t="str">
        <f t="shared" si="11"/>
        <v>成新率</v>
      </c>
      <c r="R27" s="1578" t="s">
        <v>8</v>
      </c>
      <c r="S27" s="1579" t="e">
        <f t="shared" si="12"/>
        <v>#N/A</v>
      </c>
      <c r="T27" s="1578" t="s">
        <v>8</v>
      </c>
      <c r="U27" s="1579" t="e">
        <f t="shared" si="13"/>
        <v>#N/A</v>
      </c>
      <c r="V27" s="1578" t="s">
        <v>8</v>
      </c>
      <c r="W27" s="1579" t="e">
        <f t="shared" si="14"/>
        <v>#N/A</v>
      </c>
      <c r="X27" s="1580"/>
      <c r="Y27" s="3705"/>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705"/>
      <c r="Q28" s="1573" t="str">
        <f t="shared" si="11"/>
        <v>物业等级</v>
      </c>
      <c r="R28" s="1574" t="s">
        <v>8</v>
      </c>
      <c r="S28" s="1575">
        <f t="shared" si="12"/>
        <v>100</v>
      </c>
      <c r="T28" s="1574" t="s">
        <v>8</v>
      </c>
      <c r="U28" s="1575">
        <f t="shared" si="13"/>
        <v>100</v>
      </c>
      <c r="V28" s="1574" t="s">
        <v>8</v>
      </c>
      <c r="W28" s="1575">
        <f t="shared" si="14"/>
        <v>100</v>
      </c>
      <c r="X28" s="1568"/>
      <c r="Y28" s="3705"/>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705"/>
      <c r="Q29" s="1573" t="str">
        <f t="shared" si="11"/>
        <v>有无电梯</v>
      </c>
      <c r="R29" s="1574" t="s">
        <v>8</v>
      </c>
      <c r="S29" s="1575">
        <f t="shared" si="12"/>
        <v>100</v>
      </c>
      <c r="T29" s="1574" t="s">
        <v>8</v>
      </c>
      <c r="U29" s="1575">
        <f t="shared" si="13"/>
        <v>100</v>
      </c>
      <c r="V29" s="1574" t="s">
        <v>8</v>
      </c>
      <c r="W29" s="1575">
        <f t="shared" si="14"/>
        <v>100</v>
      </c>
      <c r="X29" s="1568"/>
      <c r="Y29" s="3705"/>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705"/>
      <c r="Q30" s="1573" t="str">
        <f t="shared" si="11"/>
        <v>建筑面积</v>
      </c>
      <c r="R30" s="1574" t="s">
        <v>8</v>
      </c>
      <c r="S30" s="1575" t="e">
        <f t="shared" si="12"/>
        <v>#N/A</v>
      </c>
      <c r="T30" s="1574" t="s">
        <v>8</v>
      </c>
      <c r="U30" s="1575" t="e">
        <f t="shared" si="13"/>
        <v>#N/A</v>
      </c>
      <c r="V30" s="1574" t="s">
        <v>8</v>
      </c>
      <c r="W30" s="1575" t="e">
        <f t="shared" si="14"/>
        <v>#N/A</v>
      </c>
      <c r="X30" s="1568"/>
      <c r="Y30" s="3705"/>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705"/>
      <c r="Q31" s="1151" t="str">
        <f t="shared" si="11"/>
        <v>是否封闭</v>
      </c>
      <c r="R31" s="1569" t="s">
        <v>8</v>
      </c>
      <c r="S31" s="1570">
        <f t="shared" si="12"/>
        <v>100</v>
      </c>
      <c r="T31" s="1569" t="s">
        <v>8</v>
      </c>
      <c r="U31" s="1570">
        <f t="shared" si="13"/>
        <v>100</v>
      </c>
      <c r="V31" s="1569" t="s">
        <v>8</v>
      </c>
      <c r="W31" s="1570">
        <f t="shared" si="14"/>
        <v>100</v>
      </c>
      <c r="X31" s="1571"/>
      <c r="Y31" s="370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705" t="s">
        <v>551</v>
      </c>
      <c r="Q32" s="1573">
        <f t="shared" si="11"/>
        <v>111</v>
      </c>
      <c r="R32" s="1574" t="s">
        <v>8</v>
      </c>
      <c r="S32" s="1575">
        <f t="shared" si="12"/>
        <v>100</v>
      </c>
      <c r="T32" s="1574" t="s">
        <v>8</v>
      </c>
      <c r="U32" s="1575">
        <f t="shared" si="13"/>
        <v>100</v>
      </c>
      <c r="V32" s="1574" t="s">
        <v>8</v>
      </c>
      <c r="W32" s="1575">
        <f t="shared" si="14"/>
        <v>100</v>
      </c>
      <c r="X32" s="1568"/>
      <c r="Y32" s="3705"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705"/>
      <c r="Q33" s="1573">
        <f t="shared" si="11"/>
        <v>111</v>
      </c>
      <c r="R33" s="1574" t="s">
        <v>8</v>
      </c>
      <c r="S33" s="1575">
        <f t="shared" si="12"/>
        <v>100</v>
      </c>
      <c r="T33" s="1574" t="s">
        <v>8</v>
      </c>
      <c r="U33" s="1575">
        <f t="shared" si="13"/>
        <v>100</v>
      </c>
      <c r="V33" s="1574" t="s">
        <v>8</v>
      </c>
      <c r="W33" s="1575">
        <f t="shared" si="14"/>
        <v>100</v>
      </c>
      <c r="X33" s="1568"/>
      <c r="Y33" s="370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705"/>
      <c r="Q34" s="1573">
        <f t="shared" si="11"/>
        <v>111</v>
      </c>
      <c r="R34" s="1574" t="s">
        <v>8</v>
      </c>
      <c r="S34" s="1575">
        <f t="shared" si="12"/>
        <v>100</v>
      </c>
      <c r="T34" s="1574" t="s">
        <v>8</v>
      </c>
      <c r="U34" s="1575">
        <f t="shared" si="13"/>
        <v>100</v>
      </c>
      <c r="V34" s="1574" t="s">
        <v>8</v>
      </c>
      <c r="W34" s="1575">
        <f t="shared" si="14"/>
        <v>100</v>
      </c>
      <c r="X34" s="1568"/>
      <c r="Y34" s="3705"/>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67" t="str">
        <f>A35</f>
        <v>成交单价（元/平方米）</v>
      </c>
      <c r="Q35" s="3667"/>
      <c r="R35" s="3781">
        <f>E35</f>
        <v>0</v>
      </c>
      <c r="S35" s="3781"/>
      <c r="T35" s="3781">
        <f>G35</f>
        <v>0</v>
      </c>
      <c r="U35" s="3781"/>
      <c r="V35" s="3781">
        <f>I35</f>
        <v>0</v>
      </c>
      <c r="W35" s="3781"/>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67" t="str">
        <f>A36</f>
        <v>比较价格（元/平方米）</v>
      </c>
      <c r="Q36" s="3667"/>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560"/>
      <c r="Y36" s="1560"/>
      <c r="Z36" s="1560"/>
      <c r="AA36" s="1560"/>
      <c r="AB36" s="1560"/>
      <c r="AC36" s="1560"/>
    </row>
    <row r="37" spans="1:29" ht="15.75" thickBot="1">
      <c r="A37" s="621" t="s">
        <v>2943</v>
      </c>
      <c r="B37" s="622"/>
      <c r="C37" s="2662" t="e">
        <f>R37</f>
        <v>#DIV/0!</v>
      </c>
      <c r="D37" s="2662"/>
      <c r="E37" s="2662"/>
      <c r="F37" s="2662"/>
      <c r="G37" s="2662"/>
      <c r="H37" s="2662"/>
      <c r="I37" s="2662"/>
      <c r="J37" s="2662"/>
      <c r="K37" s="1614"/>
      <c r="L37" s="2146"/>
      <c r="M37" s="2147"/>
      <c r="N37" s="2147"/>
      <c r="O37" s="2147"/>
      <c r="P37" s="3664" t="str">
        <f>A37</f>
        <v>估价对象XX用房的比较价格（楼面单价，元/平方米）</v>
      </c>
      <c r="Q37" s="3665"/>
      <c r="R37" s="3780" t="e">
        <f>IF(F1="售价",ROUND(AVERAGE(R36:V36),0),ROUND(AVERAGE(R36:V36),1))</f>
        <v>#DIV/0!</v>
      </c>
      <c r="S37" s="3780"/>
      <c r="T37" s="3780"/>
      <c r="U37" s="3780"/>
      <c r="V37" s="3780"/>
      <c r="W37" s="378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90" t="s">
        <v>2308</v>
      </c>
      <c r="D1" s="3791"/>
      <c r="E1" s="3791"/>
      <c r="F1" s="3791"/>
      <c r="G1" s="3791"/>
      <c r="H1" s="3791"/>
      <c r="I1" s="3791"/>
      <c r="J1" s="3791"/>
      <c r="K1" s="3791"/>
      <c r="L1" s="3791"/>
      <c r="M1" s="3791"/>
      <c r="N1" s="3791"/>
      <c r="O1" s="3791"/>
      <c r="P1" s="3791"/>
      <c r="Q1" s="3791"/>
      <c r="R1" s="3791"/>
      <c r="S1" s="379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87" t="s">
        <v>20</v>
      </c>
      <c r="D22" s="3788"/>
      <c r="E22" s="3788"/>
      <c r="F22" s="3788"/>
      <c r="G22" s="3788"/>
      <c r="H22" s="3788"/>
      <c r="I22" s="3788"/>
      <c r="J22" s="3788"/>
      <c r="K22" s="3788"/>
      <c r="L22" s="3788"/>
      <c r="M22" s="3788"/>
      <c r="N22" s="3788"/>
      <c r="O22" s="3788"/>
      <c r="P22" s="3788"/>
      <c r="Q22" s="378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43117</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93.75">
      <c r="A7" s="2900" t="s">
        <v>2755</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4" t="s">
        <v>2042</v>
      </c>
      <c r="B1" s="3504"/>
      <c r="C1" s="3504"/>
      <c r="D1" s="3504"/>
      <c r="E1" s="3504"/>
      <c r="F1" s="3504"/>
      <c r="G1" s="3504"/>
      <c r="H1" s="3504"/>
      <c r="I1" s="3504"/>
      <c r="J1" s="3504"/>
      <c r="K1" s="3504"/>
      <c r="L1" s="3504"/>
      <c r="M1" s="3504"/>
      <c r="N1" s="3504"/>
      <c r="O1" s="3504"/>
      <c r="P1" s="3504"/>
      <c r="Q1" s="3504"/>
      <c r="R1" s="3504"/>
    </row>
    <row r="2" spans="1:18">
      <c r="A2" s="1809" t="s">
        <v>2044</v>
      </c>
      <c r="B2" s="1809"/>
      <c r="C2" s="1809"/>
      <c r="D2" s="1809"/>
      <c r="E2" s="1809"/>
      <c r="F2" s="1809"/>
      <c r="G2" s="1809"/>
      <c r="H2" s="1809"/>
      <c r="I2" s="1810"/>
      <c r="J2" s="1810"/>
      <c r="K2" s="1811" t="str">
        <f>"估价期日："&amp;TEXT(项目基本情况!D3,"yyyy年m月d日;;")</f>
        <v>估价期日：2018年1月17日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5" t="s">
        <v>2033</v>
      </c>
      <c r="B3" s="3505" t="s">
        <v>2738</v>
      </c>
      <c r="C3" s="3506" t="s">
        <v>2034</v>
      </c>
      <c r="D3" s="3505" t="s">
        <v>2742</v>
      </c>
      <c r="E3" s="3500" t="s">
        <v>2035</v>
      </c>
      <c r="F3" s="3500"/>
      <c r="G3" s="3500"/>
      <c r="H3" s="3500" t="s">
        <v>2036</v>
      </c>
      <c r="I3" s="3500"/>
      <c r="J3" s="3500"/>
      <c r="K3" s="3506" t="s">
        <v>2037</v>
      </c>
      <c r="L3" s="3506" t="s">
        <v>2038</v>
      </c>
      <c r="M3" s="3505" t="s">
        <v>2739</v>
      </c>
      <c r="N3" s="3507" t="str">
        <f>"（分摊）"&amp;项目基本情况!B16&amp;"国有建设用地使用权面积/㎡"</f>
        <v>（分摊）出让国有建设用地使用权面积/㎡</v>
      </c>
      <c r="O3" s="3505" t="s">
        <v>2067</v>
      </c>
      <c r="P3" s="3506" t="s">
        <v>2047</v>
      </c>
      <c r="Q3" s="3506" t="s">
        <v>2068</v>
      </c>
      <c r="R3" s="3506" t="s">
        <v>2039</v>
      </c>
    </row>
    <row r="4" spans="1:18" ht="36.75" customHeight="1">
      <c r="A4" s="3505"/>
      <c r="B4" s="3505"/>
      <c r="C4" s="3506"/>
      <c r="D4" s="3505"/>
      <c r="E4" s="2676" t="s">
        <v>2046</v>
      </c>
      <c r="F4" s="2676" t="s">
        <v>2751</v>
      </c>
      <c r="G4" s="2676" t="s">
        <v>2040</v>
      </c>
      <c r="H4" s="2676" t="s">
        <v>2041</v>
      </c>
      <c r="I4" s="2676" t="s">
        <v>2752</v>
      </c>
      <c r="J4" s="2676" t="s">
        <v>2040</v>
      </c>
      <c r="K4" s="3506"/>
      <c r="L4" s="3506"/>
      <c r="M4" s="3505"/>
      <c r="N4" s="3507"/>
      <c r="O4" s="3505"/>
      <c r="P4" s="3506"/>
      <c r="Q4" s="3506"/>
      <c r="R4" s="3506"/>
    </row>
    <row r="5" spans="1:18" ht="135" customHeight="1">
      <c r="A5" s="1945" t="s">
        <v>2662</v>
      </c>
      <c r="B5" s="2894" t="s">
        <v>2660</v>
      </c>
      <c r="C5" s="2675">
        <v>22</v>
      </c>
      <c r="D5" s="2674" t="s">
        <v>2661</v>
      </c>
      <c r="E5" s="1812" t="str">
        <f>项目基本情况!B12</f>
        <v>商业、住宅</v>
      </c>
      <c r="F5" s="2674">
        <v>258</v>
      </c>
      <c r="G5" s="1812" t="str">
        <f>项目基本情况!B13</f>
        <v>商业、住宅</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19142.32</v>
      </c>
      <c r="O5" s="1812">
        <f>项目基本情况!C21</f>
        <v>180000</v>
      </c>
      <c r="P5" s="1812">
        <f ca="1">结果表!E42</f>
        <v>176961</v>
      </c>
      <c r="Q5" s="1812">
        <f ca="1">结果表!D42</f>
        <v>18819</v>
      </c>
      <c r="R5" s="1813">
        <f ca="1">结果表!C42</f>
        <v>338745</v>
      </c>
    </row>
    <row r="6" spans="1:18">
      <c r="A6" s="3501" t="str">
        <f>IF(项目基本情况!B9="市场价格","——","抵押价格")</f>
        <v>抵押价格</v>
      </c>
      <c r="B6" s="3502"/>
      <c r="C6" s="3502"/>
      <c r="D6" s="3502"/>
      <c r="E6" s="3502"/>
      <c r="F6" s="3502"/>
      <c r="G6" s="3502"/>
      <c r="H6" s="3502"/>
      <c r="I6" s="3502"/>
      <c r="J6" s="3502"/>
      <c r="K6" s="3502"/>
      <c r="L6" s="3502"/>
      <c r="M6" s="3502"/>
      <c r="N6" s="3502"/>
      <c r="O6" s="3502"/>
      <c r="P6" s="3502"/>
      <c r="Q6" s="3503"/>
      <c r="R6" s="1814">
        <f ca="1">结果表!O39</f>
        <v>338745</v>
      </c>
    </row>
    <row r="7" spans="1:18">
      <c r="A7" s="3501" t="str">
        <f>IF(项目基本情况!B9="市场价格","——",IF(项目基本情况!E8="已注销及未注销","抵押担保权已注销时的抵押价格","——"))</f>
        <v>——</v>
      </c>
      <c r="B7" s="3502"/>
      <c r="C7" s="3502"/>
      <c r="D7" s="3502"/>
      <c r="E7" s="3502"/>
      <c r="F7" s="3502"/>
      <c r="G7" s="3502"/>
      <c r="H7" s="3502"/>
      <c r="I7" s="3502"/>
      <c r="J7" s="3502"/>
      <c r="K7" s="3502"/>
      <c r="L7" s="3502"/>
      <c r="M7" s="3502"/>
      <c r="N7" s="3502"/>
      <c r="O7" s="3502"/>
      <c r="P7" s="3502"/>
      <c r="Q7" s="3503"/>
      <c r="R7" s="1814" t="str">
        <f>结果表!O40</f>
        <v>——</v>
      </c>
    </row>
    <row r="8" spans="1:18">
      <c r="A8" s="3501" t="str">
        <f>IF(项目基本情况!B9="市场价格","——",项目基本情况!E9)</f>
        <v>抵押净值</v>
      </c>
      <c r="B8" s="3502"/>
      <c r="C8" s="3502"/>
      <c r="D8" s="3502"/>
      <c r="E8" s="3502"/>
      <c r="F8" s="3502"/>
      <c r="G8" s="3502"/>
      <c r="H8" s="3502"/>
      <c r="I8" s="3502"/>
      <c r="J8" s="3502"/>
      <c r="K8" s="3502"/>
      <c r="L8" s="3502"/>
      <c r="M8" s="3502"/>
      <c r="N8" s="3502"/>
      <c r="O8" s="3502"/>
      <c r="P8" s="3502"/>
      <c r="Q8" s="3503"/>
      <c r="R8" s="1814">
        <f ca="1">结果表!O41</f>
        <v>307033</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9" t="s">
        <v>2069</v>
      </c>
      <c r="B1" s="3509"/>
      <c r="C1" s="3509"/>
      <c r="D1" s="3509"/>
    </row>
    <row r="2" spans="1:4" ht="47.25" customHeight="1">
      <c r="A2" s="3510" t="str">
        <f>"1.权利限制："&amp;项目基本情况!L24&amp;"未设定租赁等其他他项权利。"</f>
        <v>1.权利限制：根据估价对象《不动产权证书》原件、《国有土地使用权》复印件，截至估价期日，估价对象抵押权未见登记。未设定租赁等其他他项权利。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9"/>
      <c r="C3" s="3509"/>
      <c r="D3" s="3509"/>
    </row>
    <row r="4" spans="1:4" ht="36.75" customHeight="1">
      <c r="A4" s="3509" t="str">
        <f>"3.估价规划限制条件：详见"&amp;项目基本情况!E21&amp;"。"</f>
        <v>3.估价规划限制条件：详见《建设工程规划许可证》[]、《出让合同》[]。</v>
      </c>
      <c r="B4" s="3509"/>
      <c r="C4" s="3509"/>
      <c r="D4" s="3509"/>
    </row>
    <row r="5" spans="1:4">
      <c r="A5" s="3508" t="s">
        <v>2070</v>
      </c>
      <c r="B5" s="3508"/>
      <c r="C5" s="3508"/>
      <c r="D5" s="3508"/>
    </row>
    <row r="6" spans="1:4">
      <c r="A6" s="3509" t="s">
        <v>2048</v>
      </c>
      <c r="B6" s="3509"/>
      <c r="C6" s="3509"/>
      <c r="D6" s="3509"/>
    </row>
    <row r="7" spans="1:4" ht="33" customHeight="1">
      <c r="A7" s="3509" t="s">
        <v>2582</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（1）根据估价对象《不动产权证书》原件、《国有土地使用权》复印件，截至估价期日，估价对象抵押权未见登记。</v>
      </c>
      <c r="B11" s="3511"/>
      <c r="C11" s="3511"/>
      <c r="D11" s="3511"/>
    </row>
    <row r="12" spans="1:4" ht="168" customHeight="1">
      <c r="A12" s="3508" t="s">
        <v>2072</v>
      </c>
      <c r="B12" s="3508"/>
      <c r="C12" s="3508"/>
      <c r="D12" s="3508"/>
    </row>
    <row r="13" spans="1:4">
      <c r="A13" s="3512" t="s">
        <v>2753</v>
      </c>
      <c r="B13" s="3512"/>
      <c r="C13" s="3512"/>
      <c r="D13" s="3512"/>
    </row>
    <row r="14" spans="1:4">
      <c r="A14" s="3511" t="str">
        <f>IF(项目基本情况!B8="抵押","综上，"&amp;结果表!K47,"——")</f>
        <v>综上，本次评估不存在估价师知悉的法定优先受偿款</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2709</v>
      </c>
      <c r="B17" s="3509"/>
      <c r="C17" s="3509"/>
      <c r="D17" s="3509"/>
    </row>
    <row r="18" spans="1:4">
      <c r="A18" s="3509" t="s">
        <v>2701</v>
      </c>
      <c r="B18" s="3509"/>
      <c r="C18" s="3509"/>
      <c r="D18" s="3509"/>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509" t="s">
        <v>2706</v>
      </c>
      <c r="B23" s="3509"/>
      <c r="C23" s="3509"/>
      <c r="D23" s="3509"/>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20" t="s">
        <v>53</v>
      </c>
      <c r="B15" s="3521" t="s">
        <v>847</v>
      </c>
      <c r="C15" s="3517"/>
    </row>
    <row r="16" spans="1:7" ht="14.25">
      <c r="A16" s="3520"/>
      <c r="B16" s="3518" t="s">
        <v>54</v>
      </c>
      <c r="C16" s="1172" t="s">
        <v>53</v>
      </c>
    </row>
    <row r="17" spans="1:3" ht="14.25">
      <c r="A17" s="3520"/>
      <c r="B17" s="3518"/>
      <c r="C17" s="1172" t="s">
        <v>55</v>
      </c>
    </row>
    <row r="18" spans="1:3" ht="14.25">
      <c r="A18" s="3520"/>
      <c r="B18" s="3518"/>
      <c r="C18" s="1172" t="s">
        <v>56</v>
      </c>
    </row>
    <row r="19" spans="1:3" ht="14.25">
      <c r="A19" s="3520"/>
      <c r="B19" s="3516" t="s">
        <v>57</v>
      </c>
      <c r="C19" s="3517"/>
    </row>
    <row r="20" spans="1:3" ht="14.25">
      <c r="A20" s="1173" t="s">
        <v>58</v>
      </c>
      <c r="B20" s="1174"/>
      <c r="C20" s="1175"/>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76" t="s">
        <v>838</v>
      </c>
    </row>
    <row r="25" spans="1:3" ht="14.25">
      <c r="A25" s="3519"/>
      <c r="B25" s="3523"/>
      <c r="C25" s="1176" t="s">
        <v>839</v>
      </c>
    </row>
    <row r="26" spans="1:3" ht="14.25">
      <c r="A26" s="3519"/>
      <c r="B26" s="3523"/>
      <c r="C26" s="1176" t="s">
        <v>840</v>
      </c>
    </row>
    <row r="27" spans="1:3" ht="14.25">
      <c r="A27" s="3519"/>
      <c r="B27" s="3523"/>
      <c r="C27" s="1176" t="s">
        <v>841</v>
      </c>
    </row>
    <row r="28" spans="1:3" ht="14.25">
      <c r="A28" s="3519"/>
      <c r="B28" s="3523"/>
      <c r="C28" s="1176" t="s">
        <v>842</v>
      </c>
    </row>
    <row r="29" spans="1:3" ht="14.25">
      <c r="A29" s="3519"/>
      <c r="B29" s="3523"/>
      <c r="C29" s="1176" t="s">
        <v>843</v>
      </c>
    </row>
    <row r="30" spans="1:3" ht="14.25">
      <c r="A30" s="3519"/>
      <c r="B30" s="3523"/>
      <c r="C30" s="1176" t="s">
        <v>844</v>
      </c>
    </row>
    <row r="31" spans="1:3" ht="14.25">
      <c r="A31" s="3519"/>
      <c r="B31" s="3523"/>
      <c r="C31" s="1176" t="s">
        <v>845</v>
      </c>
    </row>
    <row r="32" spans="1:3" ht="14.25">
      <c r="A32" s="3519"/>
      <c r="B32" s="3523"/>
      <c r="C32" s="1176" t="s">
        <v>1648</v>
      </c>
    </row>
    <row r="33" spans="1:3" ht="14.25">
      <c r="A33" s="3519"/>
      <c r="B33" s="3513" t="s">
        <v>1654</v>
      </c>
      <c r="C33" s="1176" t="s">
        <v>1649</v>
      </c>
    </row>
    <row r="34" spans="1:3" ht="14.25">
      <c r="A34" s="3519"/>
      <c r="B34" s="3514"/>
      <c r="C34" s="1181" t="s">
        <v>1650</v>
      </c>
    </row>
    <row r="35" spans="1:3" ht="14.25">
      <c r="A35" s="3519"/>
      <c r="B35" s="3514"/>
      <c r="C35" s="1182" t="s">
        <v>1651</v>
      </c>
    </row>
    <row r="36" spans="1:3" ht="14.25">
      <c r="A36" s="3519"/>
      <c r="B36" s="3514"/>
      <c r="C36" s="1182" t="s">
        <v>1652</v>
      </c>
    </row>
    <row r="37" spans="1:3" ht="14.25">
      <c r="A37" s="3519"/>
      <c r="B37" s="351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43118</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24" t="s">
        <v>1930</v>
      </c>
      <c r="B25" s="3524"/>
      <c r="C25" s="3524"/>
      <c r="D25" s="3524"/>
      <c r="E25" s="3524"/>
      <c r="F25" s="3524"/>
      <c r="G25" s="3524"/>
    </row>
    <row r="26" spans="1:7" ht="20.25" customHeight="1">
      <c r="A26" s="3525" t="s">
        <v>1931</v>
      </c>
      <c r="B26" s="3525"/>
      <c r="C26" s="3525"/>
      <c r="D26" s="3525" t="s">
        <v>1932</v>
      </c>
      <c r="E26" s="3525"/>
      <c r="F26" s="3525"/>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面积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2018-01-18T02:34:31Z</dcterms:modified>
</cp:coreProperties>
</file>