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2" i="4" l="1"/>
  <c r="I36" i="33"/>
  <c r="G36" i="33"/>
  <c r="E36" i="33"/>
  <c r="C36" i="33"/>
  <c r="C33" i="33"/>
  <c r="E20" i="1"/>
  <c r="C37" i="21"/>
  <c r="C5" i="21"/>
  <c r="B5" i="1"/>
  <c r="C33" i="21"/>
  <c r="C27" i="21"/>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3" i="31"/>
  <c r="B2" i="31"/>
  <c r="C33" i="57"/>
  <c r="H124" i="57"/>
  <c r="I103"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E2" i="21"/>
  <c r="B2" i="21"/>
  <c r="B3" i="21"/>
  <c r="B3" i="33"/>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L58" i="15"/>
  <c r="L61" i="15"/>
  <c r="L47" i="15"/>
  <c r="B3" i="15"/>
  <c r="D20" i="9"/>
  <c r="E2" i="11"/>
  <c r="E2" i="37"/>
  <c r="B2" i="15"/>
  <c r="D19" i="9"/>
  <c r="E2" i="35"/>
  <c r="E2" i="36"/>
  <c r="C19" i="57"/>
  <c r="C20" i="57"/>
  <c r="E2" i="33"/>
  <c r="E2" i="34"/>
  <c r="B2" i="36"/>
  <c r="B3" i="36"/>
  <c r="B2" i="34"/>
  <c r="B3" i="34"/>
  <c r="B2" i="35"/>
  <c r="B2" i="37"/>
  <c r="B3" i="37"/>
  <c r="B2" i="33"/>
  <c r="D101" i="9"/>
  <c r="C102" i="57"/>
  <c r="B2" i="11"/>
  <c r="G20" i="9"/>
  <c r="D102" i="9"/>
  <c r="G20" i="57"/>
  <c r="C103" i="57"/>
  <c r="Q65"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H121" i="9"/>
  <c r="D106" i="9"/>
  <c r="D112" i="9"/>
  <c r="I121" i="9"/>
  <c r="D107" i="9"/>
  <c r="D113" i="9"/>
  <c r="I111" i="9"/>
  <c r="D126" i="9"/>
  <c r="D9" i="52"/>
  <c r="D38" i="50"/>
  <c r="B62" i="60"/>
  <c r="D121" i="9"/>
  <c r="E121" i="9"/>
  <c r="E4" i="52"/>
  <c r="B38" i="60"/>
  <c r="I102" i="9"/>
  <c r="D45" i="9"/>
  <c r="C85" i="9"/>
  <c r="C93" i="9"/>
  <c r="C86" i="9"/>
  <c r="C95" i="9"/>
  <c r="C96" i="9"/>
  <c r="C97" i="9"/>
  <c r="D58" i="9"/>
  <c r="D56" i="9"/>
  <c r="M54" i="9"/>
  <c r="C78" i="9"/>
  <c r="C73" i="9"/>
  <c r="F121" i="9"/>
  <c r="F4" i="52"/>
  <c r="B40" i="60"/>
  <c r="I110" i="9"/>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<sst xmlns="http://schemas.openxmlformats.org/spreadsheetml/2006/main" count="6942" uniqueCount="2855">
  <si>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</si>
  <si>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</si>
  <si>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</si>
  <si>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</si>
  <si>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</si>
  <si>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</si>
  <si>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</si>
  <si>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</si>
  <si>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</si>
  <si>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</si>
  <si>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</si>
  <si>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</si>
  <si>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</si>
  <si>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</si>
  <si>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</si>
  <si>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</si>
  <si>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</si>
  <si>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</si>
  <si>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</si>
  <si>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</si>
  <si>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</si>
  <si>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</si>
  <si>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</si>
  <si>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</si>
  <si>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</si>
  <si>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</si>
  <si>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</si>
  <si>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</si>
  <si>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</si>
  <si>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</si>
  <si>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</si>
  <si>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</si>
  <si>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</si>
  <si>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</si>
  <si>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</si>
  <si>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</si>
  <si>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</si>
  <si>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</si>
  <si>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</si>
  <si>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</si>
  <si>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</si>
  <si>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</si>
  <si>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</si>
  <si>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</si>
  <si>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</si>
  <si>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</si>
  <si>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</si>
  <si>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</si>
  <si>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</si>
  <si>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</si>
  <si>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</si>
  <si>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</si>
  <si>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</si>
  <si>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</si>
  <si>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</si>
  <si>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</si>
  <si>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</si>
  <si>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</si>
  <si>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</si>
  <si>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</si>
  <si>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</si>
  <si>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</si>
  <si>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</si>
  <si>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</si>
  <si>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</si>
  <si>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</si>
  <si>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</si>
  <si>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</si>
  <si>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</si>
  <si>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</si>
  <si>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</si>
  <si>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</si>
  <si>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</si>
  <si>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</si>
  <si>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</si>
  <si>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</si>
  <si>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</si>
  <si>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</si>
  <si>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</si>
  <si>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</si>
  <si>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</si>
  <si>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</si>
  <si>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</si>
  <si>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</si>
  <si>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</si>
  <si>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</si>
  <si>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</si>
  <si>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</si>
  <si>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</si>
  <si>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</si>
  <si>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</si>
  <si>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</si>
  <si>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</si>
  <si>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</si>
  <si>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</si>
  <si>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</si>
  <si>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</si>
  <si>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</si>
  <si>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</si>
  <si>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</si>
  <si>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</si>
  <si>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</si>
  <si>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</si>
  <si>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</si>
  <si>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</si>
  <si>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</si>
  <si>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</si>
  <si>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</si>
  <si>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</si>
  <si>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</si>
  <si>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</si>
  <si>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</si>
  <si>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</si>
  <si>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</si>
  <si>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</si>
  <si>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</si>
  <si>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</si>
  <si>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</si>
  <si>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</si>
  <si>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</si>
  <si>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</si>
  <si>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</si>
  <si>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</si>
  <si>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</si>
  <si>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</si>
  <si>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</si>
  <si>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</si>
  <si>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</si>
  <si>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</si>
  <si>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</si>
  <si>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</si>
  <si>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</si>
  <si>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</si>
  <si>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</si>
  <si>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</si>
  <si>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</si>
  <si>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</si>
  <si>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</si>
  <si>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</si>
  <si>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</si>
  <si>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</si>
  <si>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</si>
  <si>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</si>
  <si>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</si>
  <si>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</si>
  <si>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</si>
  <si>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</si>
  <si>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</si>
  <si>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</si>
  <si>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</si>
  <si>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</si>
  <si>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</si>
  <si>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</si>
  <si>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</si>
  <si>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</si>
  <si>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</si>
  <si>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</si>
  <si>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</si>
  <si>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</si>
  <si>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</si>
  <si>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</si>
  <si>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</si>
  <si>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</si>
  <si>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</si>
  <si>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</si>
  <si>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</si>
  <si>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</si>
  <si>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</si>
  <si>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</si>
  <si>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</si>
  <si>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</si>
  <si>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</si>
  <si>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</si>
  <si>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</si>
  <si>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</si>
  <si>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</si>
  <si>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</si>
  <si>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</si>
  <si>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</si>
  <si>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</si>
  <si>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</si>
  <si>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</si>
  <si>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</si>
  <si>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</si>
  <si>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</si>
  <si>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</si>
  <si>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</si>
  <si>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</si>
  <si>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</si>
  <si>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</si>
  <si>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</si>
  <si>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</si>
  <si>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</si>
  <si>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</si>
  <si>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</si>
  <si>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</si>
  <si>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</si>
  <si>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</si>
  <si>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</si>
  <si>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</si>
  <si>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</si>
  <si>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</si>
  <si>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</si>
  <si>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</si>
  <si>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</si>
  <si>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</si>
  <si>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</si>
  <si>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</si>
  <si>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</si>
  <si>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</si>
  <si>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</si>
  <si>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</si>
  <si>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</si>
  <si>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</si>
  <si>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</si>
  <si>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</si>
  <si>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</si>
  <si>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</si>
  <si>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</si>
  <si>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</si>
  <si>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</si>
  <si>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</si>
  <si>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</si>
  <si>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</si>
  <si>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</si>
  <si>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</si>
  <si>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</si>
  <si>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</si>
  <si>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</si>
  <si>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</si>
  <si>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</si>
  <si>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</si>
  <si>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</si>
  <si>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</si>
  <si>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</si>
  <si>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</si>
  <si>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</si>
  <si>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</si>
  <si>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</si>
  <si>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</si>
  <si>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</si>
  <si>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</si>
  <si>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</si>
  <si>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</si>
  <si>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</si>
  <si>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</si>
  <si>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</si>
  <si>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</si>
  <si>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</si>
  <si>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</si>
  <si>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</si>
  <si>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</si>
  <si>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</si>
  <si>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</si>
  <si>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</si>
  <si>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</si>
  <si>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</si>
  <si>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</si>
  <si>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</si>
  <si>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</si>
  <si>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</si>
  <si>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</si>
  <si>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</si>
  <si>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</si>
  <si>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</si>
  <si>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</si>
  <si>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</si>
  <si>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</si>
  <si>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</si>
  <si>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</si>
  <si>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</si>
  <si>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</si>
  <si>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</si>
  <si>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</si>
  <si>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</si>
  <si>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</si>
  <si>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</si>
  <si>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</si>
  <si>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</si>
  <si>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</si>
  <si>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</si>
  <si>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</si>
  <si>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</si>
  <si>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</si>
  <si>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</si>
  <si>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</si>
  <si>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</si>
  <si>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</si>
  <si>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</si>
  <si>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</si>
  <si>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</si>
  <si>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</si>
  <si>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</si>
  <si>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</si>
  <si>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</si>
  <si>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</si>
  <si>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</si>
  <si>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</si>
  <si>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</si>
  <si>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</si>
  <si>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</si>
  <si>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</si>
  <si>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</si>
  <si>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</si>
  <si>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</si>
  <si>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</si>
  <si>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</si>
  <si>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</si>
  <si>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</si>
  <si>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</si>
  <si>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</si>
  <si>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</si>
  <si>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</si>
  <si>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</si>
  <si>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</si>
  <si>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</si>
  <si>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</si>
  <si>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</si>
  <si>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</si>
  <si>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</si>
  <si>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</si>
  <si>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</si>
  <si>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</si>
  <si>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</si>
  <si>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</si>
  <si>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</si>
  <si>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</si>
  <si>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</si>
  <si>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</si>
  <si>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</si>
  <si>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</si>
  <si>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</si>
  <si>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</si>
  <si>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</si>
  <si>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</si>
  <si>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</si>
  <si>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</si>
  <si>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</si>
  <si>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</si>
  <si>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</si>
  <si>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</si>
  <si>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</si>
  <si>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</si>
  <si>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</si>
  <si>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</si>
  <si>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</si>
  <si>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</si>
  <si>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</si>
  <si>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</si>
  <si>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</si>
  <si>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</si>
  <si>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</si>
  <si>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</si>
  <si>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</si>
  <si>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</si>
  <si>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</si>
  <si>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</si>
  <si>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</si>
  <si>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</si>
  <si>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</si>
  <si>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</si>
  <si>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</si>
  <si>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</si>
  <si>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</si>
  <si>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</si>
  <si>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</si>
  <si>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</si>
  <si>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</si>
  <si>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</si>
  <si>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</si>
  <si>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</si>
  <si>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</si>
  <si>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</si>
  <si>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</si>
  <si>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</si>
  <si>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</si>
  <si>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</si>
  <si>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</si>
  <si>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</si>
  <si>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</si>
  <si>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</si>
  <si>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</si>
  <si>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</si>
  <si>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</si>
  <si>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</si>
  <si>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</si>
  <si>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</si>
  <si>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</si>
  <si>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</si>
  <si>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</si>
  <si>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</si>
  <si>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</si>
  <si>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</si>
  <si>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</si>
  <si>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</si>
  <si>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</si>
  <si>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</si>
  <si>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</si>
  <si>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</si>
  <si>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</si>
  <si>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</si>
  <si>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</si>
  <si>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</si>
  <si>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</si>
  <si>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</si>
  <si>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</si>
  <si>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</si>
  <si>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</si>
  <si>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</si>
  <si>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</si>
  <si>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</si>
  <si>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</si>
  <si>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</si>
  <si>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</si>
  <si>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</si>
  <si>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</si>
  <si>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</si>
  <si>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</si>
  <si>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</si>
  <si>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</si>
  <si>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</si>
  <si>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</si>
  <si>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</si>
  <si>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</si>
  <si>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</si>
  <si>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</si>
  <si>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</si>
  <si>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</si>
  <si>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</si>
  <si>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</si>
  <si>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</si>
  <si>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</si>
  <si>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</si>
  <si>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</si>
  <si>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</si>
  <si>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</si>
  <si>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</si>
  <si>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</si>
  <si>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</si>
  <si>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</si>
  <si>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</si>
  <si>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</si>
  <si>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</si>
  <si>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</si>
  <si>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</si>
  <si>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</si>
  <si>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</si>
  <si>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</si>
  <si>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</si>
  <si>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</si>
  <si>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</si>
  <si>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</si>
  <si>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</si>
  <si>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</si>
  <si>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</si>
  <si>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</si>
  <si>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</si>
  <si>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</si>
  <si>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</si>
  <si>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</si>
  <si>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</si>
  <si>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</si>
  <si>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</si>
  <si>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</si>
  <si>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</si>
  <si>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</si>
  <si>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</si>
  <si>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</si>
  <si>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</si>
  <si>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</si>
  <si>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</si>
  <si>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</si>
  <si>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</si>
  <si>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</si>
  <si>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</si>
  <si>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</si>
  <si>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</si>
  <si>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</si>
  <si>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</si>
  <si>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</si>
  <si>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</si>
  <si>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</si>
  <si>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</si>
  <si>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</si>
  <si>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</si>
  <si>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</si>
  <si>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</si>
  <si>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</si>
  <si>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</si>
  <si>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</si>
  <si>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</si>
  <si>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</si>
  <si>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</si>
  <si>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</si>
  <si>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</si>
  <si>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</si>
  <si>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</si>
  <si>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</si>
  <si>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</si>
  <si>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</si>
  <si>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</si>
  <si>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</si>
  <si>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</si>
  <si>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</si>
  <si>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</si>
  <si>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</si>
  <si>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</si>
  <si>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</si>
  <si>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</si>
  <si>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</si>
  <si>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</si>
  <si>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</si>
  <si>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</si>
  <si>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</si>
  <si>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</si>
  <si>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</si>
  <si>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</si>
  <si>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</si>
  <si>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</si>
  <si>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</si>
  <si>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</si>
  <si>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</si>
  <si>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</si>
  <si>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</si>
  <si>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</si>
  <si>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</si>
  <si>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</si>
  <si>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</si>
  <si>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</si>
  <si>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</si>
  <si>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</si>
  <si>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</si>
  <si>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</si>
  <si>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</si>
  <si>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</si>
  <si>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</si>
  <si>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</si>
  <si>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</si>
  <si>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</si>
  <si>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</si>
  <si>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</si>
  <si>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</si>
  <si>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</si>
  <si>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</si>
  <si>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</si>
  <si>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</si>
  <si>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</si>
  <si>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</si>
  <si>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</si>
  <si>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</si>
  <si>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</si>
  <si>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</si>
  <si>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</si>
  <si>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</si>
  <si>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</si>
  <si>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</si>
  <si>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</si>
  <si>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</si>
  <si>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</si>
  <si>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</si>
  <si>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</si>
  <si>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</si>
  <si>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</si>
  <si>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</si>
  <si>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</si>
  <si>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</si>
  <si>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</si>
  <si>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</si>
  <si>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</si>
  <si>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</si>
  <si>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</si>
  <si>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</si>
  <si>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</si>
  <si>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</si>
  <si>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</si>
  <si>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</si>
  <si>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</si>
  <si>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</si>
  <si>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</si>
  <si>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</si>
  <si>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</si>
  <si>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</si>
  <si>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</si>
  <si>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</si>
  <si>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</si>
  <si>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</si>
  <si>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</si>
  <si>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</si>
  <si>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</si>
  <si>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</si>
  <si>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</si>
  <si>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</si>
  <si>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</si>
  <si>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</si>
  <si>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</si>
  <si>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</si>
  <si>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</si>
  <si>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</si>
  <si>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</si>
  <si>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</si>
  <si>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</si>
  <si>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</si>
  <si>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</si>
  <si>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</si>
  <si>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</si>
  <si>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</si>
  <si>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</si>
  <si>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</si>
  <si>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</si>
  <si>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</si>
  <si>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</si>
  <si>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</si>
  <si>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</si>
  <si>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</si>
  <si>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</si>
  <si>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</si>
  <si>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</si>
  <si>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</si>
  <si>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</si>
  <si>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</si>
  <si>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</si>
  <si>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</si>
  <si>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</si>
  <si>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</si>
  <si>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</si>
  <si>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</si>
  <si>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</si>
  <si>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</si>
  <si>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</si>
  <si>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</si>
  <si>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</si>
  <si>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</si>
  <si>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</si>
  <si>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</si>
  <si>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</si>
  <si>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</si>
  <si>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</si>
  <si>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</si>
  <si>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</si>
  <si>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</si>
  <si>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</si>
  <si>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</si>
  <si>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</si>
  <si>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</si>
  <si>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</si>
  <si>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</si>
  <si>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</si>
  <si>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</si>
  <si>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</si>
  <si>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</si>
  <si>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</si>
  <si>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</si>
  <si>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</si>
  <si>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</si>
  <si>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</si>
  <si>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</si>
  <si>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</si>
  <si>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</si>
  <si>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</si>
  <si>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</si>
  <si>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</si>
  <si>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</si>
  <si>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</si>
  <si>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</si>
  <si>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</si>
  <si>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</si>
  <si>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</si>
  <si>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</si>
  <si>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</si>
  <si>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</si>
  <si>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</si>
  <si>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</si>
  <si>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</si>
  <si>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</si>
  <si>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</si>
  <si>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</si>
  <si>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</si>
  <si>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</si>
  <si>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</si>
  <si>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</si>
  <si>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</si>
  <si>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</si>
  <si>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</si>
  <si>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</si>
  <si>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</si>
  <si>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</si>
  <si>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</si>
  <si>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</si>
  <si>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</si>
  <si>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</si>
  <si>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</si>
  <si>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</si>
  <si>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</si>
  <si>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</si>
  <si>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</si>
  <si>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</si>
  <si>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</si>
  <si>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</si>
  <si>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</si>
  <si>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</si>
  <si>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</si>
  <si>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</si>
  <si>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</si>
  <si>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</si>
  <si>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</si>
  <si>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</si>
  <si>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</si>
  <si>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</si>
  <si>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</si>
  <si>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</si>
  <si>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</si>
  <si>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</si>
  <si>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</si>
  <si>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</si>
  <si>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</si>
  <si>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</si>
  <si>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</si>
  <si>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</si>
  <si>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</si>
  <si>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</si>
  <si>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</si>
  <si>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</si>
  <si>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</si>
  <si>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</si>
  <si>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</si>
  <si>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</si>
  <si>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</si>
  <si>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</si>
  <si>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</si>
  <si>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</si>
  <si>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</si>
  <si>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</si>
  <si>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</si>
  <si>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</si>
  <si>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</si>
  <si>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</si>
  <si>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</si>
  <si>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</si>
  <si>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</si>
  <si>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</si>
  <si>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</si>
  <si>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</si>
  <si>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</si>
  <si>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</si>
  <si>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</si>
  <si>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</si>
  <si>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</si>
  <si>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</si>
  <si>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</si>
  <si>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</si>
  <si>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</si>
  <si>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</si>
  <si>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</si>
  <si>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</si>
  <si>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</si>
  <si>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</si>
  <si>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</si>
  <si>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</si>
  <si>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</si>
  <si>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</si>
  <si>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</si>
  <si>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</si>
  <si>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</si>
  <si>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</si>
  <si>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</si>
  <si>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</si>
  <si>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</si>
  <si>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</si>
  <si>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</si>
  <si>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</si>
  <si>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</si>
  <si>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</si>
  <si>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</si>
  <si>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</si>
  <si>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</si>
  <si>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</si>
  <si>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</si>
  <si>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</si>
  <si>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</si>
  <si>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</si>
  <si>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</si>
  <si>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</si>
  <si>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</si>
  <si>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</si>
  <si>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</si>
  <si>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</si>
  <si>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</si>
  <si>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</si>
  <si>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</si>
  <si>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</si>
  <si>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</si>
  <si>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</si>
  <si>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</si>
  <si>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</si>
  <si>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</si>
  <si>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</si>
  <si>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</si>
  <si>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</si>
  <si>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</si>
  <si>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</si>
  <si>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</si>
  <si>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</si>
  <si>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</si>
  <si>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</si>
  <si>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</si>
  <si>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</si>
  <si>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</si>
  <si>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</si>
  <si>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</si>
  <si>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</si>
  <si>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</si>
  <si>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</si>
  <si>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</si>
  <si>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</si>
  <si>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</si>
  <si>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</si>
  <si>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</si>
  <si>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</si>
  <si>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</si>
  <si>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</si>
  <si>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</si>
  <si>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</si>
  <si>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</si>
  <si>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</si>
  <si>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</si>
  <si>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</si>
  <si>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</si>
  <si>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</si>
  <si>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</si>
  <si>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</si>
  <si>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</si>
  <si>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</si>
  <si>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</si>
  <si>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</si>
  <si>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</si>
  <si>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</si>
  <si>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</si>
  <si>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</si>
  <si>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</si>
  <si>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</si>
  <si>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</si>
  <si>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</si>
  <si>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</si>
  <si>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</si>
  <si>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</si>
  <si>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</si>
  <si>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</si>
  <si>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</si>
  <si>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</si>
  <si>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</si>
  <si>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</si>
  <si>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</si>
  <si>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</si>
  <si>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</si>
  <si>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</si>
  <si>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</si>
  <si>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</si>
  <si>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</si>
  <si>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</si>
  <si>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</si>
  <si>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</si>
  <si>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</si>
  <si>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</si>
  <si>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</si>
  <si>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</si>
  <si>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</si>
  <si>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</si>
  <si>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</si>
  <si>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</si>
  <si>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</si>
  <si>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</si>
  <si>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</si>
  <si>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</si>
  <si>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</si>
  <si>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</si>
  <si>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</si>
  <si>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</si>
  <si>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</si>
  <si>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</si>
  <si>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</si>
  <si>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</si>
  <si>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</si>
  <si>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</si>
  <si>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</si>
  <si>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</si>
  <si>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</si>
  <si>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</si>
  <si>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</si>
  <si>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</si>
  <si>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</si>
  <si>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</si>
  <si>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</si>
  <si>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</si>
  <si>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</si>
  <si>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</si>
  <si>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</si>
  <si>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</si>
  <si>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</si>
  <si>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</si>
  <si>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</si>
  <si>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</si>
  <si>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</si>
  <si>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</si>
  <si>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</si>
  <si>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</si>
  <si>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</si>
  <si>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</si>
  <si>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</si>
  <si>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</si>
  <si>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</si>
  <si>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</si>
  <si>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</si>
  <si>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</si>
  <si>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</si>
  <si>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</si>
  <si>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</si>
  <si>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</si>
  <si>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</si>
  <si>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</si>
  <si>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</si>
  <si>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</si>
  <si>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</si>
  <si>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</si>
  <si>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</si>
  <si>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</si>
  <si>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</si>
  <si>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</si>
  <si>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</si>
  <si>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</si>
  <si>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</si>
  <si>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</si>
  <si>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</si>
  <si>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</si>
  <si>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</si>
  <si>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</si>
  <si>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</si>
  <si>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</si>
  <si>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</si>
  <si>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</si>
  <si>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</si>
  <si>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</si>
  <si>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</si>
  <si>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</si>
  <si>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</si>
  <si>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</si>
  <si>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</si>
  <si>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</si>
  <si>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</si>
  <si>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</si>
  <si>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</si>
  <si>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</si>
  <si>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</si>
  <si>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</si>
  <si>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</si>
  <si>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</si>
  <si>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</si>
  <si>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</si>
  <si>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</si>
  <si>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</si>
  <si>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</si>
  <si>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</si>
  <si>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</si>
  <si>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</si>
  <si>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</si>
  <si>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</si>
  <si>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</si>
  <si>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</si>
  <si>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</si>
  <si>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</si>
  <si>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</si>
  <si>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</si>
  <si>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</si>
  <si>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</si>
  <si>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</si>
  <si>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</si>
  <si>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</si>
  <si>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</si>
  <si>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</si>
  <si>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</si>
  <si>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</si>
  <si>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</si>
  <si>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</si>
  <si>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</si>
  <si>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</si>
  <si>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</si>
  <si>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</si>
  <si>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</si>
  <si>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</si>
  <si>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</si>
  <si>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</si>
  <si>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</si>
  <si>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</si>
  <si>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</si>
  <si>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</si>
  <si>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</si>
  <si>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</si>
  <si>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</si>
  <si>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</si>
  <si>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</si>
  <si>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</si>
  <si>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</si>
  <si>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</si>
  <si>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</si>
  <si>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</si>
  <si>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</si>
  <si>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</si>
  <si>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</si>
  <si>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</si>
  <si>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</si>
  <si>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</si>
  <si>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</si>
  <si>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</si>
  <si>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</si>
  <si>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</si>
  <si>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</si>
  <si>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</si>
  <si>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</si>
  <si>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</si>
  <si>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</si>
  <si>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</si>
  <si>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</si>
  <si>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</si>
  <si>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</si>
  <si>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</si>
  <si>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</si>
  <si>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</si>
  <si>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</si>
  <si>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</si>
  <si>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</si>
  <si>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</si>
  <si>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</si>
  <si>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</si>
  <si>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</si>
  <si>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</si>
  <si>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</si>
  <si>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</si>
  <si>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</si>
  <si>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</si>
  <si>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</si>
  <si>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</si>
  <si>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</si>
  <si>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</si>
  <si>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</si>
  <si>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</si>
  <si>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</si>
  <si>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</si>
  <si>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</si>
  <si>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</si>
  <si>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</si>
  <si>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</si>
  <si>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</si>
  <si>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</si>
  <si>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</si>
  <si>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</si>
  <si>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</si>
  <si>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</si>
  <si>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</si>
  <si>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</si>
  <si>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</si>
  <si>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</si>
  <si>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</si>
  <si>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</si>
  <si>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</si>
  <si>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</si>
  <si>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</si>
  <si>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</si>
  <si>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</si>
  <si>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</si>
  <si>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</si>
  <si>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</si>
  <si>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</si>
  <si>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</si>
  <si>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</si>
  <si>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</si>
  <si>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</si>
  <si>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</si>
  <si>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</si>
  <si>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</si>
  <si>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</si>
  <si>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</si>
  <si>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</si>
  <si>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</si>
  <si>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</si>
  <si>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</si>
  <si>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</si>
  <si>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</si>
  <si>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</si>
  <si>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</si>
  <si>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</si>
  <si>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</si>
  <si>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</si>
  <si>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</si>
  <si>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</si>
  <si>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</si>
  <si>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</si>
  <si>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</si>
  <si>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</si>
  <si>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</si>
  <si>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</si>
  <si>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</si>
  <si>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</si>
  <si>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</si>
  <si>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</si>
  <si>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</si>
  <si>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</si>
  <si>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</si>
  <si>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</si>
  <si>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</si>
  <si>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</si>
  <si>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</si>
  <si>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</si>
  <si>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</si>
  <si>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</si>
  <si>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</si>
  <si>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</si>
  <si>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</si>
  <si>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</si>
  <si>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</si>
  <si>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</si>
  <si>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</si>
  <si>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</si>
  <si>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</si>
  <si>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</si>
  <si>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</si>
  <si>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</si>
  <si>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</si>
  <si>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</si>
  <si>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</si>
  <si>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</si>
  <si>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</si>
  <si>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</si>
  <si>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</si>
  <si>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</si>
  <si>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</si>
  <si>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</si>
  <si>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</si>
  <si>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</si>
  <si>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</si>
  <si>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</si>
  <si>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</si>
  <si>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</si>
  <si>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</si>
  <si>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</si>
  <si>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</si>
  <si>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</si>
  <si>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</si>
  <si>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</si>
  <si>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</si>
  <si>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</si>
  <si>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</si>
  <si>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</si>
  <si>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</si>
  <si>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</si>
  <si>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</si>
  <si>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</si>
  <si>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</si>
  <si>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</si>
  <si>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</si>
  <si>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</si>
  <si>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</si>
  <si>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</si>
  <si>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</si>
  <si>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</si>
  <si>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</si>
  <si>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</si>
  <si>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</si>
  <si>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</si>
  <si>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</si>
  <si>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</si>
  <si>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</si>
  <si>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</si>
  <si>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</si>
  <si>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</si>
  <si>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</si>
  <si>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</si>
  <si>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</si>
  <si>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</si>
  <si>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</si>
  <si>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</si>
  <si>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</si>
  <si>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</si>
  <si>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</si>
  <si>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</si>
  <si>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</si>
  <si>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</si>
  <si>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</si>
  <si>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</si>
  <si>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</si>
  <si>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</si>
  <si>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</si>
  <si>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</si>
  <si>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</si>
  <si>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</si>
  <si>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</si>
  <si>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</si>
  <si>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</si>
  <si>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</si>
  <si>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</si>
  <si>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</si>
  <si>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</si>
  <si>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</si>
  <si>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</si>
  <si>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</si>
  <si>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</si>
  <si>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</si>
  <si>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</si>
  <si>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</si>
  <si>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</si>
  <si>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</si>
  <si>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</si>
  <si>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</si>
  <si>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</si>
  <si>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</si>
  <si>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</si>
  <si>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</si>
  <si>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</si>
  <si>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</si>
  <si>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</si>
  <si>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</si>
  <si>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</si>
  <si>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</si>
  <si>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</si>
  <si>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</si>
  <si>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</si>
  <si>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</si>
  <si>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</si>
  <si>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</si>
  <si>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</si>
  <si>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</si>
  <si>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</si>
  <si>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</si>
  <si>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</si>
  <si>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</si>
  <si>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</si>
  <si>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</si>
  <si>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</si>
  <si>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</si>
  <si>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</si>
  <si>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</si>
  <si>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</si>
  <si>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</si>
  <si>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</si>
  <si>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</si>
  <si>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</si>
  <si>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</si>
  <si>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</si>
  <si>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</si>
  <si>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</si>
  <si>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</si>
  <si>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</si>
  <si>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</si>
  <si>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</si>
  <si>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</si>
  <si>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</si>
  <si>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</si>
  <si>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</si>
  <si>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</si>
  <si>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</si>
  <si>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</si>
  <si>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</si>
  <si>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</si>
  <si>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</si>
  <si>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</si>
  <si>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</si>
  <si>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</si>
  <si>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</si>
  <si>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</si>
  <si>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</si>
  <si>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</si>
  <si>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</si>
  <si>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</si>
  <si>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</si>
  <si>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</si>
  <si>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</si>
  <si>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</si>
  <si>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</si>
  <si>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</si>
  <si>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</si>
  <si>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</si>
  <si>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</si>
  <si>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</si>
  <si>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</si>
  <si>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</si>
  <si>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</si>
  <si>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</si>
  <si>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</si>
  <si>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</si>
  <si>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</si>
  <si>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</si>
  <si>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</si>
  <si>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</si>
  <si>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</si>
  <si>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</si>
  <si>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</si>
  <si>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</si>
  <si>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</si>
  <si>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</si>
  <si>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</si>
  <si>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</si>
  <si>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</si>
  <si>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</si>
  <si>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</si>
  <si>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</si>
  <si>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</si>
  <si>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</si>
  <si>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</si>
  <si>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</si>
  <si>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</si>
  <si>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</si>
  <si>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</si>
  <si>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</si>
  <si>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</si>
  <si>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</si>
  <si>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</si>
  <si>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</si>
  <si>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</si>
  <si>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</si>
  <si>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</si>
  <si>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</si>
  <si>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</si>
  <si>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</si>
  <si>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</si>
  <si>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</si>
  <si>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</si>
  <si>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</si>
  <si>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</si>
  <si>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</si>
  <si>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</si>
  <si>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</si>
  <si>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</si>
  <si>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</si>
  <si>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</si>
  <si>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</si>
  <si>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</si>
  <si>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</si>
  <si>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</si>
  <si>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</si>
  <si>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</si>
  <si>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</si>
  <si>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</si>
  <si>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</si>
  <si>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</si>
  <si>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</si>
  <si>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</si>
  <si>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</si>
  <si>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</si>
  <si>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</si>
  <si>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</si>
  <si>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</si>
  <si>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</si>
  <si>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</si>
  <si>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</si>
  <si>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</si>
  <si>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</si>
  <si>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</si>
  <si>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</si>
  <si>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</si>
  <si>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</si>
  <si>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</si>
  <si>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</si>
  <si>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</si>
  <si>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</si>
  <si>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</si>
  <si>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</si>
  <si>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</si>
  <si>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</si>
  <si>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</si>
  <si>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</si>
  <si>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</si>
  <si>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</si>
  <si>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</si>
  <si>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</si>
  <si>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</si>
  <si>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</si>
  <si>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</si>
  <si>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</si>
  <si>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</si>
  <si>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</si>
  <si>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</si>
  <si>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</si>
  <si>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</si>
  <si>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</si>
  <si>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</si>
  <si>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</si>
  <si>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</si>
  <si>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</si>
  <si>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</si>
  <si>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</si>
  <si>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</si>
  <si>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</si>
  <si>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</si>
  <si>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</si>
  <si>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</si>
  <si>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</si>
  <si>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</si>
  <si>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</si>
  <si>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</si>
  <si>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</si>
  <si>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</si>
  <si>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</si>
  <si>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</si>
  <si>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</si>
  <si>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</si>
  <si>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</si>
  <si>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</si>
  <si>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</si>
  <si>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</si>
  <si>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</si>
  <si>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</si>
  <si>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</si>
  <si>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</si>
  <si>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</si>
  <si>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</si>
  <si>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</si>
  <si>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</si>
  <si>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</si>
  <si>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</si>
  <si>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</si>
  <si>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</si>
  <si>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</si>
  <si>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</si>
  <si>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</si>
  <si>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</si>
  <si>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</si>
  <si>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</si>
  <si>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</si>
  <si>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</si>
  <si>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</si>
  <si>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</si>
  <si>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</si>
  <si>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</si>
  <si>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</si>
  <si>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</si>
  <si>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</si>
  <si>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</si>
  <si>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</si>
  <si>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</si>
  <si>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</si>
  <si>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</si>
  <si>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</si>
  <si>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</si>
  <si>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</si>
  <si>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</si>
  <si>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</si>
  <si>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</si>
  <si>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</si>
  <si>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</si>
  <si>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</si>
  <si>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</si>
  <si>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</si>
  <si>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</si>
  <si>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</si>
  <si>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</si>
  <si>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</si>
  <si>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</si>
  <si>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</si>
  <si>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</si>
  <si>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</si>
  <si>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</si>
  <si>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</si>
  <si>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</si>
  <si>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</si>
  <si>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</si>
  <si>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</si>
  <si>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</si>
  <si>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</si>
  <si>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</si>
  <si>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</si>
  <si>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</si>
  <si>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</si>
  <si>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</si>
  <si>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</si>
  <si>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</si>
  <si>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</si>
  <si>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</si>
  <si>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</si>
  <si>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</si>
  <si>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</si>
  <si>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</si>
  <si>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</si>
  <si>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</si>
  <si>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</si>
  <si>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</si>
  <si>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</si>
  <si>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</si>
  <si>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</si>
  <si>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</si>
  <si>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</si>
  <si>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</si>
  <si>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</si>
  <si>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</si>
  <si>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</si>
  <si>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</si>
  <si>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</si>
  <si>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</si>
  <si>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</si>
  <si>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</si>
  <si>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</si>
  <si>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</si>
  <si>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</si>
  <si>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</si>
  <si>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</si>
  <si>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</si>
  <si>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</si>
  <si>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</si>
  <si>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</si>
  <si>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</si>
  <si>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</si>
  <si>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</si>
  <si>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</si>
  <si>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</si>
  <si>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</si>
  <si>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</si>
  <si>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</si>
  <si>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</si>
  <si>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</si>
  <si>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</si>
  <si>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</si>
  <si>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</si>
  <si>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</si>
  <si>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</si>
  <si>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</si>
  <si>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</si>
  <si>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</si>
  <si>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</si>
  <si>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</si>
  <si>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</si>
  <si>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</si>
  <si>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</si>
  <si>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</si>
  <si>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</si>
  <si>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</si>
  <si>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</si>
  <si>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</si>
  <si>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</si>
  <si>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</si>
  <si>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</si>
  <si>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</si>
  <si>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</si>
  <si>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</si>
  <si>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</si>
  <si>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</si>
  <si>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</si>
  <si>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</si>
  <si>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</si>
  <si>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</si>
  <si>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</si>
  <si>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</si>
  <si>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</si>
  <si>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</si>
  <si>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</si>
  <si>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</si>
  <si>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</si>
  <si>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</si>
  <si>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</si>
  <si>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</si>
  <si>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</si>
  <si>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</si>
  <si>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</si>
  <si>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</si>
  <si>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</si>
  <si>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</si>
  <si>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</si>
  <si>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</si>
  <si>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</si>
  <si>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</si>
  <si>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</si>
  <si>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</si>
  <si>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</si>
  <si>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</si>
  <si>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</si>
  <si>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</si>
  <si>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</si>
  <si>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</si>
  <si>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</si>
  <si>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</si>
  <si>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</si>
  <si>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</si>
  <si>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</si>
  <si>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</si>
  <si>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</si>
  <si>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</si>
  <si>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</si>
  <si>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</si>
  <si>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</si>
  <si>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</si>
  <si>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</si>
  <si>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</si>
  <si>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</si>
  <si>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</si>
  <si>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</si>
  <si>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</si>
  <si>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</si>
  <si>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</si>
  <si>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</si>
  <si>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</si>
  <si>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</si>
  <si>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</si>
  <si>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</si>
  <si>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</si>
  <si>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</si>
  <si>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</si>
  <si>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</si>
  <si>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</si>
  <si>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</si>
  <si>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</si>
  <si>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</si>
  <si>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</si>
  <si>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</si>
  <si>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</si>
  <si>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</si>
  <si>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</si>
  <si>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</si>
  <si>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</si>
  <si>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</si>
  <si>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</si>
  <si>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</si>
  <si>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</si>
  <si>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</si>
  <si>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</si>
  <si>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</si>
  <si>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</si>
  <si>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</si>
  <si>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</si>
  <si>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</si>
  <si>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</si>
  <si>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</si>
  <si>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</si>
  <si>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</si>
  <si>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</si>
  <si>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</si>
  <si>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</si>
  <si>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</si>
  <si>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</si>
  <si>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</si>
  <si>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</si>
  <si>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</si>
  <si>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</si>
  <si>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</si>
  <si>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</si>
  <si>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</si>
  <si>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</si>
  <si>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</si>
  <si>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</si>
  <si>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</si>
  <si>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</si>
  <si>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</si>
  <si>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</si>
  <si>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</si>
  <si>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</si>
  <si>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</si>
  <si>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</si>
  <si>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</si>
  <si>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</si>
  <si>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</si>
  <si>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</si>
  <si>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</si>
  <si>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</si>
  <si>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</si>
  <si>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</si>
  <si>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</si>
  <si>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</si>
  <si>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</si>
  <si>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</si>
  <si>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</si>
  <si>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</si>
  <si>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</si>
  <si>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</si>
  <si>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</si>
  <si>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</si>
  <si>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</si>
  <si>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</si>
  <si>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</si>
  <si>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</si>
  <si>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</si>
  <si>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</si>
  <si>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</si>
  <si>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</si>
  <si>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</si>
  <si>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</si>
  <si>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</si>
  <si>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</si>
  <si>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</si>
  <si>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</si>
  <si>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</si>
  <si>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</si>
  <si>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</si>
  <si>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</si>
  <si>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</si>
  <si>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</si>
  <si>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</si>
  <si>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</si>
  <si>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</si>
  <si>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</si>
  <si>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</si>
  <si>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</si>
  <si>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</si>
  <si>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</si>
  <si>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</si>
  <si>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</si>
  <si>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</si>
  <si>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</si>
  <si>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</si>
  <si>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</si>
  <si>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</si>
  <si>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</si>
  <si>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</si>
  <si>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</si>
  <si>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</si>
  <si>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</si>
  <si>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</si>
  <si>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</si>
  <si>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</si>
  <si>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</si>
  <si>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</si>
  <si>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</si>
  <si>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</si>
  <si>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</si>
  <si>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</si>
  <si>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</si>
  <si>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</si>
  <si>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</si>
  <si>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</si>
  <si>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</si>
  <si>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</si>
  <si>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</si>
  <si>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</si>
  <si>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</si>
  <si>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</si>
  <si>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</si>
  <si>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</si>
  <si>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</si>
  <si>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</si>
  <si>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</si>
  <si>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</si>
  <si>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</si>
  <si>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</si>
  <si>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</si>
  <si>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</si>
  <si>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</si>
  <si>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</si>
  <si>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</si>
  <si>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</si>
  <si>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</si>
  <si>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</si>
  <si>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</si>
  <si>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</si>
  <si>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</si>
  <si>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</si>
  <si>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</si>
  <si>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</si>
  <si>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</si>
  <si>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</si>
  <si>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</si>
  <si>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</si>
  <si>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</si>
  <si>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</si>
  <si>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</si>
  <si>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</si>
  <si>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</si>
  <si>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</si>
  <si>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</si>
  <si>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</si>
  <si>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</si>
  <si>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</si>
  <si>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</si>
  <si>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</si>
  <si>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</si>
  <si>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</si>
  <si>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</si>
  <si>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</si>
  <si>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</si>
  <si>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</si>
  <si>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</si>
  <si>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</si>
  <si>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</si>
  <si>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</si>
  <si>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</si>
  <si>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</si>
  <si>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</si>
  <si>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</si>
  <si>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</si>
  <si>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</si>
  <si>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</si>
  <si>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</si>
  <si>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</si>
  <si>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</si>
  <si>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</si>
  <si>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</si>
  <si>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</si>
  <si>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</si>
  <si>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</si>
  <si>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</si>
  <si>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</si>
  <si>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</si>
  <si>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</si>
  <si>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</si>
  <si>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</si>
  <si>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</si>
  <si>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</si>
  <si>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</si>
  <si>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</si>
  <si>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</si>
  <si>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</si>
  <si>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</si>
  <si>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</si>
  <si>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</si>
  <si>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</si>
  <si>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</si>
  <si>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</si>
  <si>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</si>
  <si>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</si>
  <si>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</si>
  <si>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</si>
  <si>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</si>
  <si>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</si>
  <si>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</si>
  <si>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</si>
  <si>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</si>
  <si>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</si>
  <si>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</si>
  <si>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</si>
  <si>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</si>
  <si>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</si>
  <si>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</si>
  <si>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</si>
  <si>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</si>
  <si>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</si>
  <si>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</si>
  <si>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</si>
  <si>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</si>
  <si>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</si>
  <si>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</si>
  <si>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</si>
  <si>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</si>
  <si>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</si>
  <si>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</si>
  <si>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</si>
  <si>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</si>
  <si>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</si>
  <si>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</si>
  <si>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</si>
  <si>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</si>
  <si>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</si>
  <si>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</si>
  <si>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</si>
  <si>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</si>
  <si>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</si>
  <si>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</si>
  <si>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</si>
  <si>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</si>
  <si>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</si>
  <si>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</si>
  <si>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</si>
  <si>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</si>
  <si>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</si>
  <si>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</si>
  <si>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</si>
  <si>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</si>
  <si>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</si>
  <si>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</si>
  <si>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</si>
  <si>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</si>
  <si>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</si>
  <si>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</si>
  <si>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</si>
  <si>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</si>
  <si>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</si>
  <si>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</si>
  <si>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</si>
  <si>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</si>
  <si>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</si>
  <si>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</si>
  <si>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</si>
  <si>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</si>
  <si>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</si>
  <si>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</si>
  <si>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</si>
  <si>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</si>
  <si>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</si>
  <si>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</si>
  <si>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</si>
  <si>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</si>
  <si>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</si>
  <si>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</si>
  <si>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</si>
  <si>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</si>
  <si>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</si>
  <si>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</si>
  <si>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</si>
  <si>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</si>
  <si>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</si>
  <si>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</si>
  <si>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</si>
  <si>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</si>
  <si>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</si>
  <si>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</si>
  <si>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</si>
  <si>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</si>
  <si>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</si>
  <si>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</si>
  <si>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</si>
  <si>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</si>
  <si>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</si>
  <si>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</si>
  <si>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</si>
  <si>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</si>
  <si>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</si>
  <si>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</si>
  <si>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</si>
  <si>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</si>
  <si>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</si>
  <si>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</si>
  <si>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</si>
  <si>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</si>
  <si>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</si>
  <si>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</si>
  <si>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</si>
  <si>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</si>
  <si>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</si>
  <si>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</si>
  <si>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</si>
  <si>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</si>
  <si>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</si>
  <si>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</si>
  <si>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</si>
  <si>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</si>
  <si>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</si>
  <si>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</si>
  <si>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</si>
  <si>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</si>
  <si>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</si>
  <si>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</si>
  <si>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</si>
  <si>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</si>
  <si>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</si>
  <si>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</si>
  <si>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</si>
  <si>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</si>
  <si>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</si>
  <si>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</si>
  <si>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</si>
  <si>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</si>
  <si>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</si>
  <si>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</si>
  <si>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</si>
  <si>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</si>
  <si>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</si>
  <si>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</si>
  <si>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</si>
  <si>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</si>
  <si>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</si>
  <si>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</si>
  <si>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</si>
  <si>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</si>
  <si>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</si>
  <si>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</si>
  <si>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</si>
  <si>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</si>
  <si>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</si>
  <si>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</si>
  <si>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</si>
  <si>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</si>
  <si>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</si>
  <si>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</si>
  <si>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</si>
  <si>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</si>
  <si>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</si>
  <si>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</si>
  <si>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</si>
  <si>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</si>
  <si>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</si>
  <si>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</si>
  <si>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</si>
  <si>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</si>
  <si>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</si>
  <si>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</si>
  <si>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</si>
  <si>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</si>
  <si>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</si>
  <si>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</si>
  <si>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</si>
  <si>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</si>
  <si>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</si>
  <si>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</si>
  <si>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</si>
  <si>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</si>
  <si>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</si>
  <si>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</si>
  <si>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</si>
  <si>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</si>
  <si>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</si>
  <si>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</si>
  <si>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</si>
  <si>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</si>
  <si>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</si>
  <si>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</si>
  <si>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</si>
  <si>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</si>
  <si>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</si>
  <si>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</si>
  <si>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</si>
  <si>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</si>
  <si>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</si>
  <si>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</si>
  <si>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</si>
  <si>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</si>
  <si>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</si>
  <si>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</si>
  <si>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</si>
  <si>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</si>
  <si>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</si>
  <si>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</si>
  <si>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</si>
  <si>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</si>
  <si>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</si>
  <si>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</si>
  <si>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</si>
  <si>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</si>
  <si>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</si>
  <si>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</si>
  <si>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</si>
  <si>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</si>
  <si>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</si>
  <si>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</si>
  <si>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</si>
  <si>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</si>
  <si>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</si>
  <si>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</si>
  <si>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</si>
  <si>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</si>
  <si>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</si>
  <si>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</si>
  <si>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</si>
  <si>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</si>
  <si>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</si>
  <si>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</si>
  <si>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</si>
  <si>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</si>
  <si>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</si>
  <si>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</si>
  <si>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</si>
  <si>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</si>
  <si>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</si>
  <si>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</si>
  <si>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</si>
  <si>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</si>
  <si>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</si>
  <si>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</si>
  <si>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</si>
  <si>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</si>
  <si>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</si>
  <si>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</si>
  <si>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</si>
  <si>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</si>
  <si>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</si>
  <si>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</si>
  <si>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</si>
  <si>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</si>
  <si>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</si>
  <si>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</si>
  <si>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</si>
  <si>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</si>
  <si>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</si>
  <si>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</si>
  <si>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</si>
  <si>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</si>
  <si>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</si>
  <si>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</si>
  <si>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</si>
  <si>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</si>
  <si>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</si>
  <si>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</si>
  <si>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</si>
  <si>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</si>
  <si>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</si>
  <si>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</si>
  <si>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</si>
  <si>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</si>
  <si>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</si>
  <si>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</si>
  <si>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</si>
  <si>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</si>
  <si>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</si>
  <si>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</si>
  <si>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</si>
  <si>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</si>
  <si>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</si>
  <si>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</si>
  <si>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</si>
  <si>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</si>
  <si>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</si>
  <si>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</si>
  <si>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</si>
  <si>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</si>
  <si>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</si>
  <si>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</si>
  <si>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</si>
  <si>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</si>
  <si>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</si>
  <si>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</si>
  <si>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</si>
  <si>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</si>
  <si>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</si>
  <si>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</si>
  <si>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</si>
  <si>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</si>
  <si>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</si>
  <si>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</si>
  <si>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</si>
  <si>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</si>
  <si>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</si>
  <si>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</si>
  <si>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</si>
  <si>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</si>
  <si>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</si>
  <si>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</si>
  <si>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</si>
  <si>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</si>
  <si>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</si>
  <si>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</si>
  <si>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</si>
  <si>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</si>
  <si>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</si>
  <si>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</si>
  <si>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</si>
  <si>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</si>
  <si>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</si>
  <si>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</si>
  <si>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</si>
  <si>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</si>
  <si>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</si>
  <si>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</si>
  <si>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</si>
  <si>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</si>
  <si>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</si>
  <si>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</si>
  <si>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</si>
  <si>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</si>
  <si>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</si>
  <si>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</si>
  <si>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</si>
  <si>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</si>
  <si>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</si>
  <si>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</si>
  <si>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</si>
  <si>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</si>
  <si>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</si>
  <si>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</si>
  <si>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</si>
  <si>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</si>
  <si>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</si>
  <si>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</si>
  <si>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</si>
  <si>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</si>
  <si>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</si>
  <si>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</si>
  <si>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</si>
  <si>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</si>
  <si>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</si>
  <si>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</si>
  <si>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</si>
  <si>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</si>
  <si>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</si>
  <si>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</si>
  <si>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</si>
  <si>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</si>
  <si>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</si>
  <si>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</si>
  <si>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</si>
  <si>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</si>
  <si>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</si>
  <si>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</si>
  <si>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</si>
  <si>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</si>
  <si>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</si>
  <si>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</si>
  <si>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</si>
  <si>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</si>
  <si>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</si>
  <si>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</si>
  <si>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</si>
  <si>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</si>
  <si>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</si>
  <si>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</si>
  <si>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</si>
  <si>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</si>
  <si>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</si>
  <si>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</si>
  <si>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</si>
  <si>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</si>
  <si>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</si>
  <si>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</si>
  <si>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</si>
  <si>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</si>
  <si>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</si>
  <si>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</si>
  <si>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</si>
  <si>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</si>
  <si>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</si>
  <si>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</si>
  <si>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</si>
  <si>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</si>
  <si>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</si>
  <si>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</si>
  <si>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</si>
  <si>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</si>
  <si>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</si>
  <si>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</si>
  <si>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</si>
  <si>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</si>
  <si>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</si>
  <si>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</si>
  <si>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</si>
  <si>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</si>
  <si>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</si>
  <si>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</si>
  <si>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</si>
  <si>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</si>
  <si>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</si>
  <si>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</si>
  <si>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</si>
  <si>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</si>
  <si>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</si>
  <si>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</si>
  <si>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</si>
  <si>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</si>
  <si>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</si>
  <si>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</si>
  <si>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</si>
  <si>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</si>
  <si>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</si>
  <si>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</si>
  <si>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</si>
  <si>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</si>
  <si>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</si>
  <si>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</si>
  <si>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</si>
  <si>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</si>
  <si>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</si>
  <si>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</si>
  <si>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</si>
  <si>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</si>
  <si>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</si>
  <si>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</si>
  <si>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</si>
  <si>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</si>
  <si>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</si>
  <si>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</si>
  <si>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</si>
  <si>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</si>
  <si>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</si>
  <si>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</si>
  <si>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</si>
  <si>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</si>
  <si>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</si>
  <si>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</si>
  <si>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</si>
  <si>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</si>
  <si>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</si>
  <si>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</si>
  <si>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</si>
  <si>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</si>
  <si>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</si>
  <si>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</si>
  <si>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</si>
  <si>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</si>
  <si>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</si>
  <si>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</si>
  <si>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</si>
  <si>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</si>
  <si>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</si>
  <si>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</si>
  <si>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</si>
  <si>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</si>
  <si>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</si>
  <si>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</si>
  <si>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</si>
  <si>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</si>
  <si>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</si>
  <si>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</si>
  <si>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</si>
  <si>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</si>
  <si>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</si>
  <si>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</si>
  <si>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</si>
  <si>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</si>
  <si>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</si>
  <si>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</si>
  <si>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</si>
  <si>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</si>
  <si>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</si>
  <si>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</si>
  <si>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</si>
  <si>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</si>
  <si>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</si>
  <si>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</si>
  <si>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</si>
  <si>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</si>
  <si>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</si>
  <si>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</si>
  <si>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</si>
  <si>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</si>
  <si>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</si>
  <si>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</si>
  <si>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</si>
  <si>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</si>
  <si>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</si>
  <si>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</si>
  <si>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</si>
  <si>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</si>
  <si>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</si>
  <si>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</si>
  <si>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</si>
  <si>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</si>
  <si>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</si>
  <si>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</si>
  <si>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</si>
  <si>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</si>
  <si>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</si>
  <si>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</si>
  <si>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</si>
  <si>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</si>
  <si>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</si>
  <si>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</si>
  <si>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</si>
  <si>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</si>
  <si>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</si>
  <si>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</si>
  <si>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</si>
  <si>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</si>
  <si>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</si>
  <si>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</si>
  <si>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</si>
  <si>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</si>
  <si>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</si>
  <si>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</si>
  <si>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</si>
  <si>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</si>
  <si>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</si>
  <si>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</si>
  <si>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</si>
  <si>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</si>
  <si>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</si>
  <si>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</si>
  <si>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</si>
  <si>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</si>
  <si>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</si>
  <si>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</si>
  <si>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</si>
  <si>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</si>
  <si>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</si>
  <si>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</si>
  <si>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</si>
  <si>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</si>
  <si>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</si>
  <si>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</si>
  <si>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</si>
  <si>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</si>
  <si>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</si>
  <si>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</si>
  <si>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</si>
  <si>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</si>
  <si>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</si>
  <si>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</si>
  <si>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</si>
  <si>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</si>
  <si>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</si>
  <si>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</si>
  <si>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</si>
  <si>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</si>
  <si>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</si>
  <si>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</si>
  <si>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</si>
  <si>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</si>
  <si>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</si>
  <si>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</si>
  <si>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</si>
  <si>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</si>
  <si>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</si>
  <si>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</si>
  <si>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</si>
  <si>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</si>
  <si>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</si>
  <si>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</si>
  <si>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</si>
  <si>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</si>
  <si>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</si>
  <si>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</si>
  <si>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</si>
  <si>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</si>
  <si>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</si>
  <si>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</si>
  <si>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</si>
  <si>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</si>
  <si>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</si>
  <si>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</si>
  <si>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</si>
  <si>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</si>
  <si>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</si>
  <si>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</si>
  <si>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</si>
  <si>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</si>
  <si>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</si>
  <si>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</si>
  <si>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</si>
  <si>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</si>
  <si>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</si>
  <si>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</si>
  <si>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</si>
  <si>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</si>
  <si>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</si>
  <si>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</si>
  <si>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</si>
  <si>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</si>
  <si>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</si>
  <si>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</si>
  <si>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</si>
  <si>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</si>
  <si>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</si>
  <si>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</si>
  <si>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</si>
  <si>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</si>
  <si>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</si>
  <si>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</si>
  <si>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</si>
  <si>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</si>
  <si>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</si>
  <si>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</si>
  <si>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</si>
  <si>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</si>
  <si>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</si>
  <si>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</si>
  <si>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</si>
  <si>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</si>
  <si>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</si>
  <si>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</si>
  <si>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</si>
  <si>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</si>
  <si>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</si>
  <si>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</si>
  <si>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</si>
  <si>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</si>
  <si>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</si>
  <si>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</si>
  <si>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</si>
  <si>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</si>
  <si>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</si>
  <si>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</si>
  <si>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</si>
  <si>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</si>
  <si>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</si>
  <si>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</si>
  <si>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</si>
  <si>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</si>
  <si>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</si>
  <si>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</si>
  <si>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</si>
  <si>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</si>
  <si>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</si>
  <si>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</si>
  <si>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</si>
  <si>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</si>
  <si>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</si>
  <si>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</si>
  <si>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</si>
  <si>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</si>
  <si>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</si>
  <si>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</si>
  <si>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</si>
  <si>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</si>
  <si>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</si>
  <si>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</si>
  <si>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</si>
  <si>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</si>
  <si>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</si>
  <si>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</si>
  <si>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</si>
  <si>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</si>
  <si>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</si>
  <si>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</si>
  <si>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</si>
  <si>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</si>
  <si>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</si>
  <si>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</si>
  <si>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</si>
  <si>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</si>
  <si>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</si>
  <si>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</si>
  <si>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</si>
  <si>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</si>
  <si>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</si>
  <si>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</si>
  <si>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</si>
  <si>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</si>
  <si>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</si>
  <si>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</si>
  <si>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</si>
  <si>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</si>
  <si>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</si>
  <si>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</si>
  <si>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</si>
  <si>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</si>
  <si>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</si>
  <si>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</si>
  <si>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</si>
  <si>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</si>
  <si>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</si>
  <si>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</si>
  <si>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</si>
  <si>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</si>
  <si>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</si>
  <si>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</si>
  <si>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</si>
  <si>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</si>
  <si>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</si>
  <si>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</si>
  <si>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</si>
  <si>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</si>
  <si>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</si>
  <si>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</si>
  <si>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</si>
  <si>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</si>
  <si>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</si>
  <si>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</si>
  <si>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</si>
  <si>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</si>
  <si>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</si>
  <si>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</si>
  <si>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</si>
  <si>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</si>
  <si>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</si>
  <si>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</si>
  <si>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</si>
  <si>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</si>
  <si>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</si>
  <si>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</si>
  <si>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</si>
  <si>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</si>
  <si>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</si>
  <si>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</si>
  <si>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</si>
  <si>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</si>
  <si>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</si>
  <si>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</si>
  <si>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</si>
  <si>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</si>
  <si>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</si>
  <si>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</si>
  <si>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</si>
  <si>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</si>
  <si>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</si>
  <si>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</si>
  <si>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</si>
  <si>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</si>
  <si>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</si>
  <si>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</si>
  <si>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</si>
  <si>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</si>
  <si>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</si>
  <si>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</si>
  <si>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</si>
  <si>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</si>
  <si>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</si>
  <si>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</si>
  <si>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</si>
  <si>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</si>
  <si>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</si>
  <si>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</si>
  <si>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</si>
  <si>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</si>
  <si>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</si>
  <si>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</si>
  <si>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</si>
  <si>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</si>
  <si>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</si>
  <si>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</si>
  <si>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</si>
  <si>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</si>
  <si>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</si>
  <si>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</si>
  <si>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</si>
  <si>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</si>
  <si>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</si>
  <si>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</si>
  <si>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</si>
  <si>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</si>
  <si>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</si>
  <si>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</si>
  <si>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</si>
  <si>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</si>
  <si>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</si>
  <si>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</si>
  <si>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</si>
  <si>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</si>
  <si>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</si>
  <si>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</si>
  <si>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</si>
  <si>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</si>
  <si>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</si>
  <si>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</si>
  <si>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</si>
  <si>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</si>
  <si>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</si>
  <si>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</si>
  <si>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</si>
  <si>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</si>
  <si>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</si>
  <si>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</si>
  <si>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</si>
  <si>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</si>
  <si>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</si>
  <si>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</si>
  <si>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</si>
  <si>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</si>
  <si>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</si>
  <si>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</si>
  <si>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</si>
  <si>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</si>
  <si>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</si>
  <si>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</si>
  <si>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</si>
  <si>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</si>
  <si>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</si>
  <si>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</si>
  <si>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</si>
  <si>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</si>
  <si>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</si>
  <si>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</si>
  <si>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</si>
  <si>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</si>
  <si>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</si>
  <si>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</si>
  <si>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</si>
  <si>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</si>
  <si>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</si>
  <si>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</si>
  <si>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</si>
  <si>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</si>
  <si>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</si>
  <si>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</si>
  <si>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</si>
  <si>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</si>
  <si>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</si>
  <si>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</si>
  <si>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</si>
  <si>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</si>
  <si>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</si>
  <si>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</si>
  <si>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</si>
  <si>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</si>
  <si>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</si>
  <si>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</si>
  <si>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</si>
  <si>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</si>
  <si>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</si>
  <si>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</si>
  <si>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</si>
  <si>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</si>
  <si>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</si>
  <si>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</si>
  <si>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</si>
  <si>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</si>
  <si>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</si>
  <si>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</si>
  <si>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</si>
  <si>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</si>
  <si>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</si>
  <si>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</si>
  <si>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</si>
  <si>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</si>
  <si>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</si>
  <si>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</si>
  <si>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</si>
  <si>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</si>
  <si>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</si>
  <si>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</si>
  <si>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</si>
  <si>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</si>
  <si>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</si>
  <si>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</si>
  <si>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</si>
  <si>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</si>
  <si>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</si>
  <si>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</si>
  <si>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</si>
  <si>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</si>
  <si>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</si>
  <si>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</si>
  <si>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</si>
  <si>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</si>
  <si>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</si>
  <si>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</si>
  <si>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</si>
  <si>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</si>
  <si>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</si>
  <si>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</si>
  <si>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</si>
  <si>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</si>
  <si>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</si>
  <si>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</si>
  <si>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</si>
  <si>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</si>
  <si>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</si>
  <si>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</si>
  <si>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</si>
  <si>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</si>
  <si>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</si>
  <si>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</si>
  <si>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</si>
  <si>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</si>
  <si>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</si>
  <si>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</si>
  <si>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</si>
  <si>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</si>
  <si>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</si>
  <si>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</si>
  <si>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</si>
  <si>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</si>
  <si>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</si>
  <si>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</si>
  <si>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</si>
  <si>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</si>
  <si>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</si>
  <si>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</si>
  <si>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</si>
  <si>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</si>
  <si>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</si>
  <si>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</si>
  <si>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</si>
  <si>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</si>
  <si>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</si>
  <si>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</si>
  <si>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</si>
  <si>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</si>
  <si>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</si>
  <si>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</si>
  <si>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</si>
  <si>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</si>
  <si>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</si>
  <si>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</si>
  <si>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</si>
  <si>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</si>
  <si>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</si>
  <si>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</si>
  <si>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</si>
  <si>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</si>
  <si>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</si>
  <si>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</si>
  <si>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</si>
  <si>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</si>
  <si>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</si>
  <si>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</si>
  <si>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</si>
  <si>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</si>
  <si>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</si>
  <si>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</si>
  <si>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</si>
  <si>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</si>
  <si>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</si>
  <si>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</si>
  <si>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</si>
  <si>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</si>
  <si>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</si>
  <si>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</si>
  <si>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</si>
  <si>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</si>
  <si>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</si>
  <si>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</si>
  <si>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</si>
  <si>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</si>
  <si>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</si>
  <si>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</si>
  <si>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</si>
  <si>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</si>
  <si>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</si>
  <si>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</si>
  <si>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</si>
  <si>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</si>
  <si>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</si>
  <si>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</si>
  <si>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</si>
  <si>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</si>
  <si>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</si>
  <si>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</si>
  <si>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</si>
  <si>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</si>
  <si>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</si>
  <si>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</si>
  <si>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</si>
  <si>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</si>
  <si>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</si>
  <si>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</si>
  <si>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</si>
  <si>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</si>
  <si>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</si>
  <si>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</si>
  <si>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</si>
  <si>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</si>
  <si>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</si>
  <si>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</si>
  <si>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</si>
  <si>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</si>
  <si>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</si>
  <si>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</si>
  <si>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</si>
  <si>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</si>
  <si>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</si>
  <si>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</si>
  <si>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</si>
  <si>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</si>
  <si>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</si>
  <si>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</si>
  <si>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</si>
  <si>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</si>
  <si>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</si>
  <si>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</si>
  <si>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</si>
  <si>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</si>
  <si>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</si>
  <si>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</si>
  <si>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</si>
  <si>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</si>
  <si>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</si>
  <si>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102</t>
    </r>
    <phoneticPr fontId="7"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</si>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</sst>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估价对象为北京市房地产，为所有。根据《不动产权证书》[]，估价对象建筑面积为124.53平方米，（分摊）出让国有建设用地使用权面积为平方米。估价对象用途为商业。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124.53</v>
      </c>
    </row>
    <row r="19" spans="1:2">
      <c r="A19" s="1702" t="s">
        <v>1125</v>
      </c>
      <c r="B19" s="1689">
        <f ca="1">'预评函-2（1）'!D7</f>
        <v>507</v>
      </c>
    </row>
    <row r="20" spans="1:2">
      <c r="A20" s="1702" t="s">
        <v>1163</v>
      </c>
      <c r="B20" s="1689" t="str">
        <f>'预评函-2（1）'!C7</f>
        <v>总价（万元）</v>
      </c>
    </row>
    <row r="21" spans="1:2">
      <c r="A21" s="1702" t="s">
        <v>1126</v>
      </c>
      <c r="B21" s="1689">
        <f ca="1">'预评函-2（1）'!D9</f>
        <v>40713</v>
      </c>
    </row>
    <row r="22" spans="1:2">
      <c r="A22" s="1702" t="s">
        <v>1127</v>
      </c>
      <c r="B22" s="1689" t="str">
        <f ca="1">'预评函-2（1）'!D8</f>
        <v>伍佰零柒万元整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507</v>
      </c>
    </row>
    <row r="30" spans="1:2">
      <c r="A30" s="1702" t="s">
        <v>1133</v>
      </c>
      <c r="B30" s="1689" t="str">
        <f ca="1">'预评函-2（1）'!D16</f>
        <v>伍佰零柒万元整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437</v>
      </c>
    </row>
    <row r="38" spans="1:2">
      <c r="A38" s="1702" t="s">
        <v>1141</v>
      </c>
      <c r="B38" s="1689">
        <f ca="1">'预评函-2（2）'!E4</f>
        <v>35092</v>
      </c>
    </row>
    <row r="39" spans="1:2">
      <c r="A39" s="1702" t="s">
        <v>1142</v>
      </c>
      <c r="B39" s="1689" t="str">
        <f ca="1">'预评函-2（2）'!D5</f>
        <v>肆佰叁拾柒万元整</v>
      </c>
    </row>
    <row r="40" spans="1:2">
      <c r="A40" s="1702" t="s">
        <v>1143</v>
      </c>
      <c r="B40" s="1689">
        <f ca="1">'预评函-2（2）'!F4</f>
        <v>70</v>
      </c>
    </row>
    <row r="41" spans="1:2">
      <c r="A41" s="1702" t="s">
        <v>1144</v>
      </c>
      <c r="B41" s="1689">
        <f ca="1">'预评函-2（2）'!G4</f>
        <v>5621</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1257</v>
      </c>
      <c r="B62" s="1689">
        <f ca="1">'预评函-2（1）'!D38</f>
        <v>40713</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1502</v>
      </c>
      <c r="B1" s="1995" t="str">
        <f>IF(B6="北京市","北京市",C6)&amp;IF(E12="房屋所有权证",B28,E28)&amp;D5&amp;"预评估"</f>
        <v>北京市房地产抵押价值预评估</v>
      </c>
      <c r="C1" s="1063"/>
      <c r="D1" s="1996"/>
      <c r="E1" s="1063"/>
      <c r="F1" s="1997" t="s">
        <v>1503</v>
      </c>
      <c r="G1" s="1682"/>
      <c r="I1" s="1020" t="str">
        <f>IF(B6="北京市","北京市",C6)&amp;IF(E12="房屋所有权证",B28,E28)&amp;"房地产"</f>
        <v>北京市房地产</v>
      </c>
    </row>
    <row r="2" spans="1:10" ht="13.5" thickTop="1">
      <c r="A2" s="1998" t="s">
        <v>1504</v>
      </c>
      <c r="B2" s="1088">
        <v>43272</v>
      </c>
      <c r="C2" s="1999" t="s">
        <v>1505</v>
      </c>
      <c r="D2" s="1088">
        <f>B2</f>
        <v>43272</v>
      </c>
      <c r="E2" s="1064"/>
      <c r="F2" s="1064"/>
      <c r="G2" s="1683"/>
      <c r="H2" s="1020"/>
    </row>
    <row r="3" spans="1:10" ht="13.5" thickBot="1">
      <c r="A3" s="2000" t="s">
        <v>1506</v>
      </c>
      <c r="B3" s="2001" t="s">
        <v>2774</v>
      </c>
      <c r="C3" s="1065">
        <f ca="1">SUMIF(注册房地产估价师,B3,估价师及机构信息!B3:B24)</f>
        <v>1120100036</v>
      </c>
      <c r="D3" s="2001" t="s">
        <v>2775</v>
      </c>
      <c r="E3" s="1066">
        <f ca="1">SUMIF(注册房地产估价师,D3,估价师及机构信息!B3:B24)</f>
        <v>1120000080</v>
      </c>
      <c r="F3" s="1067"/>
      <c r="G3" s="1684"/>
      <c r="H3" s="1020"/>
    </row>
    <row r="4" spans="1:10" ht="13.5" customHeight="1" thickTop="1">
      <c r="A4" s="2002" t="s">
        <v>1507</v>
      </c>
      <c r="B4" s="2003"/>
      <c r="C4" s="2004" t="s">
        <v>1508</v>
      </c>
      <c r="D4" s="2005" t="s">
        <v>2780</v>
      </c>
      <c r="E4" s="1064"/>
      <c r="F4" s="1064"/>
      <c r="G4" s="1683"/>
    </row>
    <row r="5" spans="1:10">
      <c r="A5" s="2006" t="s">
        <v>1509</v>
      </c>
      <c r="B5" s="2007"/>
      <c r="C5" s="2008" t="s">
        <v>1510</v>
      </c>
      <c r="D5" s="2009" t="s">
        <v>2781</v>
      </c>
      <c r="E5" s="2010" t="s">
        <v>1511</v>
      </c>
      <c r="F5" s="2011" t="s">
        <v>2781</v>
      </c>
      <c r="G5" s="2012" t="s">
        <v>1254</v>
      </c>
      <c r="I5" s="1020" t="str">
        <f>IF(C16="否","截至估价时点，估价对象抵押权未见登记。","截至价值时点，估价对象已设定抵押。")</f>
        <v>截至价值时点，估价对象已设定抵押。</v>
      </c>
    </row>
    <row r="6" spans="1:10">
      <c r="A6" s="2013" t="s">
        <v>1512</v>
      </c>
      <c r="B6" s="2014" t="s">
        <v>2778</v>
      </c>
      <c r="C6" s="2015"/>
      <c r="D6" s="2016" t="s">
        <v>1513</v>
      </c>
      <c r="E6" s="1022"/>
      <c r="F6" s="1021"/>
      <c r="G6" s="1074"/>
      <c r="I6" s="1070" t="str">
        <f>IF(COUNTIF(B5,"*上海银行*"),"上海银行","")</f>
        <v/>
      </c>
    </row>
    <row r="7" spans="1:10" ht="13.5" thickBot="1">
      <c r="A7" s="2000" t="s">
        <v>1514</v>
      </c>
      <c r="B7" s="2017" t="s">
        <v>2779</v>
      </c>
      <c r="C7" s="2018" t="str">
        <f>IF(B7="自然人","姓名","名称")</f>
        <v>姓名</v>
      </c>
      <c r="D7" s="2019"/>
      <c r="E7" s="1068"/>
      <c r="F7" s="1067"/>
      <c r="G7" s="1684"/>
    </row>
    <row r="8" spans="1:10" ht="13.5" thickTop="1">
      <c r="A8" s="2804" t="s">
        <v>1515</v>
      </c>
      <c r="B8" s="2020" t="s">
        <v>1516</v>
      </c>
      <c r="C8" s="2816" t="s">
        <v>2824</v>
      </c>
      <c r="D8" s="2817"/>
      <c r="E8" s="2021" t="s">
        <v>1517</v>
      </c>
      <c r="F8" s="2022" t="s">
        <v>1518</v>
      </c>
      <c r="G8" s="690">
        <f>C6</f>
        <v>0</v>
      </c>
    </row>
    <row r="9" spans="1:10" ht="25.5">
      <c r="A9" s="2804"/>
      <c r="B9" s="344" t="s">
        <v>1519</v>
      </c>
      <c r="C9" s="2735" t="s">
        <v>2826</v>
      </c>
      <c r="D9" s="2023" t="s">
        <v>2776</v>
      </c>
      <c r="E9" s="1010" t="s">
        <v>1520</v>
      </c>
      <c r="F9" s="996"/>
      <c r="G9" s="1012"/>
    </row>
    <row r="10" spans="1:10" ht="13.5" thickBot="1">
      <c r="A10" s="2804"/>
      <c r="B10" s="344" t="s">
        <v>1521</v>
      </c>
      <c r="C10" s="2818"/>
      <c r="D10" s="2819"/>
      <c r="E10" s="2024" t="s">
        <v>1522</v>
      </c>
      <c r="F10" s="1013"/>
      <c r="G10" s="1014"/>
    </row>
    <row r="11" spans="1:10" ht="13.5" thickBot="1">
      <c r="A11" s="2804"/>
      <c r="B11" s="2025" t="s">
        <v>1523</v>
      </c>
      <c r="C11" s="2820"/>
      <c r="D11" s="2821"/>
      <c r="E11" s="1022"/>
      <c r="F11" s="1021"/>
      <c r="G11" s="1074"/>
    </row>
    <row r="12" spans="1:10" ht="24.75" thickBot="1">
      <c r="A12" s="2807" t="s">
        <v>1524</v>
      </c>
      <c r="B12" s="2026" t="s">
        <v>1525</v>
      </c>
      <c r="C12" s="1016">
        <v>124.53</v>
      </c>
      <c r="D12" s="2026" t="s">
        <v>1526</v>
      </c>
      <c r="E12" s="2027" t="s">
        <v>1527</v>
      </c>
      <c r="F12" s="2028" t="s">
        <v>1528</v>
      </c>
      <c r="G12" s="1074"/>
    </row>
    <row r="13" spans="1:10" ht="21" customHeight="1" thickBot="1">
      <c r="A13" s="2808"/>
      <c r="B13" s="2029" t="s">
        <v>1529</v>
      </c>
      <c r="C13" s="1017"/>
      <c r="D13" s="2029" t="s">
        <v>1530</v>
      </c>
      <c r="E13" s="2030" t="s">
        <v>1527</v>
      </c>
      <c r="F13" s="1021"/>
      <c r="G13" s="1074"/>
      <c r="I13" s="2794" t="s">
        <v>1531</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1532</v>
      </c>
      <c r="C14" s="2736" t="s">
        <v>2827</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1533</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1534</v>
      </c>
      <c r="B16" s="2036" t="s">
        <v>1535</v>
      </c>
      <c r="C16" s="2037"/>
      <c r="D16" s="2038" t="s">
        <v>1536</v>
      </c>
      <c r="E16" s="2039"/>
      <c r="F16" s="2040" t="str">
        <f>IF(AND(C16="是",E16="否"),"是否提供他项权证或相关说明","")</f>
        <v/>
      </c>
      <c r="G16" s="2039"/>
      <c r="I16" s="1071"/>
      <c r="J16" s="1020"/>
    </row>
    <row r="17" spans="1:15" ht="13.5" customHeight="1">
      <c r="A17" s="2041" t="s">
        <v>1537</v>
      </c>
      <c r="B17" s="2822" t="s">
        <v>1538</v>
      </c>
      <c r="C17" s="2823"/>
      <c r="D17" s="2824" t="s">
        <v>1539</v>
      </c>
      <c r="E17" s="2825"/>
      <c r="F17" s="2042" t="s">
        <v>1540</v>
      </c>
      <c r="G17" s="2043"/>
      <c r="J17" s="1020"/>
    </row>
    <row r="18" spans="1:15" ht="24">
      <c r="A18" s="2041"/>
      <c r="B18" s="2044" t="s">
        <v>1541</v>
      </c>
      <c r="C18" s="2012" t="s">
        <v>2828</v>
      </c>
      <c r="D18" s="2045" t="s">
        <v>1542</v>
      </c>
      <c r="E18" s="2046" t="s">
        <v>1543</v>
      </c>
      <c r="F18" s="2047"/>
      <c r="G18" s="1868"/>
      <c r="H18" s="1020"/>
      <c r="J18" s="1020"/>
    </row>
    <row r="19" spans="1:15" ht="21.75" customHeight="1" thickBot="1">
      <c r="A19" s="2041"/>
      <c r="B19" s="2048"/>
      <c r="C19" s="2030"/>
      <c r="D19" s="2049"/>
      <c r="E19" s="1021"/>
      <c r="F19" s="1021"/>
      <c r="G19" s="1868"/>
    </row>
    <row r="20" spans="1:15">
      <c r="A20" s="2050" t="s">
        <v>1544</v>
      </c>
      <c r="B20" s="2051" t="s">
        <v>1545</v>
      </c>
      <c r="C20" s="2052"/>
      <c r="D20" s="2053" t="s">
        <v>1545</v>
      </c>
      <c r="E20" s="2052"/>
      <c r="F20" s="1021"/>
      <c r="G20" s="1868"/>
    </row>
    <row r="21" spans="1:15">
      <c r="A21" s="2054"/>
      <c r="B21" s="2055" t="s">
        <v>1546</v>
      </c>
      <c r="C21" s="2056"/>
      <c r="D21" s="2041" t="s">
        <v>1546</v>
      </c>
      <c r="E21" s="2057"/>
      <c r="F21" s="1021"/>
      <c r="G21" s="1868"/>
    </row>
    <row r="22" spans="1:15">
      <c r="A22" s="2054"/>
      <c r="B22" s="2058" t="s">
        <v>1547</v>
      </c>
      <c r="C22" s="2059"/>
      <c r="D22" s="2058" t="s">
        <v>1547</v>
      </c>
      <c r="E22" s="2057"/>
      <c r="F22" s="1021"/>
      <c r="G22" s="1868"/>
    </row>
    <row r="23" spans="1:15" s="1866" customFormat="1" ht="21" thickBot="1">
      <c r="A23" s="2060"/>
      <c r="B23" s="2061" t="s">
        <v>1548</v>
      </c>
      <c r="C23" s="2062"/>
      <c r="D23" s="2061" t="s">
        <v>1549</v>
      </c>
      <c r="E23" s="2063"/>
      <c r="F23" s="1021"/>
      <c r="G23" s="1868"/>
      <c r="H23" s="2064"/>
      <c r="I23" s="1867"/>
      <c r="K23" s="1865"/>
      <c r="L23" s="1865"/>
      <c r="M23" s="1865"/>
      <c r="O23" s="1867"/>
    </row>
    <row r="24" spans="1:15" ht="13.5" thickBot="1">
      <c r="A24" s="1072" t="s">
        <v>1550</v>
      </c>
      <c r="B24" s="1021"/>
      <c r="C24" s="1021"/>
      <c r="D24" s="1021"/>
      <c r="E24" s="1021"/>
      <c r="F24" s="1021"/>
      <c r="G24" s="1869"/>
      <c r="I24" s="1071"/>
      <c r="K24" s="1071"/>
    </row>
    <row r="25" spans="1:15" s="1081" customFormat="1" ht="13.5" thickBot="1">
      <c r="A25" s="995"/>
      <c r="B25" s="2065" t="s">
        <v>1551</v>
      </c>
      <c r="C25" s="995"/>
      <c r="D25" s="1015"/>
      <c r="E25" s="1018" t="s">
        <v>1552</v>
      </c>
      <c r="F25" s="995"/>
      <c r="G25" s="2066" t="s">
        <v>1553</v>
      </c>
      <c r="L25" s="1082"/>
      <c r="M25" s="1082"/>
      <c r="O25" s="1083"/>
    </row>
    <row r="26" spans="1:15" s="1081" customFormat="1" ht="13.5" thickBot="1">
      <c r="A26" s="995"/>
      <c r="B26" s="1089"/>
      <c r="C26" s="995"/>
      <c r="D26" s="1015"/>
      <c r="E26" s="1089"/>
      <c r="F26" s="995"/>
      <c r="G26" s="1685"/>
      <c r="L26" s="1082"/>
      <c r="M26" s="1082"/>
      <c r="O26" s="1083"/>
    </row>
    <row r="27" spans="1:15">
      <c r="A27" s="1007" t="s">
        <v>1554</v>
      </c>
      <c r="B27" s="1004"/>
      <c r="C27" s="2810" t="s">
        <v>1554</v>
      </c>
      <c r="D27" s="2811"/>
      <c r="E27" s="1004"/>
      <c r="F27" s="1011" t="s">
        <v>1554</v>
      </c>
      <c r="G27" s="1004"/>
      <c r="I27" s="1071"/>
      <c r="K27" s="1071"/>
    </row>
    <row r="28" spans="1:15">
      <c r="A28" s="1008" t="s">
        <v>1555</v>
      </c>
      <c r="B28" s="978"/>
      <c r="C28" s="2812" t="s">
        <v>1556</v>
      </c>
      <c r="D28" s="2813"/>
      <c r="E28" s="978"/>
      <c r="F28" s="1894" t="s">
        <v>1556</v>
      </c>
      <c r="G28" s="978"/>
      <c r="I28" s="1071"/>
      <c r="K28" s="1071"/>
    </row>
    <row r="29" spans="1:15">
      <c r="A29" s="1008" t="s">
        <v>1557</v>
      </c>
      <c r="B29" s="978"/>
      <c r="C29" s="2812" t="s">
        <v>1557</v>
      </c>
      <c r="D29" s="2813"/>
      <c r="E29" s="978"/>
      <c r="F29" s="1894" t="s">
        <v>1558</v>
      </c>
      <c r="G29" s="978"/>
      <c r="I29" s="1071"/>
      <c r="K29" s="1071"/>
    </row>
    <row r="30" spans="1:15">
      <c r="A30" s="1008" t="s">
        <v>1559</v>
      </c>
      <c r="B30" s="978"/>
      <c r="C30" s="2801" t="s">
        <v>1560</v>
      </c>
      <c r="D30" s="2067"/>
      <c r="E30" s="1023" t="str">
        <f>E31&amp;" "&amp;E32&amp;" "&amp;E33&amp;" "&amp;E34</f>
        <v xml:space="preserve">   </v>
      </c>
      <c r="F30" s="1894" t="s">
        <v>1561</v>
      </c>
      <c r="G30" s="978"/>
    </row>
    <row r="31" spans="1:15">
      <c r="A31" s="1008" t="s">
        <v>1562</v>
      </c>
      <c r="B31" s="978"/>
      <c r="C31" s="2802"/>
      <c r="D31" s="1893" t="s">
        <v>1563</v>
      </c>
      <c r="E31" s="978"/>
      <c r="F31" s="1894" t="s">
        <v>1564</v>
      </c>
      <c r="G31" s="978"/>
    </row>
    <row r="32" spans="1:15" ht="24.75" thickBot="1">
      <c r="A32" s="1009" t="s">
        <v>1565</v>
      </c>
      <c r="B32" s="1005"/>
      <c r="C32" s="2802"/>
      <c r="D32" s="1893" t="s">
        <v>1566</v>
      </c>
      <c r="E32" s="978"/>
      <c r="F32" s="1894" t="s">
        <v>1567</v>
      </c>
      <c r="G32" s="978"/>
    </row>
    <row r="33" spans="1:7">
      <c r="A33" s="1007" t="s">
        <v>1568</v>
      </c>
      <c r="B33" s="1004"/>
      <c r="C33" s="2802"/>
      <c r="D33" s="1893" t="s">
        <v>1569</v>
      </c>
      <c r="E33" s="978"/>
      <c r="F33" s="1894" t="s">
        <v>1570</v>
      </c>
      <c r="G33" s="978"/>
    </row>
    <row r="34" spans="1:7" ht="13.5" thickBot="1">
      <c r="A34" s="1008" t="s">
        <v>1571</v>
      </c>
      <c r="B34" s="978"/>
      <c r="C34" s="2803"/>
      <c r="D34" s="1893" t="s">
        <v>1572</v>
      </c>
      <c r="E34" s="978"/>
      <c r="F34" s="1895" t="s">
        <v>1573</v>
      </c>
      <c r="G34" s="1006"/>
    </row>
    <row r="35" spans="1:7">
      <c r="A35" s="1008" t="s">
        <v>1525</v>
      </c>
      <c r="B35" s="978"/>
      <c r="C35" s="2812" t="s">
        <v>1574</v>
      </c>
      <c r="D35" s="2813"/>
      <c r="E35" s="978"/>
      <c r="F35" s="1019" t="s">
        <v>1575</v>
      </c>
      <c r="G35" s="1004"/>
    </row>
    <row r="36" spans="1:7" ht="13.5" thickBot="1">
      <c r="A36" s="1008" t="s">
        <v>1576</v>
      </c>
      <c r="B36" s="978"/>
      <c r="C36" s="2814" t="s">
        <v>1577</v>
      </c>
      <c r="D36" s="2815"/>
      <c r="E36" s="1005"/>
      <c r="F36" s="1891" t="s">
        <v>1578</v>
      </c>
      <c r="G36" s="978"/>
    </row>
    <row r="37" spans="1:7" ht="13.5" thickBot="1">
      <c r="A37" s="1008" t="s">
        <v>1579</v>
      </c>
      <c r="B37" s="978"/>
      <c r="C37" s="2799" t="s">
        <v>1580</v>
      </c>
      <c r="D37" s="2068" t="s">
        <v>1564</v>
      </c>
      <c r="E37" s="1004"/>
      <c r="F37" s="1895" t="s">
        <v>1581</v>
      </c>
      <c r="G37" s="1005"/>
    </row>
    <row r="38" spans="1:7">
      <c r="A38" s="1008" t="s">
        <v>1582</v>
      </c>
      <c r="B38" s="978"/>
      <c r="C38" s="2805"/>
      <c r="D38" s="1893" t="s">
        <v>1571</v>
      </c>
      <c r="E38" s="978"/>
      <c r="F38" s="1011" t="s">
        <v>1583</v>
      </c>
      <c r="G38" s="1004"/>
    </row>
    <row r="39" spans="1:7">
      <c r="A39" s="1008" t="s">
        <v>1584</v>
      </c>
      <c r="B39" s="978"/>
      <c r="C39" s="2805" t="s">
        <v>1585</v>
      </c>
      <c r="D39" s="1893" t="s">
        <v>1525</v>
      </c>
      <c r="E39" s="978"/>
      <c r="F39" s="1894" t="s">
        <v>1586</v>
      </c>
      <c r="G39" s="978"/>
    </row>
    <row r="40" spans="1:7" ht="24.75" customHeight="1" thickBot="1">
      <c r="A40" s="1009" t="s">
        <v>1587</v>
      </c>
      <c r="B40" s="1005"/>
      <c r="C40" s="2806"/>
      <c r="D40" s="1896" t="s">
        <v>1529</v>
      </c>
      <c r="E40" s="1005"/>
      <c r="F40" s="1895" t="s">
        <v>1588</v>
      </c>
      <c r="G40" s="1005"/>
    </row>
    <row r="41" spans="1:7">
      <c r="A41" s="1010" t="s">
        <v>1589</v>
      </c>
      <c r="B41" s="1060"/>
      <c r="C41" s="2795" t="s">
        <v>1589</v>
      </c>
      <c r="D41" s="2796"/>
      <c r="E41" s="1060"/>
      <c r="F41" s="1011" t="s">
        <v>1590</v>
      </c>
      <c r="G41" s="1060"/>
    </row>
    <row r="42" spans="1:7">
      <c r="A42" s="1057" t="s">
        <v>1591</v>
      </c>
      <c r="B42" s="1061"/>
      <c r="C42" s="2069"/>
      <c r="D42" s="2070"/>
      <c r="E42" s="1061"/>
      <c r="F42" s="1059"/>
      <c r="G42" s="1061"/>
    </row>
    <row r="43" spans="1:7">
      <c r="A43" s="94" t="s">
        <v>1545</v>
      </c>
      <c r="B43" s="1058"/>
      <c r="C43" s="2069"/>
      <c r="D43" s="2071" t="s">
        <v>1545</v>
      </c>
      <c r="E43" s="1058"/>
      <c r="F43" s="94" t="s">
        <v>1545</v>
      </c>
      <c r="G43" s="1058"/>
    </row>
    <row r="44" spans="1:7">
      <c r="A44" s="94" t="s">
        <v>1546</v>
      </c>
      <c r="B44" s="1058"/>
      <c r="C44" s="2069"/>
      <c r="D44" s="2055" t="s">
        <v>1546</v>
      </c>
      <c r="E44" s="1058"/>
      <c r="F44" s="94" t="s">
        <v>1546</v>
      </c>
      <c r="G44" s="1058"/>
    </row>
    <row r="45" spans="1:7">
      <c r="A45" s="94" t="s">
        <v>1547</v>
      </c>
      <c r="B45" s="1058"/>
      <c r="C45" s="2069"/>
      <c r="D45" s="2055" t="s">
        <v>1547</v>
      </c>
      <c r="E45" s="1058"/>
      <c r="F45" s="94" t="s">
        <v>1547</v>
      </c>
      <c r="G45" s="1058"/>
    </row>
    <row r="46" spans="1:7">
      <c r="A46" s="94" t="s">
        <v>1548</v>
      </c>
      <c r="B46" s="1058"/>
      <c r="C46" s="2069"/>
      <c r="D46" s="2055" t="s">
        <v>1548</v>
      </c>
      <c r="E46" s="1058"/>
      <c r="F46" s="94" t="s">
        <v>1548</v>
      </c>
      <c r="G46" s="1058"/>
    </row>
    <row r="47" spans="1:7">
      <c r="A47" s="1057"/>
      <c r="B47" s="1058"/>
      <c r="C47" s="2069"/>
      <c r="D47" s="2070"/>
      <c r="E47" s="1058"/>
      <c r="F47" s="1059"/>
      <c r="G47" s="1058"/>
    </row>
    <row r="48" spans="1:7" ht="13.5" thickBot="1">
      <c r="A48" s="1009" t="s">
        <v>1592</v>
      </c>
      <c r="B48" s="1005"/>
      <c r="C48" s="2797" t="s">
        <v>1592</v>
      </c>
      <c r="D48" s="2798"/>
      <c r="E48" s="1055"/>
      <c r="F48" s="1895" t="s">
        <v>1593</v>
      </c>
      <c r="G48" s="1005"/>
    </row>
    <row r="49" spans="1:15">
      <c r="A49" s="1008" t="s">
        <v>1594</v>
      </c>
      <c r="B49" s="1054"/>
      <c r="C49" s="2799" t="s">
        <v>1595</v>
      </c>
      <c r="D49" s="2800"/>
      <c r="E49" s="1056"/>
      <c r="F49" s="1084"/>
      <c r="G49" s="1085"/>
    </row>
    <row r="50" spans="1:15" ht="13.5" thickBot="1">
      <c r="A50" s="1008" t="s">
        <v>1596</v>
      </c>
      <c r="B50" s="1054"/>
      <c r="C50" s="2806" t="s">
        <v>1597</v>
      </c>
      <c r="D50" s="2809"/>
      <c r="E50" s="1005"/>
      <c r="F50" s="1021"/>
      <c r="G50" s="1074"/>
    </row>
    <row r="51" spans="1:15">
      <c r="A51" s="1008" t="s">
        <v>1575</v>
      </c>
      <c r="B51" s="978"/>
      <c r="C51" s="1021"/>
      <c r="D51" s="1021"/>
      <c r="E51" s="1021"/>
      <c r="F51" s="1021"/>
      <c r="G51" s="1074"/>
    </row>
    <row r="52" spans="1:15" ht="24.75" thickBot="1">
      <c r="A52" s="1009" t="s">
        <v>1598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1599</v>
      </c>
      <c r="B1" s="1237"/>
      <c r="C1" s="1237"/>
      <c r="D1" s="1853"/>
      <c r="E1" s="1853"/>
      <c r="AE1" s="1237"/>
      <c r="AF1" s="1237"/>
      <c r="AG1" s="1237"/>
      <c r="AH1" s="1237"/>
      <c r="AI1" s="1237"/>
      <c r="AJ1" s="1237"/>
      <c r="AK1" s="1237"/>
      <c r="AL1" s="1237"/>
      <c r="AM1" s="1237"/>
      <c r="AN1" s="1237"/>
      <c r="AO1" s="1237"/>
    </row>
    <row r="2" spans="1:41" s="2077" customFormat="1" ht="15.75" thickBot="1">
      <c r="A2" s="2074" t="s">
        <v>1600</v>
      </c>
      <c r="B2" s="1209">
        <f>项目基本情况!D2</f>
        <v>43272</v>
      </c>
      <c r="C2" s="1855"/>
      <c r="D2" s="2828" t="s">
        <v>1601</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1602</v>
      </c>
      <c r="B3" s="2078" t="s">
        <v>2854</v>
      </c>
      <c r="C3" s="1855"/>
      <c r="D3" s="2829"/>
      <c r="E3" s="1188" t="s">
        <v>1603</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1604</v>
      </c>
      <c r="B4" s="2078" t="s">
        <v>2782</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1605</v>
      </c>
      <c r="B5" s="1318">
        <f>项目基本情况!C12</f>
        <v>124.53</v>
      </c>
      <c r="C5" s="1855"/>
      <c r="D5" s="2080" t="s">
        <v>1606</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1607</v>
      </c>
      <c r="B6" s="1319">
        <f>项目基本情况!C13</f>
        <v>0</v>
      </c>
      <c r="C6" s="1855"/>
      <c r="D6" s="2080" t="s">
        <v>1608</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1609</v>
      </c>
      <c r="B10" s="2085" t="s">
        <v>2825</v>
      </c>
      <c r="C10" s="1855"/>
      <c r="D10" s="2074" t="s">
        <v>1610</v>
      </c>
      <c r="E10" s="2086" t="s">
        <v>1611</v>
      </c>
      <c r="F10" s="1145" t="s">
        <v>1612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1613</v>
      </c>
      <c r="B11" s="990">
        <v>40</v>
      </c>
      <c r="C11" s="1855"/>
      <c r="D11" s="2088" t="s">
        <v>1614</v>
      </c>
      <c r="E11" s="34">
        <v>160</v>
      </c>
      <c r="F11" s="1854" t="s">
        <v>1615</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1616</v>
      </c>
      <c r="B12" s="2092">
        <v>55082</v>
      </c>
      <c r="C12" s="1855"/>
      <c r="D12" s="2093" t="s">
        <v>1617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1618</v>
      </c>
      <c r="B13" s="991">
        <f>IF(B12="",B11-(YEAR($B$2)-B26+B23),ROUNDDOWN(MIN((B12-$B$2)/365,B11),2))</f>
        <v>32.35</v>
      </c>
      <c r="C13" s="2095"/>
      <c r="D13" s="2096" t="s">
        <v>1619</v>
      </c>
      <c r="E13" s="39">
        <v>0</v>
      </c>
      <c r="F13" s="1849" t="s">
        <v>1620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1621</v>
      </c>
      <c r="B14" s="992">
        <f>IF(ISERROR(ROUND(POWER(1+B15,B11-B13)*(POWER(1+B15,B13)-1)/(POWER(1+B15,B11)-1),3)),0,ROUND(POWER(1+B15,B11-B13)*(POWER(1+B15,B13)-1)/(POWER(1+B15,B11)-1),3))</f>
        <v>0.91700000000000004</v>
      </c>
      <c r="C14" s="1855"/>
      <c r="D14" s="2097" t="s">
        <v>1622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1623</v>
      </c>
      <c r="B15" s="30">
        <v>4.4999999999999998E-2</v>
      </c>
      <c r="C15" s="1855"/>
      <c r="D15" s="2093" t="s">
        <v>1624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1625</v>
      </c>
      <c r="B16" s="30">
        <v>5.5E-2</v>
      </c>
      <c r="C16" s="1855"/>
      <c r="D16" s="2098" t="s">
        <v>1626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1627</v>
      </c>
      <c r="B17" s="997">
        <v>8.5000000000000006E-2</v>
      </c>
      <c r="C17" s="1855"/>
      <c r="D17" s="2084" t="s">
        <v>1628</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348684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1629</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1630</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1631</v>
      </c>
      <c r="B21" s="32">
        <v>2</v>
      </c>
      <c r="C21" s="1855"/>
      <c r="D21" s="2093" t="s">
        <v>1632</v>
      </c>
      <c r="E21" s="711">
        <v>0.03</v>
      </c>
      <c r="F21" s="1852" t="s">
        <v>1633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1634</v>
      </c>
      <c r="B22" s="1454">
        <v>2</v>
      </c>
      <c r="C22" s="1855"/>
      <c r="D22" s="2093" t="s">
        <v>1635</v>
      </c>
      <c r="E22" s="40"/>
      <c r="F22" s="1852" t="s">
        <v>1636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1637</v>
      </c>
      <c r="B23" s="33">
        <f>B20+B21</f>
        <v>2</v>
      </c>
      <c r="C23" s="1855"/>
      <c r="D23" s="2093" t="s">
        <v>1638</v>
      </c>
      <c r="E23" s="37">
        <v>200</v>
      </c>
      <c r="F23" s="1852" t="s">
        <v>1639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1640</v>
      </c>
      <c r="B24" s="1742">
        <f>B20+B22</f>
        <v>2</v>
      </c>
      <c r="C24" s="1855"/>
      <c r="D24" s="2098" t="s">
        <v>1641</v>
      </c>
      <c r="E24" s="1818">
        <v>1.4999999999999999E-2</v>
      </c>
      <c r="F24" s="1852" t="s">
        <v>1642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1643</v>
      </c>
      <c r="B25" s="1453">
        <f>B21-B22</f>
        <v>0</v>
      </c>
      <c r="C25" s="1237"/>
      <c r="D25" s="2088" t="s">
        <v>1644</v>
      </c>
      <c r="E25" s="711">
        <v>0.02</v>
      </c>
      <c r="F25" s="1852" t="s">
        <v>1645</v>
      </c>
      <c r="I25" s="1853"/>
      <c r="AE25" s="1237"/>
      <c r="AF25" s="1237"/>
      <c r="AG25" s="1237"/>
      <c r="AH25" s="1237"/>
      <c r="AI25" s="1237"/>
      <c r="AJ25" s="1237"/>
      <c r="AK25" s="1237"/>
      <c r="AL25" s="1237"/>
      <c r="AM25" s="1237"/>
      <c r="AN25" s="1237"/>
      <c r="AO25" s="1237"/>
    </row>
    <row r="26" spans="1:41" ht="15.75" thickBot="1">
      <c r="A26" s="2107" t="s">
        <v>1646</v>
      </c>
      <c r="B26" s="1094">
        <v>2013</v>
      </c>
      <c r="C26" s="1855"/>
      <c r="D26" s="2093" t="s">
        <v>1647</v>
      </c>
      <c r="E26" s="40">
        <v>0.02</v>
      </c>
      <c r="F26" s="1852" t="s">
        <v>1645</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1648</v>
      </c>
      <c r="E27" s="352">
        <f ca="1">存贷款利率!G1</f>
        <v>4.7500000000000001E-2</v>
      </c>
      <c r="F27" s="1852" t="s">
        <v>1649</v>
      </c>
      <c r="G27" s="2076"/>
      <c r="H27" s="2076"/>
      <c r="K27" s="1855"/>
      <c r="N27" s="1855"/>
      <c r="AE27" s="1237"/>
      <c r="AF27" s="1237"/>
      <c r="AG27" s="1237"/>
      <c r="AH27" s="1237"/>
      <c r="AI27" s="1237"/>
      <c r="AJ27" s="1237"/>
      <c r="AK27" s="1237"/>
      <c r="AL27" s="1237"/>
      <c r="AM27" s="1237"/>
      <c r="AN27" s="1237"/>
      <c r="AO27" s="1237"/>
    </row>
    <row r="28" spans="1:41" ht="15" thickBot="1">
      <c r="A28" s="2108" t="s">
        <v>1650</v>
      </c>
      <c r="B28" s="2109" t="s">
        <v>2783</v>
      </c>
      <c r="C28" s="1237"/>
      <c r="D28" s="2110" t="s">
        <v>1651</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1652</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1653</v>
      </c>
      <c r="B30" s="1419">
        <f ca="1">存贷款利率!I1</f>
        <v>1.4999999999999999E-2</v>
      </c>
      <c r="C30" s="1237"/>
      <c r="D30" s="2111" t="s">
        <v>1654</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1655</v>
      </c>
      <c r="B31" s="30">
        <v>3.5000000000000003E-2</v>
      </c>
      <c r="C31" s="1237"/>
      <c r="D31" s="2111" t="s">
        <v>1656</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1657</v>
      </c>
      <c r="B32" s="30">
        <v>0.1</v>
      </c>
      <c r="C32" s="1237"/>
      <c r="D32" s="2112" t="s">
        <v>1658</v>
      </c>
      <c r="E32" s="43">
        <v>0.05</v>
      </c>
      <c r="F32" s="1847" t="s">
        <v>1659</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1660</v>
      </c>
      <c r="B33" s="1380">
        <f>收益法!J54</f>
        <v>32.35</v>
      </c>
      <c r="C33" s="1237"/>
      <c r="D33" s="2112" t="s">
        <v>1661</v>
      </c>
      <c r="E33" s="41">
        <v>0.03</v>
      </c>
      <c r="F33" s="1846" t="s">
        <v>1662</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1663</v>
      </c>
      <c r="E34" s="41">
        <v>0.02</v>
      </c>
      <c r="F34" s="1846" t="s">
        <v>1664</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1665</v>
      </c>
      <c r="B35" s="994"/>
      <c r="C35" s="1237"/>
      <c r="D35" s="2116" t="s">
        <v>1666</v>
      </c>
      <c r="E35" s="44">
        <v>0</v>
      </c>
      <c r="F35" s="1854" t="s">
        <v>1667</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1668</v>
      </c>
      <c r="E36" s="45">
        <v>0.03</v>
      </c>
      <c r="F36" s="1850" t="s">
        <v>1669</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1670</v>
      </c>
      <c r="E37" s="41">
        <v>5.0000000000000001E-4</v>
      </c>
      <c r="F37" s="1850" t="s">
        <v>1671</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1672</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1673</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1674</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1675</v>
      </c>
      <c r="B41" s="1000"/>
      <c r="C41" s="1237"/>
      <c r="D41" s="2093" t="s">
        <v>1676</v>
      </c>
      <c r="E41" s="2121" t="s">
        <v>480</v>
      </c>
      <c r="F41" s="1848" t="s">
        <v>1677</v>
      </c>
      <c r="G41" s="2122" t="s">
        <v>1678</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1679</v>
      </c>
      <c r="B42" s="993">
        <v>365</v>
      </c>
      <c r="C42" s="1237"/>
      <c r="D42" s="2123" t="s">
        <v>1680</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1681</v>
      </c>
      <c r="B43" s="29"/>
      <c r="C43" s="1237"/>
      <c r="D43" s="2123" t="s">
        <v>1682</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1683</v>
      </c>
      <c r="B44" s="1001">
        <v>1.4999999999999999E-2</v>
      </c>
      <c r="C44" s="1237" t="s">
        <v>969</v>
      </c>
      <c r="D44" s="2123" t="s">
        <v>1684</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1685</v>
      </c>
      <c r="B45" s="1002">
        <v>1.5E-3</v>
      </c>
      <c r="C45" s="1237" t="s">
        <v>970</v>
      </c>
      <c r="D45" s="2123" t="s">
        <v>1686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1687</v>
      </c>
      <c r="B46" s="1003">
        <v>0.01</v>
      </c>
      <c r="C46" s="1237" t="s">
        <v>971</v>
      </c>
      <c r="D46" s="2123" t="s">
        <v>1465</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1690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1692</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1693</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1694</v>
      </c>
      <c r="D2" s="2138"/>
      <c r="E2" s="2139"/>
      <c r="F2" s="2140"/>
      <c r="G2" s="2137" t="s">
        <v>1695</v>
      </c>
      <c r="H2" s="2141"/>
      <c r="I2" s="2141"/>
      <c r="J2" s="2141"/>
      <c r="K2" s="2141"/>
      <c r="L2" s="2141"/>
      <c r="M2" s="2141"/>
      <c r="N2" s="2141"/>
      <c r="O2" s="2141"/>
      <c r="P2" s="2141"/>
      <c r="Q2" s="2141"/>
      <c r="R2" s="2141"/>
    </row>
    <row r="3" spans="1:29" ht="27">
      <c r="A3" s="395" t="s">
        <v>1696</v>
      </c>
      <c r="B3" s="2143" t="s">
        <v>1697</v>
      </c>
      <c r="C3" s="2144"/>
      <c r="D3" s="2145"/>
      <c r="E3" s="411" t="s">
        <v>1696</v>
      </c>
      <c r="F3" s="2146" t="s">
        <v>1698</v>
      </c>
      <c r="G3" s="2147"/>
      <c r="H3" s="2141"/>
      <c r="I3" s="2141"/>
      <c r="J3" s="2141"/>
      <c r="K3" s="2141"/>
      <c r="L3" s="2141"/>
      <c r="M3" s="2141"/>
      <c r="N3" s="2141"/>
      <c r="O3" s="2141"/>
      <c r="P3" s="2141"/>
      <c r="Q3" s="2141"/>
      <c r="R3" s="2141"/>
    </row>
    <row r="4" spans="1:29" ht="40.5">
      <c r="A4" s="411"/>
      <c r="B4" s="1887" t="s">
        <v>1699</v>
      </c>
      <c r="C4" s="2743" t="s">
        <v>2848</v>
      </c>
      <c r="D4" s="2145"/>
      <c r="E4" s="2149"/>
      <c r="F4" s="2150" t="s">
        <v>1700</v>
      </c>
      <c r="G4" s="2151"/>
      <c r="H4" s="2141"/>
      <c r="I4" s="2141"/>
      <c r="J4" s="2141"/>
      <c r="K4" s="2141"/>
      <c r="L4" s="2141"/>
      <c r="M4" s="2141"/>
      <c r="N4" s="2141"/>
      <c r="O4" s="2141"/>
      <c r="P4" s="2141"/>
      <c r="Q4" s="2141"/>
      <c r="R4" s="2141"/>
    </row>
    <row r="5" spans="1:29" ht="15">
      <c r="A5" s="411"/>
      <c r="B5" s="1887" t="s">
        <v>1702</v>
      </c>
      <c r="C5" s="2148"/>
      <c r="D5" s="2145"/>
      <c r="E5" s="2149"/>
      <c r="F5" s="1887" t="s">
        <v>1703</v>
      </c>
      <c r="G5" s="2151"/>
      <c r="H5" s="2141"/>
      <c r="I5" s="2141"/>
      <c r="J5" s="2141"/>
      <c r="K5" s="2141"/>
      <c r="L5" s="2141"/>
      <c r="M5" s="2141"/>
      <c r="N5" s="2141"/>
      <c r="O5" s="2141"/>
      <c r="P5" s="2141"/>
      <c r="Q5" s="2141"/>
      <c r="R5" s="2141"/>
    </row>
    <row r="6" spans="1:29" ht="54">
      <c r="A6" s="411"/>
      <c r="B6" s="1887" t="s">
        <v>1705</v>
      </c>
      <c r="C6" s="2151" t="s">
        <v>1701</v>
      </c>
      <c r="D6" s="2145"/>
      <c r="E6" s="2149"/>
      <c r="F6" s="1887" t="s">
        <v>1706</v>
      </c>
      <c r="G6" s="2151"/>
      <c r="H6" s="2141"/>
      <c r="I6" s="2141"/>
      <c r="J6" s="2141"/>
      <c r="K6" s="2141"/>
      <c r="L6" s="2141"/>
      <c r="M6" s="2141"/>
      <c r="N6" s="2141"/>
      <c r="O6" s="2141"/>
      <c r="P6" s="2141"/>
      <c r="Q6" s="2141"/>
      <c r="R6" s="2141"/>
    </row>
    <row r="7" spans="1:29" ht="27.75"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7">
      <c r="A8" s="411"/>
      <c r="B8" s="1887" t="s">
        <v>1706</v>
      </c>
      <c r="C8" s="2151" t="s">
        <v>1707</v>
      </c>
      <c r="D8" s="2152"/>
      <c r="E8" s="2152"/>
      <c r="F8" s="1246"/>
      <c r="G8" s="1246"/>
      <c r="H8" s="2141"/>
      <c r="I8" s="2141"/>
      <c r="J8" s="2141"/>
      <c r="K8" s="2141"/>
      <c r="L8" s="2141"/>
      <c r="M8" s="2141"/>
      <c r="N8" s="2141"/>
      <c r="O8" s="2141"/>
      <c r="P8" s="2141"/>
      <c r="Q8" s="2141"/>
      <c r="R8" s="2141"/>
    </row>
    <row r="9" spans="1:29" ht="27">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75" thickBot="1">
      <c r="A10" s="2156"/>
      <c r="B10" s="2157" t="s">
        <v>1711</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1712</v>
      </c>
      <c r="B13" s="2163"/>
      <c r="C13" s="2163"/>
      <c r="D13" s="2138"/>
      <c r="E13" s="2163"/>
      <c r="F13" s="2163"/>
      <c r="G13" s="2163"/>
    </row>
    <row r="14" spans="1:29" ht="15.75" thickBot="1">
      <c r="A14" s="2173"/>
      <c r="B14" s="2174"/>
      <c r="C14" s="2175" t="s">
        <v>1713</v>
      </c>
      <c r="D14" s="2145"/>
      <c r="E14" s="2176"/>
      <c r="F14" s="2176"/>
      <c r="G14" s="2137" t="s">
        <v>1714</v>
      </c>
    </row>
    <row r="15" spans="1:29" ht="27">
      <c r="A15" s="25" t="s">
        <v>1715</v>
      </c>
      <c r="B15" s="2177" t="s">
        <v>1697</v>
      </c>
      <c r="C15" s="2178">
        <f>C3</f>
        <v>0</v>
      </c>
      <c r="D15" s="2145"/>
      <c r="E15" s="2179" t="s">
        <v>1716</v>
      </c>
      <c r="F15" s="2177" t="s">
        <v>1717</v>
      </c>
      <c r="G15" s="51">
        <f>G3</f>
        <v>0</v>
      </c>
    </row>
    <row r="16" spans="1:29" ht="42.75">
      <c r="A16" s="629"/>
      <c r="B16" s="1493" t="s">
        <v>1699</v>
      </c>
      <c r="C16" s="2180" t="str">
        <f>C4</f>
        <v>估价对象位于国展，周边商业氛围一般，人流量一般，商业繁华度一般</v>
      </c>
      <c r="D16" s="2145"/>
      <c r="E16" s="2181"/>
      <c r="F16" s="2182" t="s">
        <v>1700</v>
      </c>
      <c r="G16" s="52">
        <f>G4</f>
        <v>0</v>
      </c>
    </row>
    <row r="17" spans="1:18" ht="15">
      <c r="A17" s="629"/>
      <c r="B17" s="1493" t="s">
        <v>1702</v>
      </c>
      <c r="C17" s="2180">
        <f>C5</f>
        <v>0</v>
      </c>
      <c r="D17" s="2152"/>
      <c r="E17" s="2181"/>
      <c r="F17" s="2182" t="s">
        <v>1718</v>
      </c>
      <c r="G17" s="2183"/>
    </row>
    <row r="18" spans="1:18" ht="57">
      <c r="A18" s="629"/>
      <c r="B18" s="2182" t="s">
        <v>1705</v>
      </c>
      <c r="C18" s="52" t="str">
        <f>C6</f>
        <v>估价对象周边道路状况、公共交通通达情况、停车便捷程度，综合评价交通便捷度较好</v>
      </c>
      <c r="D18" s="2152"/>
      <c r="E18" s="2181"/>
      <c r="F18" s="2182" t="s">
        <v>1708</v>
      </c>
      <c r="G18" s="52">
        <f>G7</f>
        <v>0</v>
      </c>
    </row>
    <row r="19" spans="1:18" ht="15">
      <c r="A19" s="629"/>
      <c r="B19" s="2182" t="s">
        <v>1719</v>
      </c>
      <c r="C19" s="2183"/>
      <c r="D19" s="2145"/>
      <c r="E19" s="2181"/>
      <c r="F19" s="1887" t="s">
        <v>1703</v>
      </c>
      <c r="G19" s="52">
        <f>G5</f>
        <v>0</v>
      </c>
    </row>
    <row r="20" spans="1:18" ht="28.5">
      <c r="A20" s="629"/>
      <c r="B20" s="2182" t="s">
        <v>1720</v>
      </c>
      <c r="C20" s="2180" t="str">
        <f>C9</f>
        <v>区域自然环境：；人文环境；综合评价环境状况一般</v>
      </c>
      <c r="D20" s="2152"/>
      <c r="E20" s="2181"/>
      <c r="F20" s="1887" t="s">
        <v>1721</v>
      </c>
      <c r="G20" s="52">
        <f>G6</f>
        <v>0</v>
      </c>
    </row>
    <row r="21" spans="1:18" ht="28.5">
      <c r="A21" s="629"/>
      <c r="B21" s="1887" t="s">
        <v>1703</v>
      </c>
      <c r="C21" s="52" t="str">
        <f>C7</f>
        <v>估价对象所在区域公共配套设施齐备情况</v>
      </c>
      <c r="D21" s="2145"/>
      <c r="E21" s="2181"/>
      <c r="F21" s="2182" t="s">
        <v>1722</v>
      </c>
      <c r="G21" s="2184"/>
    </row>
    <row r="22" spans="1:18" ht="28.5">
      <c r="A22" s="629"/>
      <c r="B22" s="1887" t="s">
        <v>1706</v>
      </c>
      <c r="C22" s="52" t="str">
        <f>C8</f>
        <v>估价对象所在区域基础设施水平</v>
      </c>
      <c r="D22" s="2145"/>
      <c r="E22" s="2181"/>
      <c r="F22" s="2182" t="s">
        <v>1711</v>
      </c>
      <c r="G22" s="2185"/>
    </row>
    <row r="23" spans="1:18" s="2141" customFormat="1" ht="15.75" thickBot="1">
      <c r="A23" s="629"/>
      <c r="B23" s="2182" t="s">
        <v>1722</v>
      </c>
      <c r="C23" s="2184"/>
      <c r="D23" s="2170"/>
      <c r="E23" s="2186"/>
      <c r="F23" s="2187" t="s">
        <v>1723</v>
      </c>
      <c r="G23" s="2188"/>
      <c r="H23" s="2170"/>
      <c r="I23" s="2171"/>
      <c r="J23" s="2170"/>
      <c r="K23" s="2170"/>
      <c r="L23" s="2171"/>
      <c r="M23" s="2170"/>
      <c r="N23" s="2170"/>
      <c r="O23" s="2171"/>
      <c r="P23" s="2170"/>
      <c r="Q23" s="2170"/>
      <c r="R23" s="2172"/>
    </row>
    <row r="24" spans="1:18" s="2141" customFormat="1" ht="15.75" thickBot="1">
      <c r="A24" s="2189"/>
      <c r="B24" s="2187" t="s">
        <v>1724</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124.53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124.53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E111" sqref="E111"/>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1725</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1726</v>
      </c>
      <c r="B3" s="2900"/>
      <c r="C3" s="2900"/>
      <c r="D3" s="2900"/>
      <c r="E3" s="2900"/>
      <c r="F3" s="2900"/>
      <c r="G3" s="2900"/>
      <c r="H3" s="2900"/>
      <c r="I3" s="2900"/>
    </row>
    <row r="4" spans="1:12" ht="14.25">
      <c r="A4" s="2198" t="s">
        <v>1727</v>
      </c>
      <c r="B4" s="2199" t="s">
        <v>1728</v>
      </c>
      <c r="C4" s="2200" t="s">
        <v>2846</v>
      </c>
      <c r="D4" s="2200" t="s">
        <v>2773</v>
      </c>
      <c r="E4" s="2880" t="s">
        <v>1729</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v>6</v>
      </c>
      <c r="D14" s="2898">
        <v>4</v>
      </c>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6</v>
      </c>
      <c r="D17" s="57">
        <f>SUM(D5:D16)</f>
        <v>4</v>
      </c>
      <c r="E17" s="2196"/>
      <c r="F17" s="2196"/>
      <c r="G17" s="2196"/>
      <c r="H17" s="2196"/>
      <c r="I17" s="2196"/>
    </row>
    <row r="18" spans="1:35" ht="15.75" thickBot="1">
      <c r="A18" s="2205" t="s">
        <v>1748</v>
      </c>
      <c r="B18" s="2206"/>
      <c r="C18" s="58">
        <f>ROUND(C17/SUM(C17:D17),2)</f>
        <v>0.6</v>
      </c>
      <c r="D18" s="58">
        <f>1-C18</f>
        <v>0.4</v>
      </c>
      <c r="E18" s="2196"/>
      <c r="F18" s="2196"/>
      <c r="G18" s="2196"/>
      <c r="H18" s="2196"/>
      <c r="I18" s="2196"/>
    </row>
    <row r="19" spans="1:35" ht="15">
      <c r="A19" s="2207" t="s">
        <v>1749</v>
      </c>
      <c r="B19" s="2208" t="s">
        <v>1750</v>
      </c>
      <c r="C19" s="59">
        <f ca="1">SUMIF(INDIRECT("'"&amp;C4&amp;"'"&amp;"!A:A"),结果表!B19,INDIRECT("'"&amp;C4&amp;"'"&amp;"!B:B"))</f>
        <v>597</v>
      </c>
      <c r="D19" s="60">
        <f ca="1">SUMIF(INDIRECT("'"&amp;D4&amp;"'"&amp;"!A:A"),结果表!B19,INDIRECT("'"&amp;D4&amp;"'"&amp;"!B:B"))</f>
        <v>372</v>
      </c>
      <c r="E19" s="2207" t="s">
        <v>1751</v>
      </c>
      <c r="F19" s="2208" t="s">
        <v>1750</v>
      </c>
      <c r="G19" s="61">
        <f ca="1">ROUND(C19*$C$18+D19*$D$18,0)</f>
        <v>507</v>
      </c>
      <c r="H19" s="2209" t="str">
        <f>'数据-取费表'!B3</f>
        <v>万元</v>
      </c>
      <c r="I19" s="2196"/>
    </row>
    <row r="20" spans="1:35" ht="15">
      <c r="A20" s="2210"/>
      <c r="B20" s="2211" t="s">
        <v>1752</v>
      </c>
      <c r="C20" s="62">
        <f ca="1">SUMIF(INDIRECT("'"&amp;C4&amp;"'"&amp;"!A:A"),结果表!B20,INDIRECT("'"&amp;C4&amp;"'"&amp;"!B:B"))</f>
        <v>47972</v>
      </c>
      <c r="D20" s="63">
        <f ca="1">SUMIF(INDIRECT("'"&amp;D4&amp;"'"&amp;"!A:A"),结果表!B20,INDIRECT("'"&amp;D4&amp;"'"&amp;"!B:B"))</f>
        <v>29859</v>
      </c>
      <c r="E20" s="2210"/>
      <c r="F20" s="2211" t="s">
        <v>1752</v>
      </c>
      <c r="G20" s="64">
        <f ca="1">ROUND(C20*$C$18+D20*$D$18,0)</f>
        <v>40727</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0.60483870967741926</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1760</v>
      </c>
      <c r="B30" s="67"/>
      <c r="C30" s="67"/>
      <c r="D30" s="67"/>
      <c r="E30" s="2715" t="s">
        <v>2761</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1761</v>
      </c>
      <c r="B32" s="2225" t="str">
        <f>'数据-取费表'!B4</f>
        <v>总价</v>
      </c>
      <c r="C32" s="1145">
        <f ca="1">IF(B32="总价",G19-C24,G20-C25)</f>
        <v>507</v>
      </c>
      <c r="D32" s="2196" t="str">
        <f>IF(B32="楼面单价","元/平方米",H19)</f>
        <v>万元</v>
      </c>
      <c r="E32" s="2196"/>
      <c r="F32" s="2196"/>
      <c r="G32" s="2196"/>
      <c r="H32" s="2196"/>
      <c r="I32" s="2196"/>
    </row>
    <row r="33" spans="1:16" ht="15">
      <c r="A33" s="2226" t="s">
        <v>1762</v>
      </c>
      <c r="B33" s="2227"/>
      <c r="C33" s="2228"/>
      <c r="D33" s="2229"/>
      <c r="E33" s="2230" t="s">
        <v>1763</v>
      </c>
      <c r="F33" s="2231" t="str">
        <f>IF(B32="楼面单价","取值（单价）","取值（总价）")</f>
        <v>取值（总价）</v>
      </c>
      <c r="G33" s="2196"/>
      <c r="H33" s="2196"/>
      <c r="I33" s="2196"/>
    </row>
    <row r="34" spans="1:16" ht="15">
      <c r="A34" s="2232"/>
      <c r="B34" s="2233" t="s">
        <v>1764</v>
      </c>
      <c r="C34" s="72">
        <f ca="1">IF(D33="自定义",F34,C32-C35)</f>
        <v>437</v>
      </c>
      <c r="D34" s="1091">
        <f ca="1">IF(D33="自定义",ROUND(C34/C32,3),1-D35)</f>
        <v>0.86099999999999999</v>
      </c>
      <c r="E34" s="2234" t="s">
        <v>1765</v>
      </c>
      <c r="F34" s="1828">
        <v>2000</v>
      </c>
      <c r="G34" s="2196"/>
      <c r="H34" s="2196"/>
      <c r="I34" s="2196"/>
    </row>
    <row r="35" spans="1:16" ht="15.75" thickBot="1">
      <c r="A35" s="2235"/>
      <c r="B35" s="2236" t="s">
        <v>1766</v>
      </c>
      <c r="C35" s="73">
        <f ca="1">IF(D33="自定义",F35,ROUND(C32*D35,0))</f>
        <v>70</v>
      </c>
      <c r="D35" s="1090">
        <f ca="1">IF(D33="自定义",ROUND(C35/C32,3),IF(D33="成本法成本比率",成本法!C56,IF(D33="收益法收益比率",收益法!J38,收益法!J41)))</f>
        <v>0.13900000000000001</v>
      </c>
      <c r="E35" s="2237" t="s">
        <v>1767</v>
      </c>
      <c r="F35" s="79">
        <v>4460</v>
      </c>
      <c r="G35" s="2196"/>
      <c r="H35" s="2196"/>
      <c r="I35" s="2196"/>
    </row>
    <row r="36" spans="1:16" ht="15.75" thickBot="1">
      <c r="A36" s="2886" t="s">
        <v>1768</v>
      </c>
      <c r="B36" s="2238" t="s">
        <v>1769</v>
      </c>
      <c r="C36" s="69">
        <v>0</v>
      </c>
      <c r="D36" s="2239"/>
      <c r="E36" s="2240"/>
      <c r="F36" s="2240"/>
      <c r="G36" s="2196"/>
      <c r="H36" s="2196"/>
      <c r="I36" s="2196"/>
    </row>
    <row r="37" spans="1:16" ht="15.75" thickBot="1">
      <c r="A37" s="2887"/>
      <c r="B37" s="2241" t="s">
        <v>1770</v>
      </c>
      <c r="C37" s="71">
        <v>0</v>
      </c>
      <c r="D37" s="2206"/>
      <c r="E37" s="2206"/>
      <c r="F37" s="2240"/>
      <c r="G37" s="2206"/>
      <c r="H37" s="2206"/>
      <c r="I37" s="2206"/>
    </row>
    <row r="38" spans="1:16" ht="15.75" thickBot="1">
      <c r="A38" s="2888"/>
      <c r="B38" s="2242" t="s">
        <v>1771</v>
      </c>
      <c r="C38" s="712">
        <v>0</v>
      </c>
      <c r="D38" s="2243" t="s">
        <v>1772</v>
      </c>
      <c r="E38" s="2206"/>
      <c r="F38" s="2240"/>
      <c r="G38" s="2206"/>
      <c r="H38" s="2206"/>
      <c r="I38" s="2206"/>
    </row>
    <row r="39" spans="1:16" ht="15">
      <c r="A39" s="2210" t="s">
        <v>1773</v>
      </c>
      <c r="B39" s="2244" t="s">
        <v>1757</v>
      </c>
      <c r="C39" s="2245" t="s">
        <v>1758</v>
      </c>
      <c r="D39" s="2245" t="s">
        <v>1774</v>
      </c>
      <c r="E39" s="2246" t="s">
        <v>1759</v>
      </c>
      <c r="F39" s="2240"/>
      <c r="G39" s="2206"/>
      <c r="H39" s="2206"/>
      <c r="I39" s="2206"/>
    </row>
    <row r="40" spans="1:16" ht="14.25">
      <c r="A40" s="2247" t="s">
        <v>1775</v>
      </c>
      <c r="B40" s="74"/>
      <c r="C40" s="75"/>
      <c r="D40" s="75"/>
      <c r="E40" s="76"/>
      <c r="F40" s="2240"/>
      <c r="G40" s="2206"/>
      <c r="H40" s="2206"/>
      <c r="I40" s="2206"/>
    </row>
    <row r="41" spans="1:16" ht="14.25">
      <c r="A41" s="2247" t="s">
        <v>1776</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892" t="s">
        <v>1779</v>
      </c>
      <c r="B45" s="2893"/>
      <c r="C45" s="2894"/>
      <c r="D45" s="80">
        <f ca="1">ROUND(I102*F45,0)</f>
        <v>507</v>
      </c>
      <c r="E45" s="81" t="s">
        <v>1780</v>
      </c>
      <c r="F45" s="82">
        <v>1</v>
      </c>
      <c r="G45" s="83" t="s">
        <v>1781</v>
      </c>
      <c r="H45" s="2196"/>
      <c r="I45" s="2196"/>
      <c r="J45" s="2954" t="s">
        <v>1782</v>
      </c>
      <c r="K45" s="2954"/>
      <c r="L45" s="2954"/>
      <c r="M45" s="2954"/>
      <c r="N45" s="2954"/>
      <c r="O45" s="2954"/>
      <c r="P45" s="1845"/>
    </row>
    <row r="46" spans="1:16" ht="14.25" customHeight="1">
      <c r="A46" s="2877" t="s">
        <v>1783</v>
      </c>
      <c r="B46" s="2878"/>
      <c r="C46" s="2878"/>
      <c r="D46" s="2878"/>
      <c r="E46" s="2878"/>
      <c r="F46" s="2878"/>
      <c r="G46" s="2879"/>
      <c r="H46" s="2258"/>
      <c r="I46" s="1144"/>
      <c r="J46" s="1883">
        <v>1</v>
      </c>
      <c r="K46" s="2954" t="s">
        <v>1784</v>
      </c>
      <c r="L46" s="2954"/>
      <c r="M46" s="2955" t="str">
        <f>项目基本情况!B1</f>
        <v>北京市房地产抵押价值预评估</v>
      </c>
      <c r="N46" s="2955"/>
      <c r="O46" s="2955"/>
      <c r="P46" s="1845"/>
    </row>
    <row r="47" spans="1:16" ht="12" customHeight="1">
      <c r="A47" s="85" t="s">
        <v>1785</v>
      </c>
      <c r="B47" s="86"/>
      <c r="C47" s="87"/>
      <c r="D47" s="88" t="s">
        <v>1786</v>
      </c>
      <c r="E47" s="14" t="s">
        <v>1787</v>
      </c>
      <c r="F47" s="89" t="s">
        <v>1788</v>
      </c>
      <c r="G47" s="90" t="s">
        <v>1789</v>
      </c>
      <c r="H47" s="2258"/>
      <c r="I47" s="1144"/>
      <c r="J47" s="1883">
        <v>2</v>
      </c>
      <c r="K47" s="2954" t="s">
        <v>1790</v>
      </c>
      <c r="L47" s="2954"/>
      <c r="M47" s="2956">
        <f>'数据-取费表'!B2</f>
        <v>43272</v>
      </c>
      <c r="N47" s="2956"/>
      <c r="O47" s="2956"/>
      <c r="P47" s="1845"/>
    </row>
    <row r="48" spans="1:16" ht="25.5">
      <c r="A48" s="2889" t="s">
        <v>1791</v>
      </c>
      <c r="B48" s="2890"/>
      <c r="C48" s="2890"/>
      <c r="D48" s="56">
        <f ca="1">IF(H48="情况1",0,IF(H48="情况2",D52,IF(H48="情况3",D53,IF(H48="情况4",D54))))</f>
        <v>27</v>
      </c>
      <c r="E48" s="1893" t="str">
        <f>IF(H48="情况4","(销售额-原购置价)×税（费）率","销售额×税（费）率")</f>
        <v>销售额×税（费）率</v>
      </c>
      <c r="F48" s="91">
        <f>IF(H48="情况1","免征",'数据-取费表'!E29)</f>
        <v>5.5000000000000007E-2</v>
      </c>
      <c r="G48" s="2259" t="s">
        <v>1792</v>
      </c>
      <c r="H48" s="2260" t="s">
        <v>1793</v>
      </c>
      <c r="I48" s="2258"/>
      <c r="J48" s="1883">
        <v>3</v>
      </c>
      <c r="K48" s="2954" t="s">
        <v>1794</v>
      </c>
      <c r="L48" s="2954"/>
      <c r="M48" s="2955">
        <f ca="1">I102</f>
        <v>507</v>
      </c>
      <c r="N48" s="2955"/>
      <c r="O48" s="2955"/>
      <c r="P48" s="1845"/>
    </row>
    <row r="49" spans="1:16" ht="25.5" customHeight="1">
      <c r="A49" s="92" t="s">
        <v>1795</v>
      </c>
      <c r="B49" s="2882" t="s">
        <v>1796</v>
      </c>
      <c r="C49" s="2882"/>
      <c r="D49" s="93">
        <v>0</v>
      </c>
      <c r="E49" s="13" t="s">
        <v>1797</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507</v>
      </c>
      <c r="N49" s="2955"/>
      <c r="O49" s="2955"/>
      <c r="P49" s="1845"/>
    </row>
    <row r="50" spans="1:16" ht="25.5" customHeight="1">
      <c r="A50" s="94"/>
      <c r="B50" s="2882" t="s">
        <v>1798</v>
      </c>
      <c r="C50" s="2882"/>
      <c r="D50" s="95"/>
      <c r="E50" s="21"/>
      <c r="F50" s="96"/>
      <c r="G50" s="2948"/>
      <c r="H50" s="2196"/>
      <c r="I50" s="2261"/>
      <c r="J50" s="2954" t="s">
        <v>1799</v>
      </c>
      <c r="K50" s="2954"/>
      <c r="L50" s="2954"/>
      <c r="M50" s="2954"/>
      <c r="N50" s="2954"/>
      <c r="O50" s="2954"/>
      <c r="P50" s="1845"/>
    </row>
    <row r="51" spans="1:16" ht="12" customHeight="1">
      <c r="A51" s="97"/>
      <c r="B51" s="2882" t="s">
        <v>1800</v>
      </c>
      <c r="C51" s="2882"/>
      <c r="D51" s="98"/>
      <c r="E51" s="20"/>
      <c r="F51" s="96"/>
      <c r="G51" s="2949"/>
      <c r="H51" s="2196"/>
      <c r="I51" s="2261"/>
      <c r="J51" s="2262" t="s">
        <v>1801</v>
      </c>
      <c r="K51" s="2954" t="s">
        <v>1802</v>
      </c>
      <c r="L51" s="2954"/>
      <c r="M51" s="2262" t="s">
        <v>1803</v>
      </c>
      <c r="N51" s="2262" t="s">
        <v>1804</v>
      </c>
      <c r="O51" s="2262" t="s">
        <v>1805</v>
      </c>
      <c r="P51" s="1845"/>
    </row>
    <row r="52" spans="1:16" ht="24" customHeight="1">
      <c r="A52" s="99" t="s">
        <v>1806</v>
      </c>
      <c r="B52" s="2882" t="s">
        <v>1807</v>
      </c>
      <c r="C52" s="2882"/>
      <c r="D52" s="98">
        <f ca="1">ROUND(D45*'数据-取费表'!E29/(1+'数据-取费表'!F30),0)</f>
        <v>27</v>
      </c>
      <c r="E52" s="10" t="s">
        <v>1808</v>
      </c>
      <c r="F52" s="100">
        <f>'数据-取费表'!E29</f>
        <v>5.5000000000000007E-2</v>
      </c>
      <c r="G52" s="2263"/>
      <c r="H52" s="2196"/>
      <c r="I52" s="2261"/>
      <c r="J52" s="1883">
        <v>1</v>
      </c>
      <c r="K52" s="2914" t="s">
        <v>1809</v>
      </c>
      <c r="L52" s="2914"/>
      <c r="M52" s="778">
        <f ca="1">D48</f>
        <v>27</v>
      </c>
      <c r="N52" s="1883" t="str">
        <f>E48</f>
        <v>销售额×税（费）率</v>
      </c>
      <c r="O52" s="779">
        <f>F48</f>
        <v>5.5000000000000007E-2</v>
      </c>
      <c r="P52" s="1845"/>
    </row>
    <row r="53" spans="1:16" ht="12" customHeight="1">
      <c r="A53" s="99" t="s">
        <v>1810</v>
      </c>
      <c r="B53" s="2883" t="s">
        <v>1811</v>
      </c>
      <c r="C53" s="2813"/>
      <c r="D53" s="98">
        <f ca="1">ROUND(D45*'数据-取费表'!E29/(1+'数据-取费表'!F30),0)</f>
        <v>27</v>
      </c>
      <c r="E53" s="10" t="s">
        <v>1808</v>
      </c>
      <c r="F53" s="100">
        <f>'数据-取费表'!E29</f>
        <v>5.5000000000000007E-2</v>
      </c>
      <c r="G53" s="2263"/>
      <c r="H53" s="2196"/>
      <c r="I53" s="2261"/>
      <c r="J53" s="1883">
        <v>2</v>
      </c>
      <c r="K53" s="2914" t="s">
        <v>1812</v>
      </c>
      <c r="L53" s="2914"/>
      <c r="M53" s="778">
        <f t="shared" ref="M53:O54" ca="1" si="1">D55</f>
        <v>0</v>
      </c>
      <c r="N53" s="1883" t="str">
        <f t="shared" si="1"/>
        <v>销售额×税（费）率</v>
      </c>
      <c r="O53" s="779">
        <f t="shared" si="1"/>
        <v>5.0000000000000001E-4</v>
      </c>
      <c r="P53" s="1845"/>
    </row>
    <row r="54" spans="1:16" ht="12" customHeight="1">
      <c r="A54" s="99" t="s">
        <v>1813</v>
      </c>
      <c r="B54" s="2883" t="s">
        <v>1814</v>
      </c>
      <c r="C54" s="2813"/>
      <c r="D54" s="98">
        <f ca="1">C68</f>
        <v>27</v>
      </c>
      <c r="E54" s="20" t="s">
        <v>1815</v>
      </c>
      <c r="F54" s="100">
        <f>'数据-取费表'!E29</f>
        <v>5.5000000000000007E-2</v>
      </c>
      <c r="G54" s="2263"/>
      <c r="H54" s="2264"/>
      <c r="I54" s="2261"/>
      <c r="J54" s="1883">
        <v>3</v>
      </c>
      <c r="K54" s="2914" t="s">
        <v>1816</v>
      </c>
      <c r="L54" s="2914"/>
      <c r="M54" s="778">
        <f t="shared" ca="1" si="1"/>
        <v>288</v>
      </c>
      <c r="N54" s="1883" t="str">
        <f t="shared" si="1"/>
        <v>增值额×税（费）率</v>
      </c>
      <c r="O54" s="780" t="str">
        <f t="shared" si="1"/>
        <v>——</v>
      </c>
      <c r="P54" s="1845"/>
    </row>
    <row r="55" spans="1:16" ht="24" customHeight="1">
      <c r="A55" s="2805" t="s">
        <v>1817</v>
      </c>
      <c r="B55" s="2890"/>
      <c r="C55" s="2890"/>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1820</v>
      </c>
      <c r="B56" s="2890"/>
      <c r="C56" s="2890"/>
      <c r="D56" s="101">
        <f ca="1">IF(H56="个人住宅",D57,D58)</f>
        <v>288</v>
      </c>
      <c r="E56" s="10" t="s">
        <v>1821</v>
      </c>
      <c r="F56" s="100" t="str">
        <f>IF(H56="正常",F58,"免征")</f>
        <v>——</v>
      </c>
      <c r="G56" s="2265" t="s">
        <v>1822</v>
      </c>
      <c r="H56" s="2266" t="s">
        <v>1819</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1795</v>
      </c>
      <c r="B57" s="2880" t="s">
        <v>1823</v>
      </c>
      <c r="C57" s="2891"/>
      <c r="D57" s="103">
        <v>0</v>
      </c>
      <c r="E57" s="13" t="s">
        <v>1797</v>
      </c>
      <c r="F57" s="70"/>
      <c r="G57" s="2263"/>
      <c r="H57" s="1022"/>
      <c r="I57" s="1022"/>
      <c r="J57" s="2914">
        <f>IF(AND(J55="",J56=""),4,IF(项目基本情况!I6="上海银行",J56+1,J55+1))</f>
        <v>5</v>
      </c>
      <c r="K57" s="2914" t="s">
        <v>1824</v>
      </c>
      <c r="L57" s="2267" t="s">
        <v>1825</v>
      </c>
      <c r="M57" s="783"/>
      <c r="N57" s="784">
        <f ca="1">SUMIF(M52:M56,"&lt;9e307")</f>
        <v>320</v>
      </c>
      <c r="O57" s="2268"/>
      <c r="P57" s="1841">
        <f ca="1">N57/M49</f>
        <v>0.63116370808678501</v>
      </c>
    </row>
    <row r="58" spans="1:16" ht="24.75">
      <c r="A58" s="99" t="s">
        <v>1806</v>
      </c>
      <c r="B58" s="2880" t="s">
        <v>1826</v>
      </c>
      <c r="C58" s="2881"/>
      <c r="D58" s="101">
        <f ca="1">IF(H58="转让取得",C81,C97)</f>
        <v>288</v>
      </c>
      <c r="E58" s="10" t="s">
        <v>1821</v>
      </c>
      <c r="F58" s="14" t="s">
        <v>48</v>
      </c>
      <c r="G58" s="2263"/>
      <c r="H58" s="2266" t="s">
        <v>1827</v>
      </c>
      <c r="I58" s="1022"/>
      <c r="J58" s="2914"/>
      <c r="K58" s="2914"/>
      <c r="L58" s="2267" t="s">
        <v>1828</v>
      </c>
      <c r="M58" s="785"/>
      <c r="N58" s="2269" t="str">
        <f ca="1">IF(H19="元",NUMBERSTRING(INT(N57),2)&amp;"元整",NUMBERSTRING(INT(N57*10000),2)&amp;"元整")</f>
        <v>叁佰贰拾万元整</v>
      </c>
      <c r="O58" s="2270"/>
      <c r="P58" s="1845"/>
    </row>
    <row r="59" spans="1:16" ht="26.25" thickBot="1">
      <c r="A59" s="2806" t="s">
        <v>1829</v>
      </c>
      <c r="B59" s="2809"/>
      <c r="C59" s="2809"/>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912">
        <f>J57+1</f>
        <v>6</v>
      </c>
      <c r="K59" s="2914" t="s">
        <v>1831</v>
      </c>
      <c r="L59" s="1883" t="s">
        <v>1825</v>
      </c>
      <c r="M59" s="786"/>
      <c r="N59" s="787">
        <f ca="1">M49-N57</f>
        <v>187</v>
      </c>
      <c r="O59" s="2272"/>
      <c r="P59" s="1845"/>
    </row>
    <row r="60" spans="1:16" ht="12" customHeight="1">
      <c r="A60" s="2067"/>
      <c r="B60" s="2196"/>
      <c r="C60" s="2196"/>
      <c r="D60" s="2196"/>
      <c r="E60" s="1022"/>
      <c r="F60" s="1022"/>
      <c r="G60" s="1022"/>
      <c r="H60" s="2249"/>
      <c r="I60" s="2196"/>
      <c r="J60" s="2913"/>
      <c r="K60" s="2914"/>
      <c r="L60" s="2267" t="s">
        <v>1828</v>
      </c>
      <c r="M60" s="785"/>
      <c r="N60" s="2269" t="str">
        <f ca="1">IF(H19="元",NUMBERSTRING(INT(N59),2)&amp;"元整",NUMBERSTRING(INT(N59*10000),2)&amp;"元整")</f>
        <v>壹佰捌拾柒万元整</v>
      </c>
      <c r="O60" s="2270"/>
      <c r="P60" s="1845"/>
    </row>
    <row r="61" spans="1:16" ht="13.5" thickBot="1">
      <c r="A61" s="2895" t="s">
        <v>1832</v>
      </c>
      <c r="B61" s="2895"/>
      <c r="C61" s="2895"/>
      <c r="D61" s="2895"/>
      <c r="E61" s="2895"/>
      <c r="F61" s="1022"/>
      <c r="G61" s="1022"/>
      <c r="H61" s="2249"/>
      <c r="I61" s="2196"/>
      <c r="J61" s="1883">
        <f>J59+1</f>
        <v>7</v>
      </c>
      <c r="K61" s="2914" t="s">
        <v>1833</v>
      </c>
      <c r="L61" s="2914"/>
      <c r="M61" s="788"/>
      <c r="N61" s="789">
        <f ca="1">IF(H19="元",ROUND(N59/项目基本情况!C12,0),ROUND(N59*10000/项目基本情况!C12,0))</f>
        <v>15016</v>
      </c>
      <c r="O61" s="2273"/>
      <c r="P61" s="1845"/>
    </row>
    <row r="62" spans="1:16" ht="12.75">
      <c r="A62" s="2902" t="s">
        <v>1834</v>
      </c>
      <c r="B62" s="2903"/>
      <c r="C62" s="1885"/>
      <c r="D62" s="1885" t="s">
        <v>1835</v>
      </c>
      <c r="E62" s="108" t="s">
        <v>1836</v>
      </c>
      <c r="F62" s="1022"/>
      <c r="G62" s="1022"/>
      <c r="H62" s="2249"/>
      <c r="I62" s="2196"/>
      <c r="J62" s="1845"/>
      <c r="K62" s="1845"/>
      <c r="L62" s="1845"/>
      <c r="M62" s="1845"/>
      <c r="N62" s="1845"/>
      <c r="O62" s="1845"/>
      <c r="P62" s="1845"/>
    </row>
    <row r="63" spans="1:16" ht="12.75">
      <c r="A63" s="109">
        <v>1</v>
      </c>
      <c r="B63" s="110" t="s">
        <v>1837</v>
      </c>
      <c r="C63" s="111">
        <f ca="1">ROUND((C64+C65)/(1+'数据-取费表'!F30),0)</f>
        <v>483</v>
      </c>
      <c r="D63" s="112"/>
      <c r="E63" s="113"/>
      <c r="F63" s="1022"/>
      <c r="G63" s="1022"/>
      <c r="H63" s="2249"/>
      <c r="I63" s="2196"/>
      <c r="J63" s="2934" t="s">
        <v>1838</v>
      </c>
      <c r="K63" s="2274" t="s">
        <v>1839</v>
      </c>
      <c r="L63" s="1844">
        <f ca="1">IF(M49&gt;10000,M49*0.5%,IF(AND(M49&gt;1000,M49&lt;=10000),M49*1%,IF(AND(M49&gt;100,M49&lt;=1000),M49*3%,IF(AND(M49&gt;10,M49&lt;=100),M49*5%,M49*8%))))</f>
        <v>15.209999999999999</v>
      </c>
      <c r="M63" s="14">
        <f ca="1">ROUND(L63,1)</f>
        <v>15.2</v>
      </c>
      <c r="N63" s="1845"/>
      <c r="O63" s="1845"/>
      <c r="P63" s="1845"/>
    </row>
    <row r="64" spans="1:16" ht="12.75">
      <c r="A64" s="114" t="s">
        <v>71</v>
      </c>
      <c r="B64" s="115" t="s">
        <v>1840</v>
      </c>
      <c r="C64" s="116">
        <f ca="1">D45</f>
        <v>507</v>
      </c>
      <c r="D64" s="117" t="s">
        <v>41</v>
      </c>
      <c r="E64" s="118"/>
      <c r="F64" s="1022"/>
      <c r="G64" s="1022"/>
      <c r="H64" s="2249"/>
      <c r="I64" s="2196"/>
      <c r="J64" s="2934"/>
      <c r="K64" s="2274" t="s">
        <v>1841</v>
      </c>
      <c r="L64" s="1844">
        <f ca="1">IF(M49&gt;2000,M49*0.5%,IF(AND(M49&gt;1000,M49&lt;=2000),M49*0.6%,IF(AND(M49&gt;500,M49&lt;=1000),M49*0.7%,IF(AND(M49&gt;200,M49&lt;=500),M49*0.8%,IF(AND(M49&gt;100,M49&lt;=200),M49*0.9%,IF(AND(M49&gt;50,M49&lt;=100),M49*1%,IF(AND(M49&gt;20,M49&lt;=50),M49*1.5%,IF(AND(M49&gt;10,M49&lt;=20),M49*2%,IF(AND(M49&gt;1,M49&lt;=10),M49*2.5%)))))))))</f>
        <v>3.5489999999999995</v>
      </c>
      <c r="M64" s="14">
        <f t="shared" ref="M64:M65" ca="1" si="2">ROUND(L64,1)</f>
        <v>3.5</v>
      </c>
      <c r="N64" s="1845" t="s">
        <v>1842</v>
      </c>
      <c r="O64" s="1845"/>
      <c r="P64" s="1845"/>
    </row>
    <row r="65" spans="1:35" ht="12.75">
      <c r="A65" s="114" t="s">
        <v>72</v>
      </c>
      <c r="B65" s="115" t="s">
        <v>1843</v>
      </c>
      <c r="C65" s="119"/>
      <c r="D65" s="117"/>
      <c r="E65" s="118"/>
      <c r="F65" s="1022"/>
      <c r="G65" s="1022"/>
      <c r="H65" s="2249"/>
      <c r="I65" s="2196"/>
      <c r="J65" s="2934"/>
      <c r="K65" s="2274" t="s">
        <v>1844</v>
      </c>
      <c r="L65" s="1844">
        <f ca="1">IF(M49&gt;1000,M49*0.1%,IF(AND(M49&gt;500,M49&lt;=1000),M49*0.5%,IF(AND(M49&gt;50,M49&lt;=500),M49*1%,IF(AND(M49&gt;1,M49&lt;=50),M49*1.5%))))</f>
        <v>2.5350000000000001</v>
      </c>
      <c r="M65" s="14">
        <f t="shared" ca="1" si="2"/>
        <v>2.5</v>
      </c>
      <c r="N65" s="1845" t="s">
        <v>1842</v>
      </c>
      <c r="O65" s="1845"/>
      <c r="P65" s="1845"/>
    </row>
    <row r="66" spans="1:35" ht="12.75">
      <c r="A66" s="120" t="s">
        <v>47</v>
      </c>
      <c r="B66" s="121" t="s">
        <v>1845</v>
      </c>
      <c r="C66" s="122"/>
      <c r="D66" s="123" t="s">
        <v>41</v>
      </c>
      <c r="E66" s="1861" t="s">
        <v>1846</v>
      </c>
      <c r="F66" s="1022"/>
      <c r="G66" s="1022"/>
      <c r="H66" s="2249"/>
      <c r="I66" s="2196"/>
      <c r="J66" s="2934"/>
      <c r="K66" s="2274" t="s">
        <v>1847</v>
      </c>
      <c r="L66" s="1844">
        <f ca="1">M49*0.5%</f>
        <v>2.5350000000000001</v>
      </c>
      <c r="M66" s="14">
        <f ca="1">IF(L66&gt;0.5,0.5,ROUND(L66,0))</f>
        <v>0.5</v>
      </c>
      <c r="N66" s="1845" t="s">
        <v>1848</v>
      </c>
      <c r="O66" s="1845"/>
      <c r="P66" s="1845"/>
    </row>
    <row r="67" spans="1:35" ht="12.75">
      <c r="A67" s="120" t="s">
        <v>42</v>
      </c>
      <c r="B67" s="121" t="s">
        <v>1849</v>
      </c>
      <c r="C67" s="124">
        <f ca="1">C63-C66</f>
        <v>483</v>
      </c>
      <c r="D67" s="117" t="s">
        <v>41</v>
      </c>
      <c r="E67" s="118"/>
      <c r="F67" s="1022"/>
      <c r="G67" s="1022"/>
      <c r="H67" s="2249"/>
      <c r="I67" s="2196"/>
      <c r="J67" s="2934"/>
      <c r="K67" s="2274" t="s">
        <v>1850</v>
      </c>
      <c r="L67" s="1844">
        <f ca="1">IF(M49&gt;=10000,(8.25+(M49-10000)*0.01%),IF(AND(M49&gt;=8000,M49&lt;10000),(7.85+(M49-8000)*0.02%),IF(AND(M49&gt;=5000,M49&lt;8000),(6.65+(M49-5000)*0.04%),IF(AND(M49&gt;=2000,M49&lt;5000),(4.25+(PM49-2000)*0.08%),IF(AND(M49&gt;=1000,M49&lt;2000),(2.75+(M49-1000)*0.15%),IF(AND(M49&gt;=100,M49&lt;1000),(0.5+(M49-100)*0.25%),IF(AND(M49&gt;0,M49&lt;100),M49*0.5%)))))))</f>
        <v>1.5175000000000001</v>
      </c>
      <c r="M67" s="14">
        <f ca="1">ROUND(L67*0.9,1)</f>
        <v>1.4</v>
      </c>
      <c r="N67" s="1845"/>
      <c r="O67" s="1845"/>
      <c r="P67" s="1845"/>
    </row>
    <row r="68" spans="1:35" ht="13.5" thickBot="1">
      <c r="A68" s="125" t="s">
        <v>46</v>
      </c>
      <c r="B68" s="126" t="s">
        <v>1851</v>
      </c>
      <c r="C68" s="127">
        <f ca="1">IF(C67&lt;=0,0,ROUND(C67*D68,0))</f>
        <v>27</v>
      </c>
      <c r="D68" s="128">
        <f>'数据-取费表'!E29</f>
        <v>5.5000000000000007E-2</v>
      </c>
      <c r="E68" s="129"/>
      <c r="F68" s="1022"/>
      <c r="G68" s="1022"/>
      <c r="H68" s="2249"/>
      <c r="I68" s="2196"/>
      <c r="J68" s="2934"/>
      <c r="K68" s="2274" t="s">
        <v>1852</v>
      </c>
      <c r="L68" s="1844">
        <f ca="1">IF(M49&gt;10000,M49*0.5%,IF(AND(M49&gt;5000,M49&lt;=10000),M49*1%,IF(AND(M49&gt;1000,M49&lt;=5000),M49*2%,IF(AND(M49&gt;200,M49&lt;=1000),M49*3%,M49*5%))))</f>
        <v>15.209999999999999</v>
      </c>
      <c r="M68" s="14">
        <f ca="1">ROUND(L68,1)</f>
        <v>15.2</v>
      </c>
      <c r="N68" s="1845"/>
      <c r="O68" s="1845"/>
      <c r="P68" s="1845"/>
    </row>
    <row r="69" spans="1:35" s="2223" customFormat="1" ht="7.5" customHeight="1">
      <c r="A69" s="2275"/>
      <c r="B69" s="2276"/>
      <c r="C69" s="2277"/>
      <c r="D69" s="2278"/>
      <c r="E69" s="2279"/>
      <c r="F69" s="1022"/>
      <c r="G69" s="1022"/>
      <c r="H69" s="2249"/>
      <c r="I69" s="2196"/>
      <c r="J69" s="2934"/>
      <c r="K69" s="2274" t="s">
        <v>1853</v>
      </c>
      <c r="L69" s="2280"/>
      <c r="M69" s="14">
        <f ca="1">ROUND(SUM(M63:M68),0)</f>
        <v>38</v>
      </c>
      <c r="N69" s="1841">
        <f ca="1">M69/M49</f>
        <v>7.4950690335305714E-2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1854</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1834</v>
      </c>
      <c r="B71" s="290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1855</v>
      </c>
      <c r="C72" s="124">
        <f ca="1">ROUND(D45/(1+'数据-取费表'!F30),0)</f>
        <v>483</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1857</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883" t="s">
        <v>1864</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2</v>
      </c>
      <c r="D78" s="145">
        <f>'数据-取费表'!E31</f>
        <v>5.000000000000001E-3</v>
      </c>
      <c r="E78" s="2874" t="s">
        <v>1869</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1870</v>
      </c>
      <c r="C79" s="124">
        <f ca="1">C72-C73</f>
        <v>481</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240.5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1872</v>
      </c>
      <c r="C81" s="149">
        <f ca="1">ROUND(IF(C79&lt;=0,0,IF(C80&gt;=200%,C79*60%-C73*35%,IF(C80&gt;=100%,C79*50%-C73*15%,IF(C80&gt;=50%,C79*40%-C73*5%,IF(C80&lt;50%,C79*30%,0))))),0)</f>
        <v>288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1873</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1834</v>
      </c>
      <c r="B84" s="290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483</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1857</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74" t="s">
        <v>1881</v>
      </c>
      <c r="F91" s="2875"/>
      <c r="G91" s="2875"/>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74" t="s">
        <v>1884</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2</v>
      </c>
      <c r="D93" s="145">
        <f>'数据-取费表'!E31</f>
        <v>5.000000000000001E-3</v>
      </c>
      <c r="E93" s="2874" t="s">
        <v>1869</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74" t="s">
        <v>1886</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1870</v>
      </c>
      <c r="C95" s="124">
        <f ca="1">ROUND(C85-C86,0)</f>
        <v>481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240.5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1872</v>
      </c>
      <c r="C97" s="149">
        <f ca="1">ROUND(IF(C95&lt;=0,0,IF(C96&gt;=200%,C95*60%-C86*35%,IF(C96&gt;=100%,C95*50%-C86*15%,IF(C96&gt;=50%,C95*40%-C86*5%,IF(C96&lt;50%,C95*30%,0))))),0)</f>
        <v>288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75">
      <c r="A99" s="2929" t="s">
        <v>1888</v>
      </c>
      <c r="B99" s="2930"/>
      <c r="C99" s="2930"/>
      <c r="D99" s="2931"/>
      <c r="E99" s="2196"/>
      <c r="F99" s="2940" t="s">
        <v>1889</v>
      </c>
      <c r="G99" s="2941"/>
      <c r="H99" s="2941"/>
      <c r="I99" s="2942"/>
    </row>
    <row r="100" spans="1:35" ht="15.75">
      <c r="A100" s="2943" t="s">
        <v>1890</v>
      </c>
      <c r="B100" s="2944"/>
      <c r="C100" s="720" t="str">
        <f>C4</f>
        <v>比较法-商业</v>
      </c>
      <c r="D100" s="721" t="str">
        <f>D4</f>
        <v>收益法</v>
      </c>
      <c r="E100" s="2196"/>
      <c r="F100" s="2839" t="s">
        <v>1891</v>
      </c>
      <c r="G100" s="2840"/>
      <c r="H100" s="2839" t="s">
        <v>1892</v>
      </c>
      <c r="I100" s="2838"/>
    </row>
    <row r="101" spans="1:35" ht="15.75">
      <c r="A101" s="2921" t="s">
        <v>1893</v>
      </c>
      <c r="B101" s="2291" t="str">
        <f>IF(H19="元","总价（元）","总价（万元）")</f>
        <v>总价（万元）</v>
      </c>
      <c r="C101" s="720">
        <f ca="1">C19</f>
        <v>597</v>
      </c>
      <c r="D101" s="721">
        <f ca="1">D19</f>
        <v>372</v>
      </c>
      <c r="E101" s="2196"/>
      <c r="F101" s="2839" t="str">
        <f>项目基本情况!I1</f>
        <v>北京市房地产</v>
      </c>
      <c r="G101" s="2840"/>
      <c r="H101" s="2837">
        <f>项目基本情况!C12</f>
        <v>124.53</v>
      </c>
      <c r="I101" s="2838"/>
    </row>
    <row r="102" spans="1:35" ht="15.75">
      <c r="A102" s="2921"/>
      <c r="B102" s="2291" t="s">
        <v>1894</v>
      </c>
      <c r="C102" s="722">
        <f ca="1">C20</f>
        <v>47972</v>
      </c>
      <c r="D102" s="723">
        <f ca="1">D20</f>
        <v>29859</v>
      </c>
      <c r="E102" s="2196"/>
      <c r="F102" s="2866" t="s">
        <v>1895</v>
      </c>
      <c r="G102" s="2867"/>
      <c r="H102" s="2292" t="str">
        <f>C106</f>
        <v>总价（万元）</v>
      </c>
      <c r="I102" s="1862">
        <f ca="1">H121</f>
        <v>507</v>
      </c>
    </row>
    <row r="103" spans="1:35" ht="15">
      <c r="A103" s="2921" t="s">
        <v>1896</v>
      </c>
      <c r="B103" s="2293" t="str">
        <f>B101</f>
        <v>总价（万元）</v>
      </c>
      <c r="C103" s="724">
        <f ca="1">H121</f>
        <v>507</v>
      </c>
      <c r="D103" s="725"/>
      <c r="E103" s="2196"/>
      <c r="F103" s="2866"/>
      <c r="G103" s="2867"/>
      <c r="H103" s="2292" t="s">
        <v>1894</v>
      </c>
      <c r="I103" s="1050">
        <f ca="1">I121</f>
        <v>40713</v>
      </c>
    </row>
    <row r="104" spans="1:35" ht="16.5" thickBot="1">
      <c r="A104" s="2922"/>
      <c r="B104" s="2294" t="s">
        <v>1894</v>
      </c>
      <c r="C104" s="726">
        <f ca="1">I121</f>
        <v>40713</v>
      </c>
      <c r="D104" s="727"/>
      <c r="E104" s="2196"/>
      <c r="F104" s="2938"/>
      <c r="G104" s="2939"/>
      <c r="H104" s="2923"/>
      <c r="I104" s="2924"/>
    </row>
    <row r="105" spans="1:35" ht="15.75">
      <c r="A105" s="2929" t="s">
        <v>1897</v>
      </c>
      <c r="B105" s="2930"/>
      <c r="C105" s="2930"/>
      <c r="D105" s="2931"/>
      <c r="E105" s="2196"/>
      <c r="F105" s="2927" t="s">
        <v>1898</v>
      </c>
      <c r="G105" s="2928"/>
      <c r="H105" s="2295" t="str">
        <f>C108</f>
        <v>总额（万元）</v>
      </c>
      <c r="I105" s="1862">
        <f>SUMIF(I106:I108,"&lt;9E307")</f>
        <v>0</v>
      </c>
    </row>
    <row r="106" spans="1:35" ht="15">
      <c r="A106" s="2853" t="s">
        <v>1899</v>
      </c>
      <c r="B106" s="2854"/>
      <c r="C106" s="2292" t="str">
        <f>B101</f>
        <v>总价（万元）</v>
      </c>
      <c r="D106" s="1051">
        <f ca="1">H121</f>
        <v>507</v>
      </c>
      <c r="E106" s="2196"/>
      <c r="F106" s="2855" t="s">
        <v>1900</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1894</v>
      </c>
      <c r="D107" s="1052">
        <f ca="1">I121</f>
        <v>40713</v>
      </c>
      <c r="E107" s="2196"/>
      <c r="F107" s="2855" t="s">
        <v>1901</v>
      </c>
      <c r="G107" s="2856"/>
      <c r="H107" s="2295" t="str">
        <f>C110</f>
        <v>总额（万元）</v>
      </c>
      <c r="I107" s="1050">
        <f>C37</f>
        <v>0</v>
      </c>
      <c r="K107" s="2296"/>
    </row>
    <row r="108" spans="1:35" ht="15">
      <c r="A108" s="2860" t="s">
        <v>1902</v>
      </c>
      <c r="B108" s="2861"/>
      <c r="C108" s="2295" t="str">
        <f>IF(H19="元","总额（元）","总额（万元）")</f>
        <v>总额（万元）</v>
      </c>
      <c r="D108" s="1051">
        <f>IF(D36="正常操作",I106+I107+I108,I107+I108)</f>
        <v>0</v>
      </c>
      <c r="E108" s="2196"/>
      <c r="F108" s="2855" t="s">
        <v>1903</v>
      </c>
      <c r="G108" s="2856"/>
      <c r="H108" s="2295" t="str">
        <f>C111</f>
        <v>总额（万元）</v>
      </c>
      <c r="I108" s="1050">
        <f>C38</f>
        <v>0</v>
      </c>
    </row>
    <row r="109" spans="1:35" ht="15.75">
      <c r="A109" s="2855" t="s">
        <v>1900</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1901</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507</v>
      </c>
    </row>
    <row r="111" spans="1:35" ht="15">
      <c r="A111" s="2855" t="s">
        <v>1903</v>
      </c>
      <c r="B111" s="2856"/>
      <c r="C111" s="2295" t="str">
        <f>C108</f>
        <v>总额（万元）</v>
      </c>
      <c r="D111" s="637">
        <f>C38</f>
        <v>0</v>
      </c>
      <c r="E111" s="2196"/>
      <c r="F111" s="2957"/>
      <c r="G111" s="2958"/>
      <c r="H111" s="2292" t="s">
        <v>1894</v>
      </c>
      <c r="I111" s="2298">
        <f ca="1">D113</f>
        <v>40713</v>
      </c>
    </row>
    <row r="112" spans="1:35" ht="26.25" customHeight="1">
      <c r="A112" s="2853" t="str">
        <f>IF(项目基本情况!F5="已注销","——","3.房地产抵押价值")</f>
        <v>3.房地产抵押价值</v>
      </c>
      <c r="B112" s="2854"/>
      <c r="C112" s="2292" t="str">
        <f>B101</f>
        <v>总价（万元）</v>
      </c>
      <c r="D112" s="1051">
        <f ca="1">IF(A112="——","——",D106-D108)</f>
        <v>507</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1894</v>
      </c>
      <c r="D113" s="1052">
        <f ca="1">ROUND(IF(D112=D106,D107,IF(H19="元",D112/项目基本情况!C12,D112*10000/项目基本情况!C12)),0)</f>
        <v>40713</v>
      </c>
      <c r="E113" s="2196"/>
      <c r="F113" s="2957"/>
      <c r="G113" s="2958"/>
      <c r="H113" s="2292" t="s">
        <v>1894</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1894</v>
      </c>
      <c r="D115" s="1052" t="str">
        <f>IF(A114="——","——",ROUND(IF(D114=D106,D107,IF(H19="元",D114/项目基本情况!C12,D114*10000/项目基本情况!C12)),0))</f>
        <v>——</v>
      </c>
      <c r="E115" s="2196"/>
      <c r="F115" s="2843"/>
      <c r="G115" s="2844"/>
      <c r="H115" s="2300" t="s">
        <v>1894</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1894</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1904</v>
      </c>
      <c r="B118" s="2911"/>
      <c r="C118" s="2911"/>
      <c r="D118" s="2911"/>
      <c r="E118" s="2911"/>
      <c r="F118" s="2911"/>
      <c r="G118" s="2911"/>
      <c r="H118" s="2911"/>
      <c r="I118" s="2911"/>
    </row>
    <row r="119" spans="1:15" ht="14.25">
      <c r="A119" s="2834" t="s">
        <v>1905</v>
      </c>
      <c r="B119" s="2864" t="s">
        <v>1906</v>
      </c>
      <c r="C119" s="2864" t="s">
        <v>1907</v>
      </c>
      <c r="D119" s="2936" t="s">
        <v>1908</v>
      </c>
      <c r="E119" s="2937"/>
      <c r="F119" s="2835" t="s">
        <v>1766</v>
      </c>
      <c r="G119" s="2835"/>
      <c r="H119" s="2835" t="s">
        <v>1909</v>
      </c>
      <c r="I119" s="2935"/>
    </row>
    <row r="120" spans="1:15" ht="14.25">
      <c r="A120" s="2834"/>
      <c r="B120" s="2865"/>
      <c r="C120" s="2865"/>
      <c r="D120" s="1887" t="s">
        <v>1910</v>
      </c>
      <c r="E120" s="1887" t="s">
        <v>1911</v>
      </c>
      <c r="F120" s="1887" t="s">
        <v>1910</v>
      </c>
      <c r="G120" s="1887" t="s">
        <v>1912</v>
      </c>
      <c r="H120" s="1887" t="s">
        <v>1910</v>
      </c>
      <c r="I120" s="637" t="s">
        <v>1912</v>
      </c>
    </row>
    <row r="121" spans="1:15" ht="14.25">
      <c r="A121" s="2182" t="str">
        <f>项目基本情况!I1</f>
        <v>北京市房地产</v>
      </c>
      <c r="B121" s="1887">
        <f>项目基本情况!C12</f>
        <v>124.53</v>
      </c>
      <c r="C121" s="1887">
        <f>项目基本情况!C13</f>
        <v>0</v>
      </c>
      <c r="D121" s="1887">
        <f ca="1">ROUND(IF(B32="总价",C34,IF('数据-取费表'!B3="万元",E121*B121/10000,E121*B121)),0)</f>
        <v>437</v>
      </c>
      <c r="E121" s="1887">
        <f ca="1">ROUND(IF(B32="楼面单价",C34,IF(H19="元",D121/B121,D121*10000/B121)),0)</f>
        <v>35092</v>
      </c>
      <c r="F121" s="1887">
        <f ca="1">ROUND(IF(B32="总价",C35,IF('数据-取费表'!B3="万元",G121*B121/10000,G121*B121)),0)</f>
        <v>70</v>
      </c>
      <c r="G121" s="1887">
        <f ca="1">ROUND(IF(B32="楼面单价",C35,IF(H19="元",F121/B121,F121*10000/B121)),0)</f>
        <v>5621</v>
      </c>
      <c r="H121" s="1887">
        <f ca="1">ROUND(IF(B32="总价",C32,IF('数据-取费表'!B3="万元",I121*B121/10000,I121*B121)),0)</f>
        <v>507</v>
      </c>
      <c r="I121" s="637">
        <f ca="1">ROUND(IF(B32="楼面单价",C32,IF(H19="元",H121/B121,H121*10000/B121)),0)</f>
        <v>40713</v>
      </c>
    </row>
    <row r="122" spans="1:15" ht="14.25">
      <c r="A122" s="2834" t="s">
        <v>1913</v>
      </c>
      <c r="B122" s="2835"/>
      <c r="C122" s="2835"/>
      <c r="D122" s="2868" t="str">
        <f ca="1">IF(H19="元",NUMBERSTRING(INT(D121),2)&amp;"元整",NUMBERSTRING(INT(D121*10000),2)&amp;"元整")</f>
        <v>肆佰叁拾柒万元整</v>
      </c>
      <c r="E122" s="2915"/>
      <c r="F122" s="2868" t="str">
        <f ca="1">IF(H19="元",NUMBERSTRING(INT(F121),2)&amp;"元整",NUMBERSTRING(INT(F121*10000),2)&amp;"元整")</f>
        <v>柒拾万元整</v>
      </c>
      <c r="G122" s="2915"/>
      <c r="H122" s="2868" t="str">
        <f ca="1">IF(H19="元",NUMBERSTRING(INT(H121),2)&amp;"元整",NUMBERSTRING(INT(H121*10000),2)&amp;"元整")</f>
        <v>伍佰零柒万元整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1913</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507</v>
      </c>
      <c r="E125" s="2846"/>
      <c r="F125" s="2846"/>
      <c r="G125" s="2846"/>
      <c r="H125" s="2846"/>
      <c r="I125" s="2847"/>
    </row>
    <row r="126" spans="1:15" ht="14.25">
      <c r="A126" s="2834" t="s">
        <v>1913</v>
      </c>
      <c r="B126" s="2835"/>
      <c r="C126" s="2835"/>
      <c r="D126" s="2848">
        <f ca="1">I111</f>
        <v>40713</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1913</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1913</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1921</v>
      </c>
      <c r="B1" s="2196"/>
      <c r="C1" s="2196"/>
      <c r="D1" s="2196"/>
      <c r="E1" s="2196"/>
      <c r="F1" s="2196"/>
      <c r="G1" s="2196"/>
      <c r="H1" s="2196"/>
      <c r="I1" s="2196"/>
    </row>
    <row r="2" spans="1:12" ht="21.75" customHeight="1">
      <c r="A2" s="2969" t="s">
        <v>1922</v>
      </c>
      <c r="B2" s="2969"/>
      <c r="C2" s="2969"/>
      <c r="D2" s="2969"/>
      <c r="E2" s="2969"/>
      <c r="F2" s="2969"/>
      <c r="G2" s="2969"/>
      <c r="H2" s="2969"/>
      <c r="I2" s="2969"/>
    </row>
    <row r="3" spans="1:12" ht="12.75">
      <c r="A3" s="2899" t="s">
        <v>1726</v>
      </c>
      <c r="B3" s="2900"/>
      <c r="C3" s="2900"/>
      <c r="D3" s="2900"/>
      <c r="E3" s="2900"/>
      <c r="F3" s="2900"/>
      <c r="G3" s="2900"/>
      <c r="H3" s="2900"/>
      <c r="I3" s="2900"/>
    </row>
    <row r="4" spans="1:12" ht="14.25">
      <c r="A4" s="2198" t="s">
        <v>1727</v>
      </c>
      <c r="B4" s="2199" t="s">
        <v>1728</v>
      </c>
      <c r="C4" s="2200"/>
      <c r="D4" s="2200"/>
      <c r="E4" s="2880" t="s">
        <v>1923</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c r="D14" s="2898"/>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0</v>
      </c>
      <c r="D17" s="57">
        <f>SUM(D5:D16)</f>
        <v>0</v>
      </c>
      <c r="E17" s="2196"/>
      <c r="F17" s="2196"/>
      <c r="G17" s="2196"/>
      <c r="H17" s="2196"/>
      <c r="I17" s="2196"/>
    </row>
    <row r="18" spans="1:35" ht="15.75" thickBot="1">
      <c r="A18" s="2205" t="s">
        <v>1748</v>
      </c>
      <c r="B18" s="2206"/>
      <c r="C18" s="58" t="e">
        <f>ROUND(C17/SUM(C17:D17),2)</f>
        <v>#DIV/0!</v>
      </c>
      <c r="D18" s="58" t="e">
        <f>1-C18</f>
        <v>#DIV/0!</v>
      </c>
      <c r="E18" s="2196"/>
      <c r="F18" s="2196"/>
      <c r="G18" s="2196"/>
      <c r="H18" s="2196"/>
      <c r="I18" s="2196"/>
    </row>
    <row r="19" spans="1:35" ht="15">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5">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t="s">
        <v>1924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75" thickBot="1">
      <c r="A31" s="2960" t="s">
        <v>1926</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1927</v>
      </c>
      <c r="C32" s="1308">
        <f>典型户型修正!R27</f>
        <v>0</v>
      </c>
      <c r="D32" s="2196" t="s">
        <v>1928</v>
      </c>
      <c r="E32" s="2196"/>
      <c r="F32" s="2196"/>
      <c r="G32" s="2196"/>
      <c r="H32" s="2196"/>
      <c r="I32" s="2196"/>
    </row>
    <row r="33" spans="1:16" ht="15">
      <c r="A33" s="2323" t="s">
        <v>1929</v>
      </c>
      <c r="B33" s="2324" t="s">
        <v>1930</v>
      </c>
      <c r="C33" s="1309">
        <f>典型户型修正!B2</f>
        <v>0</v>
      </c>
      <c r="D33" s="2325" t="str">
        <f>IF('数据-取费表'!B3="万元","万元","元")</f>
        <v>万元</v>
      </c>
      <c r="E33" s="2196"/>
      <c r="F33" s="2196"/>
      <c r="G33" s="2196"/>
      <c r="H33" s="2196"/>
      <c r="I33" s="2196"/>
    </row>
    <row r="34" spans="1:16" ht="15.75" thickBot="1">
      <c r="A34" s="2326"/>
      <c r="B34" s="2327" t="s">
        <v>1931</v>
      </c>
      <c r="C34" s="771" t="e">
        <f>典型户型修正!B3</f>
        <v>#DIV/0!</v>
      </c>
      <c r="D34" s="2196" t="s">
        <v>1932</v>
      </c>
      <c r="E34" s="2196"/>
      <c r="F34" s="2196"/>
      <c r="G34" s="2196"/>
      <c r="H34" s="2196"/>
      <c r="I34" s="2196"/>
    </row>
    <row r="35" spans="1:16" ht="15">
      <c r="A35" s="2328"/>
      <c r="B35" s="2329" t="s">
        <v>1933</v>
      </c>
      <c r="C35" s="1316">
        <f>IF('数据-取费表'!B3="万元",典型户型修正!V25,典型户型修正!U25)</f>
        <v>0</v>
      </c>
      <c r="D35" s="2196" t="str">
        <f>D33</f>
        <v>万元</v>
      </c>
      <c r="E35" s="2196"/>
      <c r="F35" s="2196"/>
      <c r="G35" s="2196"/>
      <c r="H35" s="2196"/>
      <c r="I35" s="2196"/>
    </row>
    <row r="36" spans="1:16" ht="15.75" thickBot="1">
      <c r="A36" s="2235"/>
      <c r="B36" s="2330" t="s">
        <v>1934</v>
      </c>
      <c r="C36" s="1317">
        <f>IF('数据-取费表'!B3="万元",典型户型修正!Y25,典型户型修正!X25)</f>
        <v>0</v>
      </c>
      <c r="D36" s="2196" t="str">
        <f>D33</f>
        <v>万元</v>
      </c>
      <c r="E36" s="2196"/>
      <c r="F36" s="2196"/>
      <c r="G36" s="2196"/>
      <c r="H36" s="2196"/>
      <c r="I36" s="2196"/>
    </row>
    <row r="37" spans="1:16" ht="15.75" thickBot="1">
      <c r="A37" s="2886" t="s">
        <v>1935</v>
      </c>
      <c r="B37" s="2238" t="s">
        <v>1936</v>
      </c>
      <c r="C37" s="69"/>
      <c r="D37" s="2239"/>
      <c r="E37" s="2240"/>
      <c r="F37" s="2240"/>
      <c r="G37" s="2196"/>
      <c r="H37" s="2196"/>
      <c r="I37" s="2196"/>
    </row>
    <row r="38" spans="1:16" ht="15.75" thickBot="1">
      <c r="A38" s="2887"/>
      <c r="B38" s="2241" t="s">
        <v>1937</v>
      </c>
      <c r="C38" s="71"/>
      <c r="D38" s="2206"/>
      <c r="E38" s="2206"/>
      <c r="F38" s="2240"/>
      <c r="G38" s="2206"/>
      <c r="H38" s="2206"/>
      <c r="I38" s="2206"/>
    </row>
    <row r="39" spans="1:16" ht="15.75" thickBot="1">
      <c r="A39" s="2888"/>
      <c r="B39" s="2242" t="s">
        <v>1938</v>
      </c>
      <c r="C39" s="712"/>
      <c r="D39" s="2243" t="s">
        <v>1939</v>
      </c>
      <c r="E39" s="2206"/>
      <c r="F39" s="2240"/>
      <c r="G39" s="2206"/>
      <c r="H39" s="2206"/>
      <c r="I39" s="2206"/>
    </row>
    <row r="40" spans="1:16" ht="15">
      <c r="A40" s="2210" t="s">
        <v>1940</v>
      </c>
      <c r="B40" s="2244" t="s">
        <v>1941</v>
      </c>
      <c r="C40" s="2245" t="s">
        <v>1942</v>
      </c>
      <c r="D40" s="2245" t="s">
        <v>1943</v>
      </c>
      <c r="E40" s="2246" t="s">
        <v>1944</v>
      </c>
      <c r="F40" s="2240"/>
      <c r="G40" s="2206"/>
      <c r="H40" s="2206"/>
      <c r="I40" s="2206"/>
    </row>
    <row r="41" spans="1:16" ht="14.25">
      <c r="A41" s="2247" t="s">
        <v>1945</v>
      </c>
      <c r="B41" s="74"/>
      <c r="C41" s="75"/>
      <c r="D41" s="75"/>
      <c r="E41" s="76"/>
      <c r="F41" s="2240"/>
      <c r="G41" s="2206"/>
      <c r="H41" s="2206"/>
      <c r="I41" s="2206"/>
    </row>
    <row r="42" spans="1:16" ht="14.25">
      <c r="A42" s="2247" t="s">
        <v>1946</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892" t="s">
        <v>1948</v>
      </c>
      <c r="B46" s="2893"/>
      <c r="C46" s="2894"/>
      <c r="D46" s="80">
        <f>ROUND(I103*F46,0)</f>
        <v>0</v>
      </c>
      <c r="E46" s="81" t="s">
        <v>1949</v>
      </c>
      <c r="F46" s="82">
        <v>1</v>
      </c>
      <c r="G46" s="83" t="s">
        <v>1950</v>
      </c>
      <c r="H46" s="2196"/>
      <c r="I46" s="2196"/>
      <c r="J46" s="2954" t="s">
        <v>1782</v>
      </c>
      <c r="K46" s="2954"/>
      <c r="L46" s="2954"/>
      <c r="M46" s="2954"/>
      <c r="N46" s="2954"/>
      <c r="O46" s="2954"/>
      <c r="P46" s="1845"/>
    </row>
    <row r="47" spans="1:16" ht="14.25" customHeight="1">
      <c r="A47" s="2877" t="s">
        <v>1783</v>
      </c>
      <c r="B47" s="2878"/>
      <c r="C47" s="2878"/>
      <c r="D47" s="2878"/>
      <c r="E47" s="2878"/>
      <c r="F47" s="2878"/>
      <c r="G47" s="2879"/>
      <c r="H47" s="2258"/>
      <c r="I47" s="1144"/>
      <c r="J47" s="1883">
        <v>1</v>
      </c>
      <c r="K47" s="2954" t="s">
        <v>1784</v>
      </c>
      <c r="L47" s="2954"/>
      <c r="M47" s="2970"/>
      <c r="N47" s="2970"/>
      <c r="O47" s="2970"/>
      <c r="P47" s="1845"/>
    </row>
    <row r="48" spans="1:16" ht="12" customHeight="1">
      <c r="A48" s="85" t="s">
        <v>1785</v>
      </c>
      <c r="B48" s="86"/>
      <c r="C48" s="87"/>
      <c r="D48" s="88" t="s">
        <v>1786</v>
      </c>
      <c r="E48" s="14" t="s">
        <v>1787</v>
      </c>
      <c r="F48" s="89" t="s">
        <v>1788</v>
      </c>
      <c r="G48" s="90" t="s">
        <v>1789</v>
      </c>
      <c r="H48" s="2258"/>
      <c r="I48" s="1144"/>
      <c r="J48" s="1883">
        <v>2</v>
      </c>
      <c r="K48" s="2954" t="s">
        <v>1790</v>
      </c>
      <c r="L48" s="2954"/>
      <c r="M48" s="2956">
        <f>'数据-取费表'!B2</f>
        <v>43272</v>
      </c>
      <c r="N48" s="2956"/>
      <c r="O48" s="2956"/>
      <c r="P48" s="1845"/>
    </row>
    <row r="49" spans="1:16" ht="25.5">
      <c r="A49" s="2889" t="s">
        <v>1791</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954" t="s">
        <v>1794</v>
      </c>
      <c r="L49" s="2954"/>
      <c r="M49" s="2955">
        <f>I103</f>
        <v>0</v>
      </c>
      <c r="N49" s="2955"/>
      <c r="O49" s="2955"/>
      <c r="P49" s="1845"/>
    </row>
    <row r="50" spans="1:16" ht="25.5" customHeight="1">
      <c r="A50" s="92" t="s">
        <v>1795</v>
      </c>
      <c r="B50" s="2882" t="s">
        <v>1796</v>
      </c>
      <c r="C50" s="2882"/>
      <c r="D50" s="93">
        <v>0</v>
      </c>
      <c r="E50" s="13" t="s">
        <v>1797</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1798</v>
      </c>
      <c r="C51" s="2882"/>
      <c r="D51" s="95"/>
      <c r="E51" s="21"/>
      <c r="F51" s="96"/>
      <c r="G51" s="2948"/>
      <c r="H51" s="2196"/>
      <c r="I51" s="2261"/>
      <c r="J51" s="2954" t="s">
        <v>1799</v>
      </c>
      <c r="K51" s="2954"/>
      <c r="L51" s="2954"/>
      <c r="M51" s="2954"/>
      <c r="N51" s="2954"/>
      <c r="O51" s="2954"/>
      <c r="P51" s="1845"/>
    </row>
    <row r="52" spans="1:16" ht="12" customHeight="1">
      <c r="A52" s="97"/>
      <c r="B52" s="2882" t="s">
        <v>1800</v>
      </c>
      <c r="C52" s="2882"/>
      <c r="D52" s="98"/>
      <c r="E52" s="20"/>
      <c r="F52" s="96"/>
      <c r="G52" s="2949"/>
      <c r="H52" s="2196"/>
      <c r="I52" s="2261"/>
      <c r="J52" s="2262" t="s">
        <v>1801</v>
      </c>
      <c r="K52" s="2954" t="s">
        <v>1802</v>
      </c>
      <c r="L52" s="2954"/>
      <c r="M52" s="2262" t="s">
        <v>1803</v>
      </c>
      <c r="N52" s="2262" t="s">
        <v>1804</v>
      </c>
      <c r="O52" s="2262" t="s">
        <v>1805</v>
      </c>
      <c r="P52" s="1845"/>
    </row>
    <row r="53" spans="1:16" ht="24" customHeight="1">
      <c r="A53" s="99" t="s">
        <v>1806</v>
      </c>
      <c r="B53" s="2882" t="s">
        <v>1807</v>
      </c>
      <c r="C53" s="2882"/>
      <c r="D53" s="98">
        <f>ROUND(D46*'数据-取费表'!E29/(1+'数据-取费表'!F30),0)</f>
        <v>0</v>
      </c>
      <c r="E53" s="10" t="s">
        <v>1808</v>
      </c>
      <c r="F53" s="100">
        <f>'数据-取费表'!E29</f>
        <v>5.5000000000000007E-2</v>
      </c>
      <c r="G53" s="2263"/>
      <c r="H53" s="2196"/>
      <c r="I53" s="2261"/>
      <c r="J53" s="1883">
        <v>1</v>
      </c>
      <c r="K53" s="2914" t="s">
        <v>1809</v>
      </c>
      <c r="L53" s="2914"/>
      <c r="M53" s="778">
        <f>D49</f>
        <v>0</v>
      </c>
      <c r="N53" s="1883" t="str">
        <f>E49</f>
        <v>销售额×税（费）率</v>
      </c>
      <c r="O53" s="779">
        <f>F49</f>
        <v>5.5000000000000007E-2</v>
      </c>
      <c r="P53" s="1845"/>
    </row>
    <row r="54" spans="1:16" ht="12" customHeight="1">
      <c r="A54" s="99" t="s">
        <v>1810</v>
      </c>
      <c r="B54" s="2883" t="s">
        <v>1811</v>
      </c>
      <c r="C54" s="2813"/>
      <c r="D54" s="98">
        <f>ROUND(D46*'数据-取费表'!E29/(1+'数据-取费表'!F30),0)</f>
        <v>0</v>
      </c>
      <c r="E54" s="10" t="s">
        <v>1808</v>
      </c>
      <c r="F54" s="100">
        <f>'数据-取费表'!E29</f>
        <v>5.5000000000000007E-2</v>
      </c>
      <c r="G54" s="2263"/>
      <c r="H54" s="2196"/>
      <c r="I54" s="2261"/>
      <c r="J54" s="1883">
        <v>2</v>
      </c>
      <c r="K54" s="2914" t="s">
        <v>1812</v>
      </c>
      <c r="L54" s="2914"/>
      <c r="M54" s="778">
        <f t="shared" ref="M54:O55" si="1">D56</f>
        <v>0</v>
      </c>
      <c r="N54" s="1883" t="str">
        <f t="shared" si="1"/>
        <v>销售额×税（费）率</v>
      </c>
      <c r="O54" s="779">
        <f t="shared" si="1"/>
        <v>5.0000000000000001E-4</v>
      </c>
      <c r="P54" s="1845"/>
    </row>
    <row r="55" spans="1:16" ht="12" customHeight="1">
      <c r="A55" s="99" t="s">
        <v>1813</v>
      </c>
      <c r="B55" s="2883" t="s">
        <v>1814</v>
      </c>
      <c r="C55" s="2813"/>
      <c r="D55" s="98">
        <f>C69</f>
        <v>0</v>
      </c>
      <c r="E55" s="20" t="s">
        <v>1815</v>
      </c>
      <c r="F55" s="100">
        <f>'数据-取费表'!E29</f>
        <v>5.5000000000000007E-2</v>
      </c>
      <c r="G55" s="2263"/>
      <c r="H55" s="2264"/>
      <c r="I55" s="2261"/>
      <c r="J55" s="1883">
        <v>3</v>
      </c>
      <c r="K55" s="2914" t="s">
        <v>1816</v>
      </c>
      <c r="L55" s="2914"/>
      <c r="M55" s="778">
        <f t="shared" si="1"/>
        <v>0</v>
      </c>
      <c r="N55" s="1883" t="str">
        <f t="shared" si="1"/>
        <v>增值额×税（费）率</v>
      </c>
      <c r="O55" s="780" t="str">
        <f t="shared" si="1"/>
        <v>——</v>
      </c>
      <c r="P55" s="1845"/>
    </row>
    <row r="56" spans="1:16" ht="24" customHeight="1">
      <c r="A56" s="2805" t="s">
        <v>1817</v>
      </c>
      <c r="B56" s="2890"/>
      <c r="C56" s="2890"/>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1820</v>
      </c>
      <c r="B57" s="2890"/>
      <c r="C57" s="2890"/>
      <c r="D57" s="101">
        <f>IF(H57="个人住宅",D58,D59)</f>
        <v>0</v>
      </c>
      <c r="E57" s="10" t="s">
        <v>1821</v>
      </c>
      <c r="F57" s="100" t="str">
        <f>IF(H57="正常",F59,"免征")</f>
        <v>——</v>
      </c>
      <c r="G57" s="2265" t="s">
        <v>1822</v>
      </c>
      <c r="H57" s="2266" t="s">
        <v>1819</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1795</v>
      </c>
      <c r="B58" s="2880" t="s">
        <v>1823</v>
      </c>
      <c r="C58" s="2891"/>
      <c r="D58" s="103">
        <v>0</v>
      </c>
      <c r="E58" s="13" t="s">
        <v>1797</v>
      </c>
      <c r="F58" s="70"/>
      <c r="G58" s="2263"/>
      <c r="H58" s="1022"/>
      <c r="I58" s="1022"/>
      <c r="J58" s="2914">
        <f>IF(AND(J56="",J57=""),4,IF(项目基本情况!I6="上海银行",J57+1,J56+1))</f>
        <v>4</v>
      </c>
      <c r="K58" s="2914" t="s">
        <v>1824</v>
      </c>
      <c r="L58" s="2267" t="s">
        <v>1825</v>
      </c>
      <c r="M58" s="783"/>
      <c r="N58" s="784">
        <f>SUMIF(M53:M57,"&lt;9e307")</f>
        <v>0</v>
      </c>
      <c r="O58" s="2268"/>
      <c r="P58" s="1841" t="e">
        <f>N58/M50</f>
        <v>#DIV/0!</v>
      </c>
    </row>
    <row r="59" spans="1:16" ht="24.75">
      <c r="A59" s="99" t="s">
        <v>1806</v>
      </c>
      <c r="B59" s="2880" t="s">
        <v>1826</v>
      </c>
      <c r="C59" s="2881"/>
      <c r="D59" s="101">
        <f>IF(H59="转让取得",C82,C98)</f>
        <v>0</v>
      </c>
      <c r="E59" s="10" t="s">
        <v>1821</v>
      </c>
      <c r="F59" s="14" t="s">
        <v>48</v>
      </c>
      <c r="G59" s="2263"/>
      <c r="H59" s="2266" t="s">
        <v>1827</v>
      </c>
      <c r="I59" s="1022"/>
      <c r="J59" s="2914"/>
      <c r="K59" s="2914"/>
      <c r="L59" s="2267" t="s">
        <v>1828</v>
      </c>
      <c r="M59" s="785"/>
      <c r="N59" s="2269" t="str">
        <f>IF(H19="元",NUMBERSTRING(INT(N58),2)&amp;"元整",NUMBERSTRING(INT(N58*10000),2)&amp;"元整")</f>
        <v>零元整</v>
      </c>
      <c r="O59" s="2270"/>
      <c r="P59" s="1845"/>
    </row>
    <row r="60" spans="1:16" ht="24.75" thickBot="1">
      <c r="A60" s="2806" t="s">
        <v>1829</v>
      </c>
      <c r="B60" s="2809"/>
      <c r="C60" s="2809"/>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912">
        <f>J58+1</f>
        <v>5</v>
      </c>
      <c r="K60" s="2914" t="s">
        <v>1831</v>
      </c>
      <c r="L60" s="1883" t="s">
        <v>1825</v>
      </c>
      <c r="M60" s="786"/>
      <c r="N60" s="787">
        <f>M50-N58</f>
        <v>0</v>
      </c>
      <c r="O60" s="2272"/>
      <c r="P60" s="1845"/>
    </row>
    <row r="61" spans="1:16" ht="12" customHeight="1">
      <c r="A61" s="2067"/>
      <c r="B61" s="2196"/>
      <c r="C61" s="2196"/>
      <c r="D61" s="2196"/>
      <c r="E61" s="1022"/>
      <c r="F61" s="1022"/>
      <c r="G61" s="1022"/>
      <c r="H61" s="2249"/>
      <c r="I61" s="2196"/>
      <c r="J61" s="2913"/>
      <c r="K61" s="2914"/>
      <c r="L61" s="2267" t="s">
        <v>1828</v>
      </c>
      <c r="M61" s="785"/>
      <c r="N61" s="2269" t="str">
        <f>IF(H19="元",NUMBERSTRING(INT(N60),2)&amp;"元整",NUMBERSTRING(INT(N60*10000),2)&amp;"元整")</f>
        <v>零元整</v>
      </c>
      <c r="O61" s="2270"/>
      <c r="P61" s="1845"/>
    </row>
    <row r="62" spans="1:16" ht="13.5" thickBot="1">
      <c r="A62" s="2895" t="s">
        <v>1832</v>
      </c>
      <c r="B62" s="2895"/>
      <c r="C62" s="2895"/>
      <c r="D62" s="2895"/>
      <c r="E62" s="2895"/>
      <c r="F62" s="1022"/>
      <c r="G62" s="1022"/>
      <c r="H62" s="2249"/>
      <c r="I62" s="2196"/>
      <c r="J62" s="1883">
        <f>J60+1</f>
        <v>6</v>
      </c>
      <c r="K62" s="2914" t="s">
        <v>1833</v>
      </c>
      <c r="L62" s="2914"/>
      <c r="M62" s="788"/>
      <c r="N62" s="789">
        <f>IF(H19="元",ROUND(N60/项目基本情况!C12,0),ROUND(N60*10000/项目基本情况!C12,0))</f>
        <v>0</v>
      </c>
      <c r="O62" s="2273"/>
      <c r="P62" s="1845"/>
    </row>
    <row r="63" spans="1:16" ht="12.75">
      <c r="A63" s="2902" t="s">
        <v>1834</v>
      </c>
      <c r="B63" s="2903"/>
      <c r="C63" s="1885"/>
      <c r="D63" s="1885" t="s">
        <v>1835</v>
      </c>
      <c r="E63" s="108" t="s">
        <v>1836</v>
      </c>
      <c r="F63" s="1022"/>
      <c r="G63" s="1022"/>
      <c r="H63" s="2249"/>
      <c r="I63" s="2196"/>
      <c r="J63" s="1845"/>
      <c r="K63" s="1845"/>
      <c r="L63" s="1845"/>
      <c r="M63" s="1845"/>
      <c r="N63" s="1845"/>
      <c r="O63" s="1845"/>
      <c r="P63" s="1845"/>
    </row>
    <row r="64" spans="1:16" ht="12.75">
      <c r="A64" s="109">
        <v>1</v>
      </c>
      <c r="B64" s="110" t="s">
        <v>1837</v>
      </c>
      <c r="C64" s="111">
        <f>ROUND((C65+C66)/(1+'数据-取费表'!F30),0)</f>
        <v>0</v>
      </c>
      <c r="D64" s="112"/>
      <c r="E64" s="113"/>
      <c r="F64" s="1022"/>
      <c r="G64" s="1022"/>
      <c r="H64" s="2249"/>
      <c r="I64" s="2196"/>
      <c r="J64" s="2934" t="s">
        <v>1838</v>
      </c>
      <c r="K64" s="2274" t="s">
        <v>1839</v>
      </c>
      <c r="L64" s="1844">
        <f>IF(M50&gt;10000,M50*0.5%,IF(AND(M50&gt;1000,M50&lt;=10000),M50*1%,IF(AND(M50&gt;100,M50&lt;=1000),M50*3%,IF(AND(M50&gt;10,M50&lt;=100),M50*5%,M50*8%))))</f>
        <v>0</v>
      </c>
      <c r="M64" s="14">
        <f>ROUND(L64,1)</f>
        <v>0</v>
      </c>
      <c r="N64" s="1845"/>
      <c r="O64" s="1845"/>
      <c r="P64" s="1845"/>
    </row>
    <row r="65" spans="1:35" ht="12.75">
      <c r="A65" s="114" t="s">
        <v>71</v>
      </c>
      <c r="B65" s="115" t="s">
        <v>1840</v>
      </c>
      <c r="C65" s="116">
        <f>D46</f>
        <v>0</v>
      </c>
      <c r="D65" s="117" t="s">
        <v>41</v>
      </c>
      <c r="E65" s="118"/>
      <c r="F65" s="1022"/>
      <c r="G65" s="1022"/>
      <c r="H65" s="2249"/>
      <c r="I65" s="2196"/>
      <c r="J65" s="2934"/>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2.75">
      <c r="A66" s="114" t="s">
        <v>72</v>
      </c>
      <c r="B66" s="115" t="s">
        <v>1843</v>
      </c>
      <c r="C66" s="119"/>
      <c r="D66" s="117"/>
      <c r="E66" s="118"/>
      <c r="F66" s="1022"/>
      <c r="G66" s="1022"/>
      <c r="H66" s="2249"/>
      <c r="I66" s="2196"/>
      <c r="J66" s="2934"/>
      <c r="K66" s="2274" t="s">
        <v>1844</v>
      </c>
      <c r="L66" s="1844" t="b">
        <f>IF(M50&gt;1000,M50*0.1%,IF(AND(M50&gt;500,M50&lt;=1000),M50*0.5%,IF(AND(M50&gt;50,M50&lt;=500),M50*1%,IF(AND(M50&gt;1,M50&lt;=50),M50*1.5%))))</f>
        <v>0</v>
      </c>
      <c r="M66" s="14">
        <f t="shared" si="2"/>
        <v>0</v>
      </c>
      <c r="N66" s="1845" t="s">
        <v>1842</v>
      </c>
      <c r="O66" s="1845"/>
      <c r="P66" s="1845"/>
    </row>
    <row r="67" spans="1:35" ht="12.75">
      <c r="A67" s="120" t="s">
        <v>47</v>
      </c>
      <c r="B67" s="121" t="s">
        <v>1845</v>
      </c>
      <c r="C67" s="122"/>
      <c r="D67" s="123" t="s">
        <v>41</v>
      </c>
      <c r="E67" s="1861" t="s">
        <v>1846</v>
      </c>
      <c r="F67" s="1022"/>
      <c r="G67" s="1022"/>
      <c r="H67" s="2249"/>
      <c r="I67" s="2196"/>
      <c r="J67" s="2934"/>
      <c r="K67" s="2274" t="s">
        <v>1847</v>
      </c>
      <c r="L67" s="1844">
        <f>M50*0.5%</f>
        <v>0</v>
      </c>
      <c r="M67" s="14">
        <f>IF(L67&gt;0.5,0.5,ROUND(L67,0))</f>
        <v>0</v>
      </c>
      <c r="N67" s="1845" t="s">
        <v>1848</v>
      </c>
      <c r="O67" s="1845"/>
      <c r="P67" s="1845"/>
    </row>
    <row r="68" spans="1:35" ht="12.75">
      <c r="A68" s="120" t="s">
        <v>42</v>
      </c>
      <c r="B68" s="121" t="s">
        <v>1849</v>
      </c>
      <c r="C68" s="124">
        <f>C64-C67</f>
        <v>0</v>
      </c>
      <c r="D68" s="117" t="s">
        <v>41</v>
      </c>
      <c r="E68" s="118"/>
      <c r="F68" s="1022"/>
      <c r="G68" s="1022"/>
      <c r="H68" s="2249"/>
      <c r="I68" s="2196"/>
      <c r="J68" s="2934"/>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1851</v>
      </c>
      <c r="C69" s="127">
        <f>IF(C68&lt;=0,0,ROUND(C68*D69,0))</f>
        <v>0</v>
      </c>
      <c r="D69" s="128">
        <f>'数据-取费表'!E29</f>
        <v>5.5000000000000007E-2</v>
      </c>
      <c r="E69" s="129"/>
      <c r="F69" s="1022"/>
      <c r="G69" s="1022"/>
      <c r="H69" s="2249"/>
      <c r="I69" s="2196"/>
      <c r="J69" s="2934"/>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1854</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1834</v>
      </c>
      <c r="B72" s="290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883" t="s">
        <v>1864</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74" t="s">
        <v>1869</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1873</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1834</v>
      </c>
      <c r="B85" s="290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74" t="s">
        <v>1881</v>
      </c>
      <c r="F92" s="2875"/>
      <c r="G92" s="2875"/>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74" t="s">
        <v>1884</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74" t="s">
        <v>1869</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74" t="s">
        <v>1886</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75">
      <c r="A100" s="2929" t="s">
        <v>1888</v>
      </c>
      <c r="B100" s="2930"/>
      <c r="C100" s="2930"/>
      <c r="D100" s="2931"/>
      <c r="E100" s="2196"/>
      <c r="F100" s="2940" t="s">
        <v>1889</v>
      </c>
      <c r="G100" s="2941"/>
      <c r="H100" s="2941"/>
      <c r="I100" s="2942"/>
    </row>
    <row r="101" spans="1:35" ht="15.75">
      <c r="A101" s="2943" t="s">
        <v>1890</v>
      </c>
      <c r="B101" s="2944"/>
      <c r="C101" s="720">
        <f>C4</f>
        <v>0</v>
      </c>
      <c r="D101" s="721">
        <f>D4</f>
        <v>0</v>
      </c>
      <c r="E101" s="2196"/>
      <c r="F101" s="2839" t="s">
        <v>1891</v>
      </c>
      <c r="G101" s="2840"/>
      <c r="H101" s="2965" t="s">
        <v>1892</v>
      </c>
      <c r="I101" s="2838"/>
    </row>
    <row r="102" spans="1:35" ht="15.75">
      <c r="A102" s="2966" t="s">
        <v>1952</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1894</v>
      </c>
      <c r="C103" s="722" t="e">
        <f ca="1">C20</f>
        <v>#REF!</v>
      </c>
      <c r="D103" s="723" t="e">
        <f ca="1">D20</f>
        <v>#REF!</v>
      </c>
      <c r="E103" s="2196"/>
      <c r="F103" s="2866" t="s">
        <v>1895</v>
      </c>
      <c r="G103" s="2867"/>
      <c r="H103" s="2292" t="str">
        <f>C109</f>
        <v>总价（万元）</v>
      </c>
      <c r="I103" s="1862">
        <f>H124</f>
        <v>0</v>
      </c>
    </row>
    <row r="104" spans="1:35" ht="15">
      <c r="A104" s="2966" t="s">
        <v>1953</v>
      </c>
      <c r="B104" s="2293" t="str">
        <f>B102</f>
        <v>总价（万元）</v>
      </c>
      <c r="C104" s="1190" t="e">
        <f ca="1">ROUND(IF('数据-取费表'!B4="总价",G19,IF(H19="元",G20*'数据-取费表'!E5,G20*'数据-取费表'!E5/10000)),0)</f>
        <v>#REF!</v>
      </c>
      <c r="D104" s="725"/>
      <c r="E104" s="2196"/>
      <c r="F104" s="2866"/>
      <c r="G104" s="2867"/>
      <c r="H104" s="2292" t="s">
        <v>1894</v>
      </c>
      <c r="I104" s="1050" t="e">
        <f>I124</f>
        <v>#DIV/0!</v>
      </c>
    </row>
    <row r="105" spans="1:35" ht="15.75">
      <c r="A105" s="2966"/>
      <c r="B105" s="2291" t="s">
        <v>1894</v>
      </c>
      <c r="C105" s="1191" t="e">
        <f ca="1">ROUND(IF('数据-取费表'!B4="楼面单价",G20,IF(H19="元",G19/'数据-取费表'!E5,G19*10000/'数据-取费表'!E5)),0)</f>
        <v>#REF!</v>
      </c>
      <c r="D105" s="725"/>
      <c r="E105" s="2196"/>
      <c r="F105" s="2938"/>
      <c r="G105" s="2939"/>
      <c r="H105" s="2923"/>
      <c r="I105" s="2924"/>
    </row>
    <row r="106" spans="1:35" ht="15.75">
      <c r="A106" s="2959" t="s">
        <v>1954</v>
      </c>
      <c r="B106" s="2331" t="str">
        <f>B102</f>
        <v>总价（万元）</v>
      </c>
      <c r="C106" s="724">
        <f>H124</f>
        <v>0</v>
      </c>
      <c r="D106" s="1189"/>
      <c r="E106" s="2196"/>
      <c r="F106" s="2927" t="s">
        <v>1898</v>
      </c>
      <c r="G106" s="2928"/>
      <c r="H106" s="2295" t="str">
        <f>C111</f>
        <v>总额（万元）</v>
      </c>
      <c r="I106" s="1862">
        <f>SUMIF(I107:I109,"&lt;9E307")</f>
        <v>0</v>
      </c>
    </row>
    <row r="107" spans="1:35" ht="15.75" thickBot="1">
      <c r="A107" s="2922"/>
      <c r="B107" s="2294" t="s">
        <v>1894</v>
      </c>
      <c r="C107" s="726" t="e">
        <f>I124</f>
        <v>#DIV/0!</v>
      </c>
      <c r="D107" s="727"/>
      <c r="E107" s="2196"/>
      <c r="F107" s="2855" t="s">
        <v>1900</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1897</v>
      </c>
      <c r="B108" s="2963"/>
      <c r="C108" s="2963"/>
      <c r="D108" s="2964"/>
      <c r="E108" s="2196"/>
      <c r="F108" s="2855" t="s">
        <v>1901</v>
      </c>
      <c r="G108" s="2856"/>
      <c r="H108" s="2295" t="str">
        <f>C113</f>
        <v>总额（万元）</v>
      </c>
      <c r="I108" s="1050">
        <f>C38</f>
        <v>0</v>
      </c>
      <c r="K108" s="2296"/>
    </row>
    <row r="109" spans="1:35" ht="15">
      <c r="A109" s="2853" t="s">
        <v>1955</v>
      </c>
      <c r="B109" s="2854"/>
      <c r="C109" s="2292" t="str">
        <f>B102</f>
        <v>总价（万元）</v>
      </c>
      <c r="D109" s="1051">
        <f>H124</f>
        <v>0</v>
      </c>
      <c r="E109" s="2196"/>
      <c r="F109" s="2855" t="s">
        <v>1903</v>
      </c>
      <c r="G109" s="2856"/>
      <c r="H109" s="2295" t="str">
        <f>C114</f>
        <v>总额（万元）</v>
      </c>
      <c r="I109" s="1050">
        <f>C39</f>
        <v>0</v>
      </c>
    </row>
    <row r="110" spans="1:35" ht="15.75">
      <c r="A110" s="2853"/>
      <c r="B110" s="2854"/>
      <c r="C110" s="2292" t="s">
        <v>1894</v>
      </c>
      <c r="D110" s="1052" t="e">
        <f>I124</f>
        <v>#DIV/0!</v>
      </c>
      <c r="E110" s="2196"/>
      <c r="F110" s="2938"/>
      <c r="G110" s="2939"/>
      <c r="H110" s="2925"/>
      <c r="I110" s="2926"/>
    </row>
    <row r="111" spans="1:35" ht="28.5" customHeight="1">
      <c r="A111" s="2860" t="s">
        <v>1902</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1900</v>
      </c>
      <c r="B112" s="2856"/>
      <c r="C112" s="2295" t="str">
        <f>C111</f>
        <v>总额（万元）</v>
      </c>
      <c r="D112" s="637">
        <f>IF(D37="同一抵押权人同一抵押物续贷",C37&amp;"（未扣减，详见特别提示）",C37)</f>
        <v>0</v>
      </c>
      <c r="E112" s="2196"/>
      <c r="F112" s="2957"/>
      <c r="G112" s="2958"/>
      <c r="H112" s="2292" t="s">
        <v>1894</v>
      </c>
      <c r="I112" s="2298" t="e">
        <f>D116</f>
        <v>#DIV/0!</v>
      </c>
    </row>
    <row r="113" spans="1:26" ht="15.75">
      <c r="A113" s="2855" t="s">
        <v>1901</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1903</v>
      </c>
      <c r="B114" s="2856"/>
      <c r="C114" s="2295" t="str">
        <f>C111</f>
        <v>总额（万元）</v>
      </c>
      <c r="D114" s="637">
        <f>C39</f>
        <v>0</v>
      </c>
      <c r="E114" s="2196"/>
      <c r="F114" s="2957"/>
      <c r="G114" s="2958"/>
      <c r="H114" s="2292" t="s">
        <v>1894</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1956</v>
      </c>
      <c r="D116" s="1052" t="e">
        <f>ROUND(IF(D115=D109,D110,IF(H19="元",D115/B124,D115*10000/B124)),0)</f>
        <v>#DIV/0!</v>
      </c>
      <c r="E116" s="2196"/>
      <c r="F116" s="2843"/>
      <c r="G116" s="2844"/>
      <c r="H116" s="2300" t="s">
        <v>1956</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1956</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1957</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1905</v>
      </c>
      <c r="B122" s="2864" t="s">
        <v>1958</v>
      </c>
      <c r="C122" s="2864" t="s">
        <v>1959</v>
      </c>
      <c r="D122" s="2936" t="s">
        <v>1908</v>
      </c>
      <c r="E122" s="2937"/>
      <c r="F122" s="2835" t="s">
        <v>1960</v>
      </c>
      <c r="G122" s="2835"/>
      <c r="H122" s="2835" t="s">
        <v>1909</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1913</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1913</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1913</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1913</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1913</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1961</v>
      </c>
      <c r="B1" s="1321"/>
      <c r="C1" s="162"/>
      <c r="D1" s="162"/>
      <c r="E1" s="162"/>
      <c r="F1" s="162"/>
      <c r="G1" s="163"/>
    </row>
    <row r="2" spans="1:7" s="164" customFormat="1" ht="18" customHeight="1">
      <c r="A2" s="165" t="s">
        <v>1962</v>
      </c>
      <c r="B2" s="166">
        <f ca="1">IF(D2="——",IF(C2="元",C52,ROUND(C52/10000,0)),IF(C2="元",C52,ROUND(C52/10000,0))-E2)</f>
        <v>209</v>
      </c>
      <c r="C2" s="163" t="str">
        <f>'数据-取费表'!B3</f>
        <v>万元</v>
      </c>
      <c r="D2" s="2334" t="s">
        <v>1254</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16758</v>
      </c>
      <c r="C3" s="163" t="s">
        <v>1964</v>
      </c>
      <c r="D3" s="163"/>
      <c r="E3" s="163"/>
      <c r="F3" s="163"/>
      <c r="G3" s="163"/>
    </row>
    <row r="4" spans="1:7" s="172" customFormat="1" ht="15.75">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1978</v>
      </c>
      <c r="C10" s="1537">
        <f>ROUND(D10*E10,0)</f>
        <v>24906</v>
      </c>
      <c r="D10" s="1538">
        <f>IF('数据-取费表'!B10&lt;&gt;"住宅",IF(B1="仅计算典型户型",'数据-取费表'!E5,'数据-取费表'!B5),0)</f>
        <v>124.53</v>
      </c>
      <c r="E10" s="1537">
        <f>'数据-取费表'!E12</f>
        <v>200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24906</v>
      </c>
      <c r="D19" s="1541">
        <f>IF(B1="仅计算典型户型",'数据-取费表'!E5,'数据-取费表'!B5)</f>
        <v>124.53</v>
      </c>
      <c r="E19" s="195">
        <f>'数据-取费表'!E15</f>
        <v>200</v>
      </c>
      <c r="F19" s="196"/>
      <c r="G19" s="2336"/>
    </row>
    <row r="20" spans="1:7" s="175" customFormat="1" ht="13.5" customHeight="1">
      <c r="A20" s="204" t="s">
        <v>1990</v>
      </c>
      <c r="B20" s="173" t="s">
        <v>1991</v>
      </c>
      <c r="C20" s="183">
        <f>ROUND((C5+C19)*F20,0)</f>
        <v>21108</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103648</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2422</v>
      </c>
      <c r="D24" s="188"/>
      <c r="E24" s="188"/>
      <c r="F24" s="189"/>
      <c r="G24" s="190" t="s">
        <v>2003</v>
      </c>
    </row>
    <row r="25" spans="1:7" s="175" customFormat="1" ht="24">
      <c r="A25" s="176" t="s">
        <v>1975</v>
      </c>
      <c r="B25" s="177" t="s">
        <v>2004</v>
      </c>
      <c r="C25" s="1455">
        <f ca="1">ROUND(IF('数据-取费表'!B23&lt;=1,C20*F22*'数据-取费表'!B24/2,C20*(POWER((1+F22),'数据-取费表'!B24/2)-1)),0)</f>
        <v>1003</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5.5">
      <c r="A27" s="1305" t="s">
        <v>2008</v>
      </c>
      <c r="B27" s="194" t="s">
        <v>2009</v>
      </c>
      <c r="C27" s="195">
        <f>C28</f>
        <v>269129</v>
      </c>
      <c r="D27" s="185">
        <f>C29</f>
        <v>5.0000000000000001E-3</v>
      </c>
      <c r="E27" s="186" t="s">
        <v>1995</v>
      </c>
      <c r="F27" s="196">
        <f>'数据-取费表'!E28</f>
        <v>0.25</v>
      </c>
      <c r="G27" s="197" t="s">
        <v>2010</v>
      </c>
    </row>
    <row r="28" spans="1:7" s="175" customFormat="1" ht="13.5" customHeight="1">
      <c r="A28" s="176" t="s">
        <v>1999</v>
      </c>
      <c r="B28" s="198" t="s">
        <v>2011</v>
      </c>
      <c r="C28" s="199">
        <f>ROUND((C5+C19+C20)*F27*'数据-取费表'!B22/'数据-取费表'!B21,0)</f>
        <v>269129</v>
      </c>
      <c r="D28" s="185"/>
      <c r="E28" s="186"/>
      <c r="F28" s="196"/>
      <c r="G28" s="197"/>
    </row>
    <row r="29" spans="1:7" s="175" customFormat="1" ht="13.5" customHeight="1">
      <c r="A29" s="176" t="s">
        <v>1973</v>
      </c>
      <c r="B29" s="198" t="s">
        <v>2012</v>
      </c>
      <c r="C29" s="188">
        <f>ROUND(C21*F27*'数据-取费表'!B22/'数据-取费表'!B21,4)</f>
        <v>5.0000000000000001E-3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1572581</v>
      </c>
      <c r="D31" s="1541"/>
      <c r="E31" s="195"/>
      <c r="F31" s="1542"/>
      <c r="G31" s="184" t="s">
        <v>2017</v>
      </c>
    </row>
    <row r="32" spans="1:7" s="172" customFormat="1" ht="15.75">
      <c r="A32" s="201" t="s">
        <v>2018</v>
      </c>
      <c r="B32" s="202"/>
      <c r="C32" s="1543"/>
      <c r="D32" s="1543"/>
      <c r="E32" s="1543"/>
      <c r="F32" s="1543"/>
      <c r="G32" s="203"/>
    </row>
    <row r="33" spans="1:7" s="175" customFormat="1" ht="13.5" customHeight="1">
      <c r="A33" s="204" t="s">
        <v>2019</v>
      </c>
      <c r="B33" s="173" t="s">
        <v>2020</v>
      </c>
      <c r="C33" s="205">
        <f>SUM(C34:C38)</f>
        <v>389281</v>
      </c>
      <c r="D33" s="183"/>
      <c r="E33" s="1532"/>
      <c r="F33" s="191"/>
      <c r="G33" s="184"/>
    </row>
    <row r="34" spans="1:7" s="206" customFormat="1" ht="13.5" customHeight="1">
      <c r="A34" s="176" t="s">
        <v>1999</v>
      </c>
      <c r="B34" s="177" t="s">
        <v>2021</v>
      </c>
      <c r="C34" s="199">
        <f>IF(B1="仅计算典型户型",'数据-取费表'!F18,'数据-取费表'!E18)</f>
        <v>348684</v>
      </c>
      <c r="D34" s="1533"/>
      <c r="E34" s="199"/>
      <c r="F34" s="1544" t="str">
        <f>IF('数据-取费表'!B25=0,"",'数据-取费表'!E20)</f>
        <v/>
      </c>
      <c r="G34" s="179"/>
    </row>
    <row r="35" spans="1:7" ht="13.5" customHeight="1">
      <c r="A35" s="176" t="s">
        <v>1973</v>
      </c>
      <c r="B35" s="177" t="s">
        <v>2022</v>
      </c>
      <c r="C35" s="199">
        <f>ROUND(C34*F35,0)</f>
        <v>10461</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24906</v>
      </c>
      <c r="D37" s="1533">
        <f>IF(B1="仅计算典型户型",'数据-取费表'!E5,'数据-取费表'!B5)</f>
        <v>124.53</v>
      </c>
      <c r="E37" s="199">
        <f>'数据-取费表'!E23</f>
        <v>200</v>
      </c>
      <c r="F37" s="1545"/>
      <c r="G37" s="208" t="s">
        <v>2027</v>
      </c>
    </row>
    <row r="38" spans="1:7" ht="13.5" customHeight="1">
      <c r="A38" s="176" t="s">
        <v>2028</v>
      </c>
      <c r="B38" s="177" t="s">
        <v>2029</v>
      </c>
      <c r="C38" s="199">
        <f>ROUND(C34*F38,0)</f>
        <v>5230</v>
      </c>
      <c r="D38" s="199"/>
      <c r="E38" s="199"/>
      <c r="F38" s="1545">
        <f>'数据-取费表'!E24</f>
        <v>1.4999999999999999E-2</v>
      </c>
      <c r="G38" s="179" t="s">
        <v>2023</v>
      </c>
    </row>
    <row r="39" spans="1:7" s="175" customFormat="1" ht="13.5" customHeight="1">
      <c r="A39" s="204" t="s">
        <v>1988</v>
      </c>
      <c r="B39" s="173" t="s">
        <v>1991</v>
      </c>
      <c r="C39" s="183">
        <f>ROUND(C33*F20,0)</f>
        <v>7786</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18861</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18491</v>
      </c>
      <c r="D42" s="188"/>
      <c r="E42" s="188"/>
      <c r="F42" s="189"/>
      <c r="G42" s="2971" t="s">
        <v>2033</v>
      </c>
    </row>
    <row r="43" spans="1:7" ht="13.5" customHeight="1">
      <c r="A43" s="176" t="s">
        <v>1973</v>
      </c>
      <c r="B43" s="177" t="s">
        <v>2002</v>
      </c>
      <c r="C43" s="188">
        <f ca="1">ROUND(IF('数据-取费表'!B23&lt;=1,C39*F22*'数据-取费表'!B22/2,C39*(POWER((1+F22),'数据-取费表'!B22/2)-1)),0)</f>
        <v>370</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99267</v>
      </c>
      <c r="D45" s="185">
        <f>C47</f>
        <v>5.0000000000000001E-3</v>
      </c>
      <c r="E45" s="186" t="s">
        <v>2031</v>
      </c>
      <c r="F45" s="196"/>
      <c r="G45" s="197" t="s">
        <v>2034</v>
      </c>
    </row>
    <row r="46" spans="1:7" s="175" customFormat="1" ht="13.5" customHeight="1">
      <c r="A46" s="176" t="s">
        <v>1999</v>
      </c>
      <c r="B46" s="198" t="s">
        <v>2035</v>
      </c>
      <c r="C46" s="199">
        <f>ROUND((C33+C39)*F27,0)</f>
        <v>99267</v>
      </c>
      <c r="D46" s="209"/>
      <c r="E46" s="186"/>
      <c r="F46" s="196"/>
      <c r="G46" s="197"/>
    </row>
    <row r="47" spans="1:7" s="175" customFormat="1" ht="13.5" customHeight="1">
      <c r="A47" s="176" t="s">
        <v>1973</v>
      </c>
      <c r="B47" s="198" t="s">
        <v>2036</v>
      </c>
      <c r="C47" s="188">
        <f>ROUND(C40*F27,4)</f>
        <v>5.0000000000000001E-3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559022</v>
      </c>
      <c r="D49" s="183"/>
      <c r="E49" s="183"/>
      <c r="F49" s="210"/>
      <c r="G49" s="184" t="s">
        <v>2041</v>
      </c>
    </row>
    <row r="50" spans="1:7" s="206" customFormat="1" ht="24">
      <c r="A50" s="1305" t="s">
        <v>2042</v>
      </c>
      <c r="B50" s="173" t="s">
        <v>2043</v>
      </c>
      <c r="C50" s="183"/>
      <c r="D50" s="183"/>
      <c r="E50" s="183"/>
      <c r="F50" s="210">
        <f>IF('数据-取费表'!B25=0,'数据-取费表'!E20,1)</f>
        <v>0.92</v>
      </c>
      <c r="G50" s="197" t="s">
        <v>2044</v>
      </c>
    </row>
    <row r="51" spans="1:7" ht="16.5" customHeight="1">
      <c r="A51" s="1305" t="s">
        <v>2045</v>
      </c>
      <c r="B51" s="173" t="s">
        <v>2046</v>
      </c>
      <c r="C51" s="183">
        <f ca="1">ROUND(C49*F50,0)</f>
        <v>514300</v>
      </c>
      <c r="D51" s="183"/>
      <c r="E51" s="183"/>
      <c r="F51" s="210"/>
      <c r="G51" s="184" t="s">
        <v>2047</v>
      </c>
    </row>
    <row r="52" spans="1:7" s="172" customFormat="1" ht="16.5" thickBot="1">
      <c r="A52" s="211" t="s">
        <v>2048</v>
      </c>
      <c r="B52" s="212"/>
      <c r="C52" s="213">
        <f ca="1">C31+C51</f>
        <v>2086881</v>
      </c>
      <c r="D52" s="212"/>
      <c r="E52" s="212"/>
      <c r="F52" s="212"/>
      <c r="G52" s="214"/>
    </row>
    <row r="55" spans="1:7" ht="15">
      <c r="B55" s="216" t="s">
        <v>2049</v>
      </c>
      <c r="C55" s="217"/>
    </row>
    <row r="56" spans="1:7">
      <c r="B56" s="219" t="s">
        <v>2050</v>
      </c>
      <c r="C56" s="220">
        <f ca="1">ROUND(C51/C52,3)</f>
        <v>0.246</v>
      </c>
    </row>
    <row r="57" spans="1:7">
      <c r="B57" s="219" t="s">
        <v>2051</v>
      </c>
      <c r="C57" s="221">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2292</v>
      </c>
      <c r="C1" s="1726" t="s">
        <v>2784</v>
      </c>
      <c r="D1" s="2382"/>
      <c r="E1" s="2383" t="s">
        <v>2791</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394</v>
      </c>
      <c r="C2" s="163" t="str">
        <f>'数据-取费表'!B3</f>
        <v>万元</v>
      </c>
      <c r="D2" s="2385" t="s">
        <v>1254</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124.53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2295</v>
      </c>
      <c r="B4" s="381"/>
      <c r="C4" s="3007" t="s">
        <v>2296</v>
      </c>
      <c r="D4" s="3008"/>
      <c r="E4" s="3009" t="s">
        <v>2297</v>
      </c>
      <c r="F4" s="3010"/>
      <c r="G4" s="3007" t="s">
        <v>2298</v>
      </c>
      <c r="H4" s="3008"/>
      <c r="I4" s="3007" t="s">
        <v>2299</v>
      </c>
      <c r="J4" s="3008"/>
      <c r="K4" s="2396"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2992" t="str">
        <f>项目基本情况!C8</f>
        <v>顺义区裕丰路16号院4号楼1层102</v>
      </c>
      <c r="D5" s="2993"/>
      <c r="E5" s="3018" t="s">
        <v>2303</v>
      </c>
      <c r="F5" s="3019"/>
      <c r="G5" s="2992" t="s">
        <v>2304</v>
      </c>
      <c r="H5" s="2993"/>
      <c r="I5" s="2992" t="s">
        <v>2305</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2397"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2994" t="s">
        <v>2309</v>
      </c>
      <c r="Q7" s="3002"/>
      <c r="R7" s="749" t="s">
        <v>34</v>
      </c>
      <c r="S7" s="750">
        <f t="shared" ref="S7:S15" si="0">F7</f>
        <v>100</v>
      </c>
      <c r="T7" s="749" t="s">
        <v>34</v>
      </c>
      <c r="U7" s="750">
        <f t="shared" ref="U7:U15" si="1">H7</f>
        <v>100</v>
      </c>
      <c r="V7" s="749" t="s">
        <v>34</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2994" t="s">
        <v>2312</v>
      </c>
      <c r="Q8" s="2995"/>
      <c r="R8" s="749" t="s">
        <v>34</v>
      </c>
      <c r="S8" s="750">
        <f t="shared" si="0"/>
        <v>100</v>
      </c>
      <c r="T8" s="749" t="s">
        <v>34</v>
      </c>
      <c r="U8" s="750">
        <f t="shared" si="1"/>
        <v>100</v>
      </c>
      <c r="V8" s="749" t="s">
        <v>34</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2789</v>
      </c>
      <c r="D9" s="51">
        <v>100</v>
      </c>
      <c r="E9" s="397" t="s">
        <v>2777</v>
      </c>
      <c r="F9" s="398">
        <f>SUMIF(63:63,E9,64:64)-SUMIF(63:63,C9,64:64)+100</f>
        <v>100</v>
      </c>
      <c r="G9" s="397" t="s">
        <v>2777</v>
      </c>
      <c r="H9" s="51">
        <f>SUMIF(63:63,G9,64:64)-SUMIF(63:63,C9,64:64)+100</f>
        <v>100</v>
      </c>
      <c r="I9" s="397" t="s">
        <v>2777</v>
      </c>
      <c r="J9" s="51">
        <f>SUMIF(63:63,I9,64:64)-SUMIF(63:63,C9,64:64)+100</f>
        <v>100</v>
      </c>
      <c r="K9" s="2398"/>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2793</v>
      </c>
      <c r="D10" s="52">
        <v>100</v>
      </c>
      <c r="E10" s="404" t="s">
        <v>2793</v>
      </c>
      <c r="F10" s="405">
        <f>SUMIF(65:65,E10,66:66)-SUMIF(65:65,C10,66:66)+100</f>
        <v>100</v>
      </c>
      <c r="G10" s="404" t="s">
        <v>2793</v>
      </c>
      <c r="H10" s="52">
        <f>SUMIF(65:65,G10,66:66)-SUMIF(65:65,C10,66:66)+100</f>
        <v>100</v>
      </c>
      <c r="I10" s="404" t="s">
        <v>2793</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2788</v>
      </c>
      <c r="D11" s="52">
        <v>100</v>
      </c>
      <c r="E11" s="410" t="s">
        <v>2788</v>
      </c>
      <c r="F11" s="405">
        <f>LOOKUP(E11,68:68,69:69)-LOOKUP(C11,68:68,69:69)+100</f>
        <v>100</v>
      </c>
      <c r="G11" s="409" t="s">
        <v>2788</v>
      </c>
      <c r="H11" s="52">
        <f>LOOKUP(G11,68:68,69:69)-LOOKUP(C11,68:68,69:69)+100</f>
        <v>100</v>
      </c>
      <c r="I11" s="409" t="s">
        <v>2788</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2319</v>
      </c>
      <c r="B15" s="26" t="s">
        <v>1697</v>
      </c>
      <c r="C15" s="2403">
        <f>估价对象房地状况!C3</f>
        <v>0</v>
      </c>
      <c r="D15" s="420">
        <v>100</v>
      </c>
      <c r="E15" s="421" t="s">
        <v>2816</v>
      </c>
      <c r="F15" s="422">
        <f>SUMIF(76:76,E16,77:77)-SUMIF(76:76,C16,77:77)+100</f>
        <v>100</v>
      </c>
      <c r="G15" s="421" t="s">
        <v>2816</v>
      </c>
      <c r="H15" s="420">
        <f>SUMIF(76:76,G16,77:77)-SUMIF(76:76,C16,77:77)+100</f>
        <v>100</v>
      </c>
      <c r="I15" s="421" t="s">
        <v>2816</v>
      </c>
      <c r="J15" s="420">
        <f>SUMIF(76:76,I16,77:77)-SUMIF(76:76,C16,77:77)+100</f>
        <v>100</v>
      </c>
      <c r="K15" s="424">
        <v>2</v>
      </c>
      <c r="L15" s="1253"/>
      <c r="M15" s="1244"/>
      <c r="N15" s="1244"/>
      <c r="O15" s="1244"/>
      <c r="P15" s="2981" t="s">
        <v>2320</v>
      </c>
      <c r="Q15" s="1899" t="str">
        <f t="shared" si="6"/>
        <v>居住社区成熟度</v>
      </c>
      <c r="R15" s="753" t="s">
        <v>28</v>
      </c>
      <c r="S15" s="754">
        <f t="shared" si="0"/>
        <v>100</v>
      </c>
      <c r="T15" s="753" t="s">
        <v>28</v>
      </c>
      <c r="U15" s="754">
        <f t="shared" si="1"/>
        <v>100</v>
      </c>
      <c r="V15" s="753" t="s">
        <v>28</v>
      </c>
      <c r="W15" s="754">
        <f t="shared" si="2"/>
        <v>100</v>
      </c>
      <c r="X15" s="1900"/>
      <c r="Y15" s="2983" t="s">
        <v>2320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2817</v>
      </c>
      <c r="F17" s="433">
        <f>SUMIF(78:78,E18,79:79)-SUMIF(78:78,C18,79:79)+100</f>
        <v>100</v>
      </c>
      <c r="G17" s="432" t="s">
        <v>2817</v>
      </c>
      <c r="H17" s="435">
        <f>SUMIF(78:78,G18,79:79)-SUMIF(78:78,C18,79:79)+100</f>
        <v>100</v>
      </c>
      <c r="I17" s="432" t="s">
        <v>2817</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1703</v>
      </c>
      <c r="C19" s="2406" t="str">
        <f>估价对象房地状况!C7</f>
        <v>估价对象所在区域公共配套设施齐备情况</v>
      </c>
      <c r="D19" s="435">
        <v>100</v>
      </c>
      <c r="E19" s="438" t="s">
        <v>2818</v>
      </c>
      <c r="F19" s="439">
        <f>SUMIF(80:80,E20,81:81)-SUMIF(80:80,C20,81:81)+100</f>
        <v>100</v>
      </c>
      <c r="G19" s="438" t="s">
        <v>2818</v>
      </c>
      <c r="H19" s="430">
        <f>SUMIF(80:80,G20,81:81)-SUMIF(80:80,C20,81:81)+100</f>
        <v>100</v>
      </c>
      <c r="I19" s="438" t="s">
        <v>2818</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1706</v>
      </c>
      <c r="C21" s="2406" t="str">
        <f>估价对象房地状况!C8</f>
        <v>估价对象所在区域基础设施水平</v>
      </c>
      <c r="D21" s="435">
        <v>100</v>
      </c>
      <c r="E21" s="438" t="s">
        <v>2819</v>
      </c>
      <c r="F21" s="439">
        <f>SUMIF(82:82,E22,83:83)-SUMIF(82:82,C22,83:83)+100</f>
        <v>100</v>
      </c>
      <c r="G21" s="438" t="s">
        <v>2819</v>
      </c>
      <c r="H21" s="430">
        <f>SUMIF(82:82,G22,83:83)-SUMIF(82:82,C22,83:83)+100</f>
        <v>100</v>
      </c>
      <c r="I21" s="438" t="s">
        <v>2819</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2790</v>
      </c>
      <c r="D22" s="427"/>
      <c r="E22" s="426" t="s">
        <v>2790</v>
      </c>
      <c r="F22" s="429"/>
      <c r="G22" s="426" t="s">
        <v>2790</v>
      </c>
      <c r="H22" s="427"/>
      <c r="I22" s="426" t="s">
        <v>2790</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06" t="str">
        <f>估价对象房地状况!C9</f>
        <v>区域自然环境：；人文环境；综合评价环境状况一般</v>
      </c>
      <c r="D23" s="430">
        <v>100</v>
      </c>
      <c r="E23" s="432" t="s">
        <v>2820</v>
      </c>
      <c r="F23" s="433">
        <f>SUMIF(84:84,E24,85:85)-SUMIF(84:84,C24,85:85)+100</f>
        <v>100</v>
      </c>
      <c r="G23" s="432" t="s">
        <v>2820</v>
      </c>
      <c r="H23" s="430">
        <f>SUMIF(84:84,G24,85:85)-SUMIF(84:84,C24,85:85)+100</f>
        <v>100</v>
      </c>
      <c r="I23" s="432" t="s">
        <v>2820</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2322</v>
      </c>
      <c r="C26" s="441" t="s">
        <v>2797</v>
      </c>
      <c r="D26" s="415">
        <v>100</v>
      </c>
      <c r="E26" s="2410" t="s">
        <v>2802</v>
      </c>
      <c r="F26" s="442">
        <f>SUMIF(88:88,E26,89:89)-SUMIF(88:88,C26,89:89)+100</f>
        <v>97</v>
      </c>
      <c r="G26" s="2410" t="s">
        <v>2797</v>
      </c>
      <c r="H26" s="415">
        <f>SUMIF(88:88,G26,89:89)-SUMIF(88:88,C26,89:89)+100</f>
        <v>100</v>
      </c>
      <c r="I26" s="2410" t="s">
        <v>2800</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2821</v>
      </c>
      <c r="F27" s="445">
        <f>SUMIF(90:90,E27,91:91)-SUMIF(90:90,C27,91:91)+100</f>
        <v>100</v>
      </c>
      <c r="G27" s="444" t="s">
        <v>2821</v>
      </c>
      <c r="H27" s="443">
        <f>SUMIF(90:90,G27,91:91)-SUMIF(90:90,C27,91:91)+100</f>
        <v>100</v>
      </c>
      <c r="I27" s="444" t="s">
        <v>2821</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2324</v>
      </c>
      <c r="B32" s="28" t="s">
        <v>2325</v>
      </c>
      <c r="C32" s="2413" t="s">
        <v>2795</v>
      </c>
      <c r="D32" s="448">
        <v>100</v>
      </c>
      <c r="E32" s="2414" t="s">
        <v>2795</v>
      </c>
      <c r="F32" s="442">
        <f>SUMIF(100:100,E32,101:101)-SUMIF(100:100,C32,101:101)+100</f>
        <v>100</v>
      </c>
      <c r="G32" s="2414" t="s">
        <v>2795</v>
      </c>
      <c r="H32" s="448">
        <f>SUMIF(100:100,G32,101:101)-SUMIF(100:100,C32,101:101)+100</f>
        <v>100</v>
      </c>
      <c r="I32" s="2414" t="s">
        <v>2795</v>
      </c>
      <c r="J32" s="415">
        <f>SUMIF(100:100,I32,101:101)-SUMIF(100:100,C32,101:101)+100</f>
        <v>100</v>
      </c>
      <c r="K32" s="406">
        <v>1</v>
      </c>
      <c r="L32" s="1253"/>
      <c r="M32" s="1244"/>
      <c r="N32" s="1244"/>
      <c r="O32" s="1244"/>
      <c r="P32" s="2985" t="s">
        <v>2326</v>
      </c>
      <c r="Q32" s="1899" t="str">
        <f t="shared" si="11"/>
        <v>建筑类型</v>
      </c>
      <c r="R32" s="753" t="s">
        <v>28</v>
      </c>
      <c r="S32" s="754">
        <f t="shared" si="12"/>
        <v>100</v>
      </c>
      <c r="T32" s="753" t="s">
        <v>28</v>
      </c>
      <c r="U32" s="754">
        <f t="shared" si="13"/>
        <v>100</v>
      </c>
      <c r="V32" s="753" t="s">
        <v>28</v>
      </c>
      <c r="W32" s="754">
        <f t="shared" si="14"/>
        <v>100</v>
      </c>
      <c r="X32" s="1900"/>
      <c r="Y32" s="298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124.53</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2785</v>
      </c>
      <c r="D34" s="415">
        <v>100</v>
      </c>
      <c r="E34" s="2416" t="s">
        <v>2785</v>
      </c>
      <c r="F34" s="442">
        <f>SUMIF(105:105,E34,106:106)-SUMIF(105:105,C34,106:106)+100</f>
        <v>100</v>
      </c>
      <c r="G34" s="2416" t="s">
        <v>2785</v>
      </c>
      <c r="H34" s="415">
        <f>SUMIF(105:105,G34,106:106)-SUMIF(105:105,C34,106:106)+100</f>
        <v>100</v>
      </c>
      <c r="I34" s="2416" t="s">
        <v>2785</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2329</v>
      </c>
      <c r="C35" s="2411" t="s">
        <v>2809</v>
      </c>
      <c r="D35" s="415">
        <v>100</v>
      </c>
      <c r="E35" s="2410" t="s">
        <v>2809</v>
      </c>
      <c r="F35" s="442">
        <f>SUMIF(107:107,E35,108:108)-SUMIF(107:107,C35,108:108)+100</f>
        <v>100</v>
      </c>
      <c r="G35" s="2410" t="s">
        <v>2809</v>
      </c>
      <c r="H35" s="415">
        <f>SUMIF(107:107,G35,108:108)-SUMIF(107:107,C35,108:108)+100</f>
        <v>100</v>
      </c>
      <c r="I35" s="2410" t="s">
        <v>2809</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2330</v>
      </c>
      <c r="C36" s="2411" t="s">
        <v>2805</v>
      </c>
      <c r="D36" s="415">
        <v>100</v>
      </c>
      <c r="E36" s="2410" t="s">
        <v>2805</v>
      </c>
      <c r="F36" s="442">
        <f>SUMIF(109:109,E36,110:110)-SUMIF(109:109,C36,110:110)+100</f>
        <v>100</v>
      </c>
      <c r="G36" s="2410" t="s">
        <v>2805</v>
      </c>
      <c r="H36" s="415">
        <f>SUMIF(109:109,G36,110:110)-SUMIF(109:109,C36,110:110)+100</f>
        <v>100</v>
      </c>
      <c r="I36" s="2410" t="s">
        <v>2805</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2331</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2332</v>
      </c>
      <c r="C38" s="2411" t="s">
        <v>2807</v>
      </c>
      <c r="D38" s="415">
        <v>100</v>
      </c>
      <c r="E38" s="2410" t="s">
        <v>2807</v>
      </c>
      <c r="F38" s="442">
        <f>SUMIF(114:114,E38,115:115)-SUMIF(114:114,C38,115:115)+100</f>
        <v>100</v>
      </c>
      <c r="G38" s="2410" t="s">
        <v>2807</v>
      </c>
      <c r="H38" s="415">
        <f>SUMIF(114:114,G38,115:115)-SUMIF(114:114,C38,115:115)+100</f>
        <v>100</v>
      </c>
      <c r="I38" s="2410" t="s">
        <v>2807</v>
      </c>
      <c r="J38" s="415">
        <f>SUMIF(114:114,I38,115:115)-SUMIF(114:114,C38,115:115)+100</f>
        <v>100</v>
      </c>
      <c r="K38" s="406">
        <v>1</v>
      </c>
      <c r="L38" s="1253"/>
      <c r="M38" s="1244"/>
      <c r="N38" s="1244"/>
      <c r="O38" s="1244"/>
      <c r="P38" s="2986" t="s">
        <v>2326</v>
      </c>
      <c r="Q38" s="1899" t="str">
        <f t="shared" si="11"/>
        <v>物业管理</v>
      </c>
      <c r="R38" s="753" t="s">
        <v>28</v>
      </c>
      <c r="S38" s="754">
        <f t="shared" si="12"/>
        <v>100</v>
      </c>
      <c r="T38" s="753" t="s">
        <v>28</v>
      </c>
      <c r="U38" s="754">
        <f t="shared" si="13"/>
        <v>100</v>
      </c>
      <c r="V38" s="753" t="s">
        <v>28</v>
      </c>
      <c r="W38" s="754">
        <f t="shared" si="14"/>
        <v>100</v>
      </c>
      <c r="X38" s="1900"/>
      <c r="Y38" s="2988" t="s">
        <v>2326</v>
      </c>
      <c r="Z38" s="1902" t="str">
        <f t="shared" si="15"/>
        <v>物业管理</v>
      </c>
      <c r="AA38" s="1903">
        <f t="shared" si="3"/>
        <v>1</v>
      </c>
      <c r="AB38" s="1903">
        <f t="shared" si="4"/>
        <v>1</v>
      </c>
      <c r="AC38" s="1903">
        <f t="shared" si="5"/>
        <v>1</v>
      </c>
    </row>
    <row r="39" spans="1:29" ht="15">
      <c r="A39" s="453"/>
      <c r="B39" s="402" t="s">
        <v>2333</v>
      </c>
      <c r="C39" s="2411" t="s">
        <v>2790</v>
      </c>
      <c r="D39" s="415">
        <v>100</v>
      </c>
      <c r="E39" s="2410" t="s">
        <v>2790</v>
      </c>
      <c r="F39" s="442">
        <f>SUMIF(116:116,E39,117:117)-SUMIF(116:116,C39,117:117)+100</f>
        <v>100</v>
      </c>
      <c r="G39" s="2410" t="s">
        <v>2790</v>
      </c>
      <c r="H39" s="415">
        <f>SUMIF(116:116,G39,117:117)-SUMIF(116:116,C39,117:117)+100</f>
        <v>100</v>
      </c>
      <c r="I39" s="2410" t="s">
        <v>2790</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2334</v>
      </c>
      <c r="C40" s="2411" t="s">
        <v>2812</v>
      </c>
      <c r="D40" s="415">
        <v>100</v>
      </c>
      <c r="E40" s="2410" t="s">
        <v>2812</v>
      </c>
      <c r="F40" s="442">
        <f>SUMIF(118:118,E40,119:119)-SUMIF(118:118,C40,119:119)+100</f>
        <v>100</v>
      </c>
      <c r="G40" s="2410" t="s">
        <v>2812</v>
      </c>
      <c r="H40" s="415">
        <f>SUMIF(118:118,G40,119:119)-SUMIF(118:118,C40,119:119)+100</f>
        <v>100</v>
      </c>
      <c r="I40" s="2410" t="s">
        <v>2812</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2335</v>
      </c>
      <c r="C41" s="450" t="s">
        <v>2788</v>
      </c>
      <c r="D41" s="52">
        <v>100</v>
      </c>
      <c r="E41" s="410" t="s">
        <v>1254</v>
      </c>
      <c r="F41" s="405">
        <f>SUMIF(120:120,E41,121:121)-SUMIF(120:120,C41,121:121)+100</f>
        <v>100</v>
      </c>
      <c r="G41" s="410" t="s">
        <v>1254</v>
      </c>
      <c r="H41" s="52">
        <f>SUMIF(120:120,G41,121:121)-SUMIF(120:120,C41,121:121)+100</f>
        <v>100</v>
      </c>
      <c r="I41" s="410" t="s">
        <v>1254</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2336</v>
      </c>
      <c r="C42" s="2411" t="s">
        <v>2814</v>
      </c>
      <c r="D42" s="415">
        <v>100</v>
      </c>
      <c r="E42" s="2410" t="s">
        <v>2814</v>
      </c>
      <c r="F42" s="442">
        <f>SUMIF(122:122,E42,123:123)-SUMIF(122:122,C42,123:123)+100</f>
        <v>100</v>
      </c>
      <c r="G42" s="2410" t="s">
        <v>2814</v>
      </c>
      <c r="H42" s="415">
        <f>SUMIF(122:122,G42,123:123)-SUMIF(122:122,C42,123:123)+100</f>
        <v>100</v>
      </c>
      <c r="I42" s="2410" t="s">
        <v>2814</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2792</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2788</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2371</v>
      </c>
      <c r="C88" s="2738" t="s">
        <v>2798</v>
      </c>
      <c r="D88" s="2738" t="s">
        <v>2799</v>
      </c>
      <c r="E88" s="2738" t="s">
        <v>2801</v>
      </c>
      <c r="F88" s="2740" t="s">
        <v>2803</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2794</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2324</v>
      </c>
      <c r="B100" s="509" t="s">
        <v>2372</v>
      </c>
      <c r="C100" s="2739" t="s">
        <v>2796</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2806</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2808</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2811</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2813</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2335</v>
      </c>
      <c r="C120" s="537" t="s">
        <v>2788</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2815</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M38" sqref="M38"/>
    </sheetView>
  </sheetViews>
  <sheetFormatPr defaultRowHeight="14.25"/>
  <cols>
    <col min="1" max="1" width="10.5" style="382" customWidth="1"/>
    <col min="2" max="2" width="15.75" style="382" customWidth="1"/>
    <col min="3" max="3" width="17"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2403</v>
      </c>
      <c r="C1" s="1726" t="s">
        <v>2784</v>
      </c>
      <c r="D1" s="2453"/>
      <c r="E1" s="2383" t="s">
        <v>2791</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f>IF(D2="——",IF(C2="元",ROUND(C49*D3,0),ROUND(C49*D3/10000,0)),IF(C2="元",ROUND(C49*D3,0),ROUND(C49*D3/10000,0))-E2)</f>
        <v>597</v>
      </c>
      <c r="C2" s="163" t="str">
        <f>'数据-取费表'!B3</f>
        <v>万元</v>
      </c>
      <c r="D2" s="2385" t="s">
        <v>1254</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f>ROUND(IF(D2="——",C49,IF(C2="万元",B2*10000/D3,B2/D3)),0)</f>
        <v>47972</v>
      </c>
      <c r="C3" s="379" t="s">
        <v>2294</v>
      </c>
      <c r="D3" s="378">
        <f>IF(C1="仅计算典型户型",'数据-取费表'!E5,'数据-取费表'!B5)</f>
        <v>124.53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17" t="s">
        <v>2298</v>
      </c>
      <c r="AC4" s="3004" t="s">
        <v>2299</v>
      </c>
    </row>
    <row r="5" spans="1:29" ht="15">
      <c r="A5" s="383"/>
      <c r="B5" s="384"/>
      <c r="C5" s="3023" t="s">
        <v>2849</v>
      </c>
      <c r="D5" s="2993"/>
      <c r="E5" s="3022" t="s">
        <v>2850</v>
      </c>
      <c r="F5" s="3019"/>
      <c r="G5" s="3022" t="s">
        <v>2850</v>
      </c>
      <c r="H5" s="3019"/>
      <c r="I5" s="3022" t="s">
        <v>2850</v>
      </c>
      <c r="J5" s="3019"/>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2308</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595"/>
      <c r="L7" s="1245"/>
      <c r="M7" s="1246"/>
      <c r="N7" s="1246"/>
      <c r="O7" s="1246"/>
      <c r="P7" s="2994" t="s">
        <v>2309</v>
      </c>
      <c r="Q7" s="3002"/>
      <c r="R7" s="749" t="s">
        <v>25</v>
      </c>
      <c r="S7" s="750">
        <f t="shared" ref="S7:S15" si="0">F7</f>
        <v>100</v>
      </c>
      <c r="T7" s="749" t="s">
        <v>25</v>
      </c>
      <c r="U7" s="750">
        <f t="shared" ref="U7:U15" si="1">H7</f>
        <v>100</v>
      </c>
      <c r="V7" s="749" t="s">
        <v>25</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2844</v>
      </c>
      <c r="F8" s="392">
        <f>SUMIF(61:61,E8,62:62)-SUMIF(61:61,C8,62:62)+100</f>
        <v>100</v>
      </c>
      <c r="G8" s="394" t="s">
        <v>2844</v>
      </c>
      <c r="H8" s="390">
        <f>SUMIF(61:61,G8,62:62)-SUMIF(61:61,C8,62:62)+100</f>
        <v>100</v>
      </c>
      <c r="I8" s="394" t="s">
        <v>2844</v>
      </c>
      <c r="J8" s="390">
        <f>SUMIF(61:61,I8,62:62)-SUMIF(61:61,C8,62:62)+100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2845</v>
      </c>
      <c r="D9" s="51">
        <v>100</v>
      </c>
      <c r="E9" s="397" t="s">
        <v>2825</v>
      </c>
      <c r="F9" s="398">
        <f>SUMIF(63:63,E9,64:64)-SUMIF(63:63,C9,64:64)+100</f>
        <v>100</v>
      </c>
      <c r="G9" s="397" t="s">
        <v>2825</v>
      </c>
      <c r="H9" s="51">
        <f>SUMIF(63:63,G9,64:64)-SUMIF(63:63,C9,64:64)+100</f>
        <v>100</v>
      </c>
      <c r="I9" s="397" t="s">
        <v>2825</v>
      </c>
      <c r="J9" s="51">
        <f>SUMIF(63:63,I9,64:64)-SUMIF(63:63,C9,64:64)+100</f>
        <v>100</v>
      </c>
      <c r="K9" s="595"/>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2793</v>
      </c>
      <c r="D10" s="52">
        <v>100</v>
      </c>
      <c r="E10" s="403" t="s">
        <v>2793</v>
      </c>
      <c r="F10" s="405">
        <f>SUMIF(65:65,E10,66:66)-SUMIF(65:65,C10,66:66)+100</f>
        <v>100</v>
      </c>
      <c r="G10" s="403" t="s">
        <v>2793</v>
      </c>
      <c r="H10" s="52">
        <f>SUMIF(65:65,G10,66:66)-SUMIF(65:65,C10,66:66)+100</f>
        <v>100</v>
      </c>
      <c r="I10" s="403" t="s">
        <v>2793</v>
      </c>
      <c r="J10" s="52">
        <f>SUMIF(65:65,I10,66:66)-SUMIF(65:65,C10,66:66)+100</f>
        <v>100</v>
      </c>
      <c r="K10" s="59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2829</v>
      </c>
      <c r="D11" s="52">
        <v>100</v>
      </c>
      <c r="E11" s="410" t="s">
        <v>2829</v>
      </c>
      <c r="F11" s="405">
        <f>LOOKUP(E11,68:68,69:69)-LOOKUP(C11,68:68,69:69)+100</f>
        <v>100</v>
      </c>
      <c r="G11" s="409" t="s">
        <v>2829</v>
      </c>
      <c r="H11" s="52">
        <f>LOOKUP(G11,68:68,69:69)-LOOKUP(C11,68:68,69:69)+100</f>
        <v>100</v>
      </c>
      <c r="I11" s="409" t="s">
        <v>2829</v>
      </c>
      <c r="J11" s="52">
        <f>LOOKUP(I11,68:68,69:69)-LOOKUP(C11,68:68,69:69)+100</f>
        <v>100</v>
      </c>
      <c r="K11" s="596">
        <v>1</v>
      </c>
      <c r="L11" s="1251"/>
      <c r="M11" s="1244"/>
      <c r="N11" s="1244"/>
      <c r="O11" s="1244"/>
      <c r="P11" s="3003"/>
      <c r="Q11" s="1887"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71.25">
      <c r="A15" s="419" t="s">
        <v>2319</v>
      </c>
      <c r="B15" s="26" t="s">
        <v>2404</v>
      </c>
      <c r="C15" s="2403" t="str">
        <f>估价对象房地状况!C4</f>
        <v>估价对象位于国展，周边商业氛围一般，人流量一般，商业繁华度一般</v>
      </c>
      <c r="D15" s="420">
        <v>100</v>
      </c>
      <c r="E15" s="421" t="s">
        <v>2847</v>
      </c>
      <c r="F15" s="422">
        <f>SUMIF(76:76,E16,77:77)-SUMIF(76:76,C16,77:77)+100</f>
        <v>100</v>
      </c>
      <c r="G15" s="421" t="s">
        <v>2847</v>
      </c>
      <c r="H15" s="420">
        <f>SUMIF(76:76,G16,77:77)-SUMIF(76:76,C16,77:77)+100</f>
        <v>100</v>
      </c>
      <c r="I15" s="421" t="s">
        <v>2847</v>
      </c>
      <c r="J15" s="420">
        <f>SUMIF(76:76,I16,77:77)-SUMIF(76:76,C16,77:77)+100</f>
        <v>100</v>
      </c>
      <c r="K15" s="598">
        <v>2</v>
      </c>
      <c r="L15" s="1253"/>
      <c r="M15" s="1244"/>
      <c r="N15" s="1244"/>
      <c r="O15" s="1244"/>
      <c r="P15" s="2981" t="s">
        <v>2320</v>
      </c>
      <c r="Q15" s="1899" t="str">
        <f t="shared" si="6"/>
        <v>商业繁华度</v>
      </c>
      <c r="R15" s="753" t="s">
        <v>25</v>
      </c>
      <c r="S15" s="754">
        <f t="shared" si="0"/>
        <v>100</v>
      </c>
      <c r="T15" s="753" t="s">
        <v>25</v>
      </c>
      <c r="U15" s="754">
        <f t="shared" si="1"/>
        <v>100</v>
      </c>
      <c r="V15" s="753" t="s">
        <v>25</v>
      </c>
      <c r="W15" s="754">
        <f t="shared" si="2"/>
        <v>100</v>
      </c>
      <c r="X15" s="1900"/>
      <c r="Y15" s="2983" t="s">
        <v>2320</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2817</v>
      </c>
      <c r="F17" s="433">
        <f>SUMIF(78:78,E18,79:79)-SUMIF(78:78,C18,79:79)+100</f>
        <v>100</v>
      </c>
      <c r="G17" s="434" t="s">
        <v>2817</v>
      </c>
      <c r="H17" s="435">
        <f>SUMIF(78:78,G18,79:79)-SUMIF(78:78,C18,79:79)+100</f>
        <v>100</v>
      </c>
      <c r="I17" s="432" t="s">
        <v>2817</v>
      </c>
      <c r="J17" s="435">
        <f>SUMIF(78:78,I18,79:79)-SUMIF(78:78,C18,79:79)+100</f>
        <v>100</v>
      </c>
      <c r="K17" s="598">
        <v>1</v>
      </c>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2405</v>
      </c>
      <c r="C19" s="2406" t="str">
        <f>估价对象房地状况!C7</f>
        <v>估价对象所在区域公共配套设施齐备情况</v>
      </c>
      <c r="D19" s="435">
        <v>100</v>
      </c>
      <c r="E19" s="438" t="s">
        <v>2818</v>
      </c>
      <c r="F19" s="439">
        <f>SUMIF(80:80,E20,81:81)-SUMIF(80:80,C20,81:81)+100</f>
        <v>100</v>
      </c>
      <c r="G19" s="440" t="s">
        <v>2818</v>
      </c>
      <c r="H19" s="430">
        <f>SUMIF(80:80,G20,81:81)-SUMIF(80:80,C20,81:81)+100</f>
        <v>100</v>
      </c>
      <c r="I19" s="438" t="s">
        <v>2818</v>
      </c>
      <c r="J19" s="430">
        <f>SUMIF(80:80,I20,81:81)-SUMIF(80:80,C20,81:81)+100</f>
        <v>100</v>
      </c>
      <c r="K19" s="598">
        <v>1</v>
      </c>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2406</v>
      </c>
      <c r="C21" s="2406" t="str">
        <f>估价对象房地状况!C8</f>
        <v>估价对象所在区域基础设施水平</v>
      </c>
      <c r="D21" s="435">
        <v>100</v>
      </c>
      <c r="E21" s="438" t="s">
        <v>2819</v>
      </c>
      <c r="F21" s="439">
        <f>SUMIF(82:82,E22,83:83)-SUMIF(82:82,C22,83:83)+100</f>
        <v>100</v>
      </c>
      <c r="G21" s="440" t="s">
        <v>2819</v>
      </c>
      <c r="H21" s="430">
        <f>SUMIF(82:82,G22,83:83)-SUMIF(82:82,C22,83:83)+100</f>
        <v>100</v>
      </c>
      <c r="I21" s="438" t="s">
        <v>2819</v>
      </c>
      <c r="J21" s="430">
        <f>SUMIF(82:82,I22,83:83)-SUMIF(82:82,C22,83:83)+100</f>
        <v>100</v>
      </c>
      <c r="K21" s="598">
        <v>1</v>
      </c>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2790</v>
      </c>
      <c r="D22" s="427"/>
      <c r="E22" s="426" t="s">
        <v>2790</v>
      </c>
      <c r="F22" s="429"/>
      <c r="G22" s="426" t="s">
        <v>2790</v>
      </c>
      <c r="H22" s="427"/>
      <c r="I22" s="426" t="s">
        <v>2790</v>
      </c>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57" t="str">
        <f>估价对象房地状况!C9</f>
        <v>区域自然环境：；人文环境；综合评价环境状况一般</v>
      </c>
      <c r="D23" s="430">
        <v>100</v>
      </c>
      <c r="E23" s="432" t="s">
        <v>2820</v>
      </c>
      <c r="F23" s="433">
        <f>SUMIF(84:84,E24,85:85)-SUMIF(84:84,C24,85:85)+100</f>
        <v>100</v>
      </c>
      <c r="G23" s="434" t="s">
        <v>2820</v>
      </c>
      <c r="H23" s="430">
        <f>SUMIF(84:84,G24,85:85)-SUMIF(84:84,C24,85:85)+100</f>
        <v>100</v>
      </c>
      <c r="I23" s="432" t="s">
        <v>2820</v>
      </c>
      <c r="J23" s="430">
        <f>SUMIF(84:84,I24,85:85)-SUMIF(84:84,C24,85:85)+100</f>
        <v>100</v>
      </c>
      <c r="K23" s="598">
        <v>1</v>
      </c>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28.5">
      <c r="A25" s="408"/>
      <c r="B25" s="402" t="s">
        <v>2407</v>
      </c>
      <c r="C25" s="600" t="s">
        <v>2842</v>
      </c>
      <c r="D25" s="415">
        <v>100</v>
      </c>
      <c r="E25" s="600" t="s">
        <v>2842</v>
      </c>
      <c r="F25" s="442">
        <f>SUMIF(86:86,E25,87:87)-SUMIF(86:86,C25,87:87)+100</f>
        <v>100</v>
      </c>
      <c r="G25" s="600" t="s">
        <v>2842</v>
      </c>
      <c r="H25" s="415">
        <f>SUMIF(86:86,G25,87:87)-SUMIF(86:86,C25,87:87)+100</f>
        <v>100</v>
      </c>
      <c r="I25" s="600" t="s">
        <v>2842</v>
      </c>
      <c r="J25" s="415">
        <f>SUMIF(86:86,I25,87:87)-SUMIF(86:86,C25,87:87)+100</f>
        <v>100</v>
      </c>
      <c r="K25" s="596">
        <v>1</v>
      </c>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2408</v>
      </c>
      <c r="C26" s="2742" t="s">
        <v>2831</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2409</v>
      </c>
      <c r="C27" s="2458" t="s">
        <v>30</v>
      </c>
      <c r="D27" s="443">
        <v>100</v>
      </c>
      <c r="E27" s="2458" t="s">
        <v>30</v>
      </c>
      <c r="F27" s="445">
        <f>SUMIF(90:90,E27,91:91)-SUMIF(90:90,C27,91:91)+100</f>
        <v>100</v>
      </c>
      <c r="G27" s="2458" t="s">
        <v>30</v>
      </c>
      <c r="H27" s="443">
        <f>SUMIF(90:90,G27,91:91)-SUMIF(90:90,C27,91:91)+100</f>
        <v>100</v>
      </c>
      <c r="I27" s="2458" t="s">
        <v>30</v>
      </c>
      <c r="J27" s="443">
        <f>SUMIF(90:90,I27,91:91)-SUMIF(90:90,C27,91:91)+100</f>
        <v>100</v>
      </c>
      <c r="K27" s="596">
        <v>1</v>
      </c>
      <c r="L27" s="1245"/>
      <c r="M27" s="1246"/>
      <c r="N27" s="1246"/>
      <c r="O27" s="1246"/>
      <c r="P27" s="2982"/>
      <c r="Q27" s="1887" t="str">
        <f t="shared" si="11"/>
        <v>人流量</v>
      </c>
      <c r="R27" s="749" t="s">
        <v>25</v>
      </c>
      <c r="S27" s="750">
        <f>F27</f>
        <v>100</v>
      </c>
      <c r="T27" s="749" t="s">
        <v>25</v>
      </c>
      <c r="U27" s="750">
        <f>H27</f>
        <v>100</v>
      </c>
      <c r="V27" s="749" t="s">
        <v>25</v>
      </c>
      <c r="W27" s="750">
        <f>J27</f>
        <v>100</v>
      </c>
      <c r="X27" s="751"/>
      <c r="Y27" s="2984"/>
      <c r="Z27" s="23" t="str">
        <f>Q27</f>
        <v>人流量</v>
      </c>
      <c r="AA27" s="1903">
        <f>D27/F27</f>
        <v>1</v>
      </c>
      <c r="AB27" s="1903">
        <f>D27/H27</f>
        <v>1</v>
      </c>
      <c r="AC27" s="1903">
        <f>D27/J27</f>
        <v>1</v>
      </c>
    </row>
    <row r="28" spans="1:29" ht="15">
      <c r="A28" s="408"/>
      <c r="B28" s="402" t="s">
        <v>2410</v>
      </c>
      <c r="C28" s="600" t="s">
        <v>2843</v>
      </c>
      <c r="D28" s="415">
        <v>100</v>
      </c>
      <c r="E28" s="600" t="s">
        <v>2843</v>
      </c>
      <c r="F28" s="442">
        <f>SUMIF(92:92,E28,93:93)-SUMIF(92:92,C28,93:93)+100</f>
        <v>100</v>
      </c>
      <c r="G28" s="600" t="s">
        <v>2843</v>
      </c>
      <c r="H28" s="415">
        <f>SUMIF(92:92,G28,93:93)-SUMIF(92:92,C28,93:93)+100</f>
        <v>100</v>
      </c>
      <c r="I28" s="600" t="s">
        <v>2843</v>
      </c>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0</v>
      </c>
      <c r="R29" s="753" t="s">
        <v>25</v>
      </c>
      <c r="S29" s="754">
        <f t="shared" si="12"/>
        <v>100</v>
      </c>
      <c r="T29" s="753" t="s">
        <v>25</v>
      </c>
      <c r="U29" s="754">
        <f t="shared" si="13"/>
        <v>100</v>
      </c>
      <c r="V29" s="753" t="s">
        <v>25</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0</v>
      </c>
      <c r="R30" s="753" t="s">
        <v>25</v>
      </c>
      <c r="S30" s="754">
        <f t="shared" si="12"/>
        <v>100</v>
      </c>
      <c r="T30" s="753" t="s">
        <v>25</v>
      </c>
      <c r="U30" s="754">
        <f t="shared" si="13"/>
        <v>100</v>
      </c>
      <c r="V30" s="753" t="s">
        <v>25</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0</v>
      </c>
      <c r="R31" s="753" t="s">
        <v>25</v>
      </c>
      <c r="S31" s="754">
        <f t="shared" si="12"/>
        <v>100</v>
      </c>
      <c r="T31" s="753" t="s">
        <v>25</v>
      </c>
      <c r="U31" s="754">
        <f t="shared" si="13"/>
        <v>100</v>
      </c>
      <c r="V31" s="753" t="s">
        <v>25</v>
      </c>
      <c r="W31" s="754">
        <f t="shared" si="14"/>
        <v>100</v>
      </c>
      <c r="X31" s="1900"/>
      <c r="Y31" s="2984"/>
      <c r="Z31" s="1902">
        <f t="shared" si="15"/>
        <v>0</v>
      </c>
      <c r="AA31" s="1903">
        <f t="shared" si="3"/>
        <v>1</v>
      </c>
      <c r="AB31" s="1903">
        <f t="shared" si="4"/>
        <v>1</v>
      </c>
      <c r="AC31" s="1903">
        <f t="shared" si="5"/>
        <v>1</v>
      </c>
    </row>
    <row r="32" spans="1:29" ht="15">
      <c r="A32" s="419" t="s">
        <v>2324</v>
      </c>
      <c r="B32" s="28" t="s">
        <v>2411</v>
      </c>
      <c r="C32" s="2413" t="s">
        <v>2833</v>
      </c>
      <c r="D32" s="448">
        <v>100</v>
      </c>
      <c r="E32" s="2413" t="s">
        <v>2833</v>
      </c>
      <c r="F32" s="442">
        <f>SUMIF(100:100,E32,101:101)-SUMIF(100:100,C32,101:101)+100</f>
        <v>100</v>
      </c>
      <c r="G32" s="2413" t="s">
        <v>2833</v>
      </c>
      <c r="H32" s="415">
        <f>SUMIF(100:100,G32,101:101)-SUMIF(100:100,C32,101:101)+100</f>
        <v>100</v>
      </c>
      <c r="I32" s="2413" t="s">
        <v>2833</v>
      </c>
      <c r="J32" s="448">
        <f>SUMIF(100:100,I32,101:101)-SUMIF(100:100,C32,101:101)+100</f>
        <v>100</v>
      </c>
      <c r="K32" s="596">
        <v>1</v>
      </c>
      <c r="L32" s="1253"/>
      <c r="M32" s="1244"/>
      <c r="N32" s="1244"/>
      <c r="O32" s="1244"/>
      <c r="P32" s="2985" t="s">
        <v>2326</v>
      </c>
      <c r="Q32" s="1899" t="str">
        <f t="shared" si="11"/>
        <v>商业类型</v>
      </c>
      <c r="R32" s="753" t="s">
        <v>25</v>
      </c>
      <c r="S32" s="754">
        <f t="shared" si="12"/>
        <v>100</v>
      </c>
      <c r="T32" s="753" t="s">
        <v>25</v>
      </c>
      <c r="U32" s="754">
        <f t="shared" si="13"/>
        <v>100</v>
      </c>
      <c r="V32" s="753" t="s">
        <v>25</v>
      </c>
      <c r="W32" s="754">
        <f t="shared" si="14"/>
        <v>100</v>
      </c>
      <c r="X32" s="1900"/>
      <c r="Y32" s="2988" t="s">
        <v>2326</v>
      </c>
      <c r="Z32" s="1902" t="str">
        <f t="shared" si="15"/>
        <v>商业类型</v>
      </c>
      <c r="AA32" s="1903">
        <f t="shared" si="3"/>
        <v>1</v>
      </c>
      <c r="AB32" s="1903">
        <f t="shared" si="4"/>
        <v>1</v>
      </c>
      <c r="AC32" s="1903">
        <f t="shared" si="5"/>
        <v>1</v>
      </c>
    </row>
    <row r="33" spans="1:29" s="452" customFormat="1" ht="15">
      <c r="A33" s="449"/>
      <c r="B33" s="402" t="s">
        <v>2327</v>
      </c>
      <c r="C33" s="450">
        <f>'数据-取费表'!B5</f>
        <v>124.53</v>
      </c>
      <c r="D33" s="52">
        <v>100</v>
      </c>
      <c r="E33" s="410">
        <v>206</v>
      </c>
      <c r="F33" s="405">
        <f>LOOKUP(E33,103:103,104:104)-LOOKUP(C33,103:103,104:104)+100</f>
        <v>100</v>
      </c>
      <c r="G33" s="409">
        <v>138</v>
      </c>
      <c r="H33" s="52">
        <f>LOOKUP(G33,103:103,104:104)-LOOKUP(C33,103:103,104:104)+100</f>
        <v>100</v>
      </c>
      <c r="I33" s="409">
        <v>39</v>
      </c>
      <c r="J33" s="52">
        <f>LOOKUP(I33,103:103,104:104)-LOOKUP(C33,103:103,104:104)+100</f>
        <v>103</v>
      </c>
      <c r="K33" s="597"/>
      <c r="L33" s="1251"/>
      <c r="M33" s="1254"/>
      <c r="N33" s="1254"/>
      <c r="O33" s="1254"/>
      <c r="P33" s="2986"/>
      <c r="Q33" s="755" t="str">
        <f t="shared" si="11"/>
        <v>项目建筑规模</v>
      </c>
      <c r="R33" s="756" t="s">
        <v>25</v>
      </c>
      <c r="S33" s="757">
        <f t="shared" si="12"/>
        <v>100</v>
      </c>
      <c r="T33" s="756" t="s">
        <v>25</v>
      </c>
      <c r="U33" s="757">
        <f t="shared" si="13"/>
        <v>100</v>
      </c>
      <c r="V33" s="756" t="s">
        <v>25</v>
      </c>
      <c r="W33" s="757">
        <f t="shared" si="14"/>
        <v>103</v>
      </c>
      <c r="X33" s="758"/>
      <c r="Y33" s="2988"/>
      <c r="Z33" s="759" t="str">
        <f t="shared" si="15"/>
        <v>项目建筑规模</v>
      </c>
      <c r="AA33" s="1903">
        <f t="shared" si="3"/>
        <v>1</v>
      </c>
      <c r="AB33" s="1903">
        <f t="shared" si="4"/>
        <v>1</v>
      </c>
      <c r="AC33" s="1903">
        <f t="shared" si="5"/>
        <v>0.970873786407767</v>
      </c>
    </row>
    <row r="34" spans="1:29" ht="15">
      <c r="A34" s="453"/>
      <c r="B34" s="402" t="s">
        <v>2328</v>
      </c>
      <c r="C34" s="2415" t="s">
        <v>2785</v>
      </c>
      <c r="D34" s="415">
        <v>100</v>
      </c>
      <c r="E34" s="2416" t="s">
        <v>2785</v>
      </c>
      <c r="F34" s="442">
        <f>SUMIF(105:105,E34,106:106)-SUMIF(105:105,C34,106:106)+100</f>
        <v>100</v>
      </c>
      <c r="G34" s="2415" t="s">
        <v>2785</v>
      </c>
      <c r="H34" s="415">
        <f>SUMIF(105:105,G34,106:106)-SUMIF(105:105,C34,106:106)+100</f>
        <v>100</v>
      </c>
      <c r="I34" s="2415" t="s">
        <v>2785</v>
      </c>
      <c r="J34" s="415">
        <f>SUMIF(105:105,I34,106:106)-SUMIF(105:105,C34,106:106)+100</f>
        <v>100</v>
      </c>
      <c r="K34" s="596">
        <v>1</v>
      </c>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
      <c r="A35" s="453"/>
      <c r="B35" s="402" t="s">
        <v>2412</v>
      </c>
      <c r="C35" s="2411" t="s">
        <v>2805</v>
      </c>
      <c r="D35" s="415">
        <v>100</v>
      </c>
      <c r="E35" s="2411" t="s">
        <v>2805</v>
      </c>
      <c r="F35" s="442">
        <f>SUMIF(107:107,E35,108:108)-SUMIF(107:107,C35,108:108)+100</f>
        <v>100</v>
      </c>
      <c r="G35" s="2411" t="s">
        <v>2805</v>
      </c>
      <c r="H35" s="415">
        <f>SUMIF(107:107,G35,108:108)-SUMIF(107:107,C35,108:108)+100</f>
        <v>100</v>
      </c>
      <c r="I35" s="2411" t="s">
        <v>2805</v>
      </c>
      <c r="J35" s="415">
        <f>SUMIF(107:107,I35,108:108)-SUMIF(107:107,C35,108:108)+100</f>
        <v>100</v>
      </c>
      <c r="K35" s="596">
        <v>1</v>
      </c>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2413</v>
      </c>
      <c r="C36" s="455">
        <f>'数据-取费表'!E20</f>
        <v>0.92</v>
      </c>
      <c r="D36" s="415">
        <v>100</v>
      </c>
      <c r="E36" s="455">
        <f>ROUND(1-(2018-2009)/60,2)</f>
        <v>0.85</v>
      </c>
      <c r="F36" s="442">
        <f>LOOKUP(E36,110:110,111:111)-LOOKUP(C36,110:110,111:111)+100</f>
        <v>99</v>
      </c>
      <c r="G36" s="455">
        <f>E36</f>
        <v>0.85</v>
      </c>
      <c r="H36" s="442">
        <f>LOOKUP(G36,110:110,111:111)-LOOKUP(C36,110:110,111:111)+100</f>
        <v>99</v>
      </c>
      <c r="I36" s="455">
        <f>E36</f>
        <v>0.85</v>
      </c>
      <c r="J36" s="415">
        <f>LOOKUP(I36,110:110,111:111)-LOOKUP(C36,110:110,111:111)+100</f>
        <v>99</v>
      </c>
      <c r="K36" s="596">
        <v>1</v>
      </c>
      <c r="L36" s="1253"/>
      <c r="M36" s="1244"/>
      <c r="N36" s="1244"/>
      <c r="O36" s="1244"/>
      <c r="P36" s="2986"/>
      <c r="Q36" s="1899" t="str">
        <f t="shared" si="11"/>
        <v>成新度</v>
      </c>
      <c r="R36" s="753" t="s">
        <v>25</v>
      </c>
      <c r="S36" s="754">
        <f t="shared" si="12"/>
        <v>99</v>
      </c>
      <c r="T36" s="753" t="s">
        <v>25</v>
      </c>
      <c r="U36" s="754">
        <f t="shared" si="13"/>
        <v>99</v>
      </c>
      <c r="V36" s="753" t="s">
        <v>25</v>
      </c>
      <c r="W36" s="754">
        <f t="shared" si="14"/>
        <v>99</v>
      </c>
      <c r="X36" s="1900"/>
      <c r="Y36" s="2988"/>
      <c r="Z36" s="1902" t="str">
        <f t="shared" si="15"/>
        <v>成新度</v>
      </c>
      <c r="AA36" s="1903">
        <f t="shared" si="3"/>
        <v>1.0101010101010102</v>
      </c>
      <c r="AB36" s="1903">
        <f t="shared" si="4"/>
        <v>1.0101010101010102</v>
      </c>
      <c r="AC36" s="1903">
        <f t="shared" si="5"/>
        <v>1.0101010101010102</v>
      </c>
    </row>
    <row r="37" spans="1:29" s="35" customFormat="1" ht="15">
      <c r="A37" s="454"/>
      <c r="B37" s="402" t="s">
        <v>2414</v>
      </c>
      <c r="C37" s="2411" t="s">
        <v>2790</v>
      </c>
      <c r="D37" s="52">
        <v>100</v>
      </c>
      <c r="E37" s="2411" t="s">
        <v>2790</v>
      </c>
      <c r="F37" s="442">
        <f>SUMIF(112:112,E37,113:113)-SUMIF(112:112,C37,113:113)+100</f>
        <v>100</v>
      </c>
      <c r="G37" s="2411" t="s">
        <v>2790</v>
      </c>
      <c r="H37" s="415">
        <f>SUMIF(112:112,G37,113:113)-SUMIF(112:112,C37,113:113)+100</f>
        <v>100</v>
      </c>
      <c r="I37" s="2411" t="s">
        <v>2790</v>
      </c>
      <c r="J37" s="415">
        <f>SUMIF(112:112,I37,113:113)-SUMIF(112:112,C37,113:113)+100</f>
        <v>100</v>
      </c>
      <c r="K37" s="596">
        <v>1</v>
      </c>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2415</v>
      </c>
      <c r="C38" s="2411" t="s">
        <v>2840</v>
      </c>
      <c r="D38" s="415">
        <v>100</v>
      </c>
      <c r="E38" s="2411" t="s">
        <v>2851</v>
      </c>
      <c r="F38" s="442">
        <f>SUMIF(114:114,E38,115:115)-SUMIF(114:114,C38,115:115)+100</f>
        <v>105</v>
      </c>
      <c r="G38" s="2411" t="s">
        <v>2851</v>
      </c>
      <c r="H38" s="415">
        <f>SUMIF(114:114,G38,115:115)-SUMIF(114:114,C38,115:115)+100</f>
        <v>105</v>
      </c>
      <c r="I38" s="2411" t="s">
        <v>2851</v>
      </c>
      <c r="J38" s="415">
        <f>SUMIF(114:114,I38,115:115)-SUMIF(114:114,C38,115:115)+100</f>
        <v>105</v>
      </c>
      <c r="K38" s="596">
        <v>5</v>
      </c>
      <c r="L38" s="1253"/>
      <c r="M38" s="1244"/>
      <c r="N38" s="1244"/>
      <c r="O38" s="1244"/>
      <c r="P38" s="2986" t="s">
        <v>2326</v>
      </c>
      <c r="Q38" s="1899" t="str">
        <f t="shared" si="11"/>
        <v>业态</v>
      </c>
      <c r="R38" s="753" t="s">
        <v>25</v>
      </c>
      <c r="S38" s="754">
        <f t="shared" si="12"/>
        <v>105</v>
      </c>
      <c r="T38" s="753" t="s">
        <v>25</v>
      </c>
      <c r="U38" s="754">
        <f t="shared" si="13"/>
        <v>105</v>
      </c>
      <c r="V38" s="753" t="s">
        <v>25</v>
      </c>
      <c r="W38" s="754">
        <f t="shared" si="14"/>
        <v>105</v>
      </c>
      <c r="X38" s="1900"/>
      <c r="Y38" s="2988" t="s">
        <v>2326</v>
      </c>
      <c r="Z38" s="1902" t="str">
        <f t="shared" si="15"/>
        <v>业态</v>
      </c>
      <c r="AA38" s="1903">
        <f t="shared" si="3"/>
        <v>0.95238095238095233</v>
      </c>
      <c r="AB38" s="1903">
        <f t="shared" si="4"/>
        <v>0.95238095238095233</v>
      </c>
      <c r="AC38" s="1903">
        <f t="shared" si="5"/>
        <v>0.95238095238095233</v>
      </c>
    </row>
    <row r="39" spans="1:29" ht="15">
      <c r="A39" s="453"/>
      <c r="B39" s="402" t="s">
        <v>2416</v>
      </c>
      <c r="C39" s="2411" t="s">
        <v>2838</v>
      </c>
      <c r="D39" s="415">
        <v>100</v>
      </c>
      <c r="E39" s="2411" t="s">
        <v>2838</v>
      </c>
      <c r="F39" s="442">
        <f>SUMIF(116:116,E39,117:117)-SUMIF(116:116,C39,117:117)+100</f>
        <v>100</v>
      </c>
      <c r="G39" s="2411" t="s">
        <v>2838</v>
      </c>
      <c r="H39" s="415">
        <f>SUMIF(116:116,G39,117:117)-SUMIF(116:116,C39,117:117)+100</f>
        <v>100</v>
      </c>
      <c r="I39" s="2411" t="s">
        <v>2838</v>
      </c>
      <c r="J39" s="415">
        <f>SUMIF(116:116,I39,117:117)-SUMIF(116:116,C39,117:117)+100</f>
        <v>100</v>
      </c>
      <c r="K39" s="596">
        <v>1</v>
      </c>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2417</v>
      </c>
      <c r="C40" s="601" t="s">
        <v>2829</v>
      </c>
      <c r="D40" s="415">
        <v>100</v>
      </c>
      <c r="E40" s="602" t="s">
        <v>1254</v>
      </c>
      <c r="F40" s="442">
        <f>SUMIF(118:118,E40,119:119)-SUMIF(118:118,C40,119:119)+100</f>
        <v>100</v>
      </c>
      <c r="G40" s="602" t="s">
        <v>1254</v>
      </c>
      <c r="H40" s="415">
        <f>SUMIF(118:118,G40,119:119)-SUMIF(118:118,C40,119:119)+100</f>
        <v>100</v>
      </c>
      <c r="I40" s="602" t="s">
        <v>1254</v>
      </c>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2418</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2419</v>
      </c>
      <c r="C42" s="2411" t="s">
        <v>2814</v>
      </c>
      <c r="D42" s="415">
        <v>100</v>
      </c>
      <c r="E42" s="2411" t="s">
        <v>2814</v>
      </c>
      <c r="F42" s="442">
        <f>SUMIF(122:122,E42,123:123)-SUMIF(122:122,C42,123:123)+100</f>
        <v>100</v>
      </c>
      <c r="G42" s="2411" t="s">
        <v>2814</v>
      </c>
      <c r="H42" s="415">
        <f>SUMIF(122:122,G42,123:123)-SUMIF(122:122,C42,123:123)+100</f>
        <v>100</v>
      </c>
      <c r="I42" s="2411" t="s">
        <v>2814</v>
      </c>
      <c r="J42" s="415">
        <f>SUMIF(122:122,I42,123:123)-SUMIF(122:122,C42,123:123)+100</f>
        <v>100</v>
      </c>
      <c r="K42" s="596">
        <v>1</v>
      </c>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0</v>
      </c>
      <c r="R44" s="749" t="s">
        <v>25</v>
      </c>
      <c r="S44" s="750">
        <f t="shared" si="12"/>
        <v>100</v>
      </c>
      <c r="T44" s="749" t="s">
        <v>25</v>
      </c>
      <c r="U44" s="750">
        <f t="shared" si="13"/>
        <v>100</v>
      </c>
      <c r="V44" s="749" t="s">
        <v>25</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0</v>
      </c>
      <c r="R45" s="753" t="s">
        <v>25</v>
      </c>
      <c r="S45" s="754">
        <f t="shared" si="12"/>
        <v>100</v>
      </c>
      <c r="T45" s="753" t="s">
        <v>25</v>
      </c>
      <c r="U45" s="754">
        <f t="shared" si="13"/>
        <v>100</v>
      </c>
      <c r="V45" s="753" t="s">
        <v>25</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0</v>
      </c>
      <c r="R46" s="753" t="s">
        <v>25</v>
      </c>
      <c r="S46" s="754">
        <f t="shared" si="12"/>
        <v>100</v>
      </c>
      <c r="T46" s="753" t="s">
        <v>25</v>
      </c>
      <c r="U46" s="754">
        <f t="shared" si="13"/>
        <v>100</v>
      </c>
      <c r="V46" s="753" t="s">
        <v>25</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1</v>
      </c>
      <c r="D47" s="1503"/>
      <c r="E47" s="1504">
        <v>53000</v>
      </c>
      <c r="F47" s="1505"/>
      <c r="G47" s="1506">
        <v>50000</v>
      </c>
      <c r="H47" s="1507"/>
      <c r="I47" s="1504">
        <v>48000</v>
      </c>
      <c r="J47" s="1507"/>
      <c r="K47" s="762"/>
      <c r="L47" s="1256"/>
      <c r="M47" s="1257"/>
      <c r="N47" s="1244"/>
      <c r="O47" s="1257"/>
      <c r="P47" s="2980" t="str">
        <f>A47</f>
        <v>成交单价（元/平方米）</v>
      </c>
      <c r="Q47" s="2980"/>
      <c r="R47" s="2976">
        <f>E47</f>
        <v>53000</v>
      </c>
      <c r="S47" s="2976"/>
      <c r="T47" s="2976">
        <f>G47</f>
        <v>50000</v>
      </c>
      <c r="U47" s="2976"/>
      <c r="V47" s="2976">
        <f>I47</f>
        <v>48000</v>
      </c>
      <c r="W47" s="2976"/>
      <c r="X47" s="738"/>
      <c r="Y47" s="760"/>
      <c r="Z47" s="738"/>
      <c r="AA47" s="738"/>
      <c r="AB47" s="738"/>
      <c r="AC47" s="738"/>
    </row>
    <row r="48" spans="1:29" ht="15.75" thickBot="1">
      <c r="A48" s="467" t="s">
        <v>2420</v>
      </c>
      <c r="B48" s="468"/>
      <c r="C48" s="1508">
        <f>R49</f>
        <v>47972</v>
      </c>
      <c r="D48" s="1509"/>
      <c r="E48" s="1510">
        <f>R48</f>
        <v>50986</v>
      </c>
      <c r="F48" s="1510"/>
      <c r="G48" s="1508">
        <f>T48</f>
        <v>48100</v>
      </c>
      <c r="H48" s="1509"/>
      <c r="I48" s="1510">
        <f>V48</f>
        <v>44831</v>
      </c>
      <c r="J48" s="1509"/>
      <c r="K48" s="763"/>
      <c r="L48" s="1256"/>
      <c r="M48" s="1257"/>
      <c r="N48" s="1244"/>
      <c r="O48" s="1257"/>
      <c r="P48" s="2980" t="str">
        <f>A48</f>
        <v>比较价值（元/平方米）</v>
      </c>
      <c r="Q48" s="2980"/>
      <c r="R48" s="2976">
        <f>IF(E1="售价",ROUND(PRODUCT(R47,AA7:AA46),0),ROUND(PRODUCT(R47,AA7:AA46),1))</f>
        <v>50986</v>
      </c>
      <c r="S48" s="2976"/>
      <c r="T48" s="2976">
        <f>IF(E1="售价",ROUND(PRODUCT(T47,AB7:AB46),0),ROUND(PRODUCT(T47,AB7:AB46),1))</f>
        <v>48100</v>
      </c>
      <c r="U48" s="2976"/>
      <c r="V48" s="2976">
        <f>IF(E1="售价",ROUND(PRODUCT(V47,AC7:AC46),0),ROUND(PRODUCT(V47,AC7:AC46),1))</f>
        <v>44831</v>
      </c>
      <c r="W48" s="2976"/>
      <c r="X48" s="738"/>
      <c r="Y48" s="738"/>
      <c r="Z48" s="738"/>
      <c r="AA48" s="738"/>
      <c r="AB48" s="738"/>
      <c r="AC48" s="738"/>
    </row>
    <row r="49" spans="1:29" ht="15.75" thickBot="1">
      <c r="A49" s="473" t="s">
        <v>2421</v>
      </c>
      <c r="B49" s="474"/>
      <c r="C49" s="1512">
        <f>R49</f>
        <v>47972</v>
      </c>
      <c r="D49" s="1512"/>
      <c r="E49" s="1512"/>
      <c r="F49" s="1512"/>
      <c r="G49" s="1512"/>
      <c r="H49" s="1512"/>
      <c r="I49" s="1512"/>
      <c r="J49" s="1512"/>
      <c r="K49" s="764"/>
      <c r="L49" s="1256"/>
      <c r="M49" s="1257"/>
      <c r="N49" s="1244"/>
      <c r="O49" s="1257"/>
      <c r="P49" s="2977" t="str">
        <f>A49</f>
        <v>估价对象XX用房的比较价值（楼面单价，元/平方米）</v>
      </c>
      <c r="Q49" s="2978"/>
      <c r="R49" s="2979">
        <f>IF(E1="售价",ROUND(AVERAGE(R48:V48),0),ROUND(AVERAGE(R48:V48),1))</f>
        <v>47972</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f>IF(E47&lt;E48,E48/E47-1,E47/E48-1)</f>
        <v>3.9501039501039559E-2</v>
      </c>
      <c r="F52" s="481" t="str">
        <f>IF(OR(E52&gt;=0.3,E52&lt;=-0.3),"超过30%","")</f>
        <v/>
      </c>
      <c r="G52" s="480">
        <f>IF(G47&lt;G48,G48/G47-1,G47/G48-1)</f>
        <v>3.9501039501039559E-2</v>
      </c>
      <c r="H52" s="481" t="str">
        <f>IF(OR(G52&gt;=0.3,G52&lt;=-0.3),"超过30%","")</f>
        <v/>
      </c>
      <c r="I52" s="480">
        <f>IF(I47&lt;I48,I48/I47-1,I47/I48-1)</f>
        <v>7.0687693783319627E-2</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f>IF(E48&lt;G48,G48/E48-1,E48/G48-1)</f>
        <v>6.0000000000000053E-2</v>
      </c>
      <c r="F53" s="481" t="str">
        <f>IF(OR(E53&gt;=0.2,E53&lt;=-0.2),"超过20%","")</f>
        <v/>
      </c>
      <c r="G53" s="480">
        <f>IF(G48&lt;I48,I48/G48-1,G48/I48-1)</f>
        <v>7.291829314536824E-2</v>
      </c>
      <c r="H53" s="481" t="str">
        <f>IF(OR(G53&gt;=0.2,G53&lt;=-0.2),"超过20%","")</f>
        <v/>
      </c>
      <c r="I53" s="480">
        <f>IF(I48&lt;E48,E48/I48-1,I48/E48-1)</f>
        <v>0.1372933907340903</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2310</v>
      </c>
      <c r="B61" s="491"/>
      <c r="C61" s="503" t="s">
        <v>2311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2829</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2426</v>
      </c>
      <c r="C86" s="537" t="s">
        <v>2830</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2831</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2831</v>
      </c>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27"/>
      <c r="Q91" s="543"/>
    </row>
    <row r="92" spans="1:17" ht="15.75" thickTop="1">
      <c r="A92" s="516"/>
      <c r="B92" s="521" t="str">
        <f>B28</f>
        <v>楼层</v>
      </c>
      <c r="C92" s="537" t="s">
        <v>2832</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2324</v>
      </c>
      <c r="B100" s="509" t="s">
        <v>2427</v>
      </c>
      <c r="C100" s="2739" t="s">
        <v>2834</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26"/>
      <c r="Q101" s="485"/>
    </row>
    <row r="102" spans="1:17" ht="15.75" thickTop="1">
      <c r="A102" s="516"/>
      <c r="B102" s="521" t="s">
        <v>2373</v>
      </c>
      <c r="C102" s="562" t="str">
        <f>C103&amp;"(含)"&amp;"-"&amp;D103</f>
        <v>0(含)-40</v>
      </c>
      <c r="D102" s="562" t="str">
        <f t="shared" ref="D102:L102" si="22">D103&amp;"(含)"&amp;"-"&amp;E103</f>
        <v>40(含)-80</v>
      </c>
      <c r="E102" s="562" t="str">
        <f t="shared" si="22"/>
        <v>80(含)-120</v>
      </c>
      <c r="F102" s="562" t="str">
        <f t="shared" si="22"/>
        <v>120(含)-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8"/>
      <c r="O104" s="1268"/>
      <c r="P104" s="2427"/>
      <c r="Q104" s="543"/>
    </row>
    <row r="105" spans="1:17" ht="15" thickTop="1">
      <c r="A105" s="583"/>
      <c r="B105" s="521" t="s">
        <v>2374</v>
      </c>
      <c r="C105" s="2738" t="s">
        <v>2835</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2376</v>
      </c>
      <c r="C107" s="2738" t="s">
        <v>2836</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2379</v>
      </c>
      <c r="C112" s="2738" t="s">
        <v>2837</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2428</v>
      </c>
      <c r="C114" s="2738" t="s">
        <v>2852</v>
      </c>
      <c r="D114" s="2738" t="s">
        <v>2853</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8"/>
      <c r="O115" s="1268"/>
      <c r="P115" s="2426"/>
      <c r="Q115" s="485"/>
    </row>
    <row r="116" spans="1:17" ht="15" thickTop="1">
      <c r="A116" s="583"/>
      <c r="B116" s="521" t="s">
        <v>2429</v>
      </c>
      <c r="C116" s="2738" t="s">
        <v>2839</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2430</v>
      </c>
      <c r="C118" s="611" t="s">
        <v>2829</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2741" t="s">
        <v>2831</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2381</v>
      </c>
      <c r="C122" s="2738" t="s">
        <v>2841</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J2" sqref="J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2052</v>
      </c>
      <c r="B1" s="306"/>
      <c r="C1" s="730"/>
      <c r="D1" s="2706" t="s">
        <v>2784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372</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29859</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184316</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184086</v>
      </c>
      <c r="D6" s="80" t="s">
        <v>2758</v>
      </c>
      <c r="E6" s="319" t="s">
        <v>2064</v>
      </c>
      <c r="F6" s="320">
        <f>'数据-取费表'!B29</f>
        <v>4.5</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124.53</v>
      </c>
      <c r="G7" s="1238"/>
      <c r="H7" s="321"/>
      <c r="I7" s="322"/>
      <c r="J7" s="323"/>
      <c r="K7" s="324"/>
      <c r="L7" s="319" t="s">
        <v>2065</v>
      </c>
      <c r="M7" s="320">
        <f>IF('数据-取费表'!B41="",IF(D1="仅计算典型户型",'数据-取费表'!E5,'数据-取费表'!B5),'数据-取费表'!B41)</f>
        <v>124.53</v>
      </c>
    </row>
    <row r="8" spans="1:37" ht="18" customHeight="1">
      <c r="A8" s="1447"/>
      <c r="B8" s="322"/>
      <c r="C8" s="323"/>
      <c r="D8" s="324"/>
      <c r="E8" s="319" t="s">
        <v>2066</v>
      </c>
      <c r="F8" s="320">
        <f>'数据-取费表'!B42</f>
        <v>365</v>
      </c>
      <c r="G8" s="1238"/>
      <c r="H8" s="321"/>
      <c r="I8" s="322"/>
      <c r="J8" s="323"/>
      <c r="K8" s="324"/>
      <c r="L8" s="319" t="s">
        <v>2067</v>
      </c>
      <c r="M8" s="320">
        <f>'数据-取费表'!B42</f>
        <v>365</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230</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514300</v>
      </c>
      <c r="D13" s="1422" t="s">
        <v>2079</v>
      </c>
      <c r="E13" s="1422" t="s">
        <v>2080</v>
      </c>
      <c r="F13" s="1423">
        <f>'数据-取费表'!E20</f>
        <v>0.92</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348684</v>
      </c>
      <c r="D14" s="1888" t="s">
        <v>2083</v>
      </c>
      <c r="E14" s="1889"/>
      <c r="F14" s="979"/>
      <c r="G14" s="1239"/>
      <c r="H14" s="337" t="s">
        <v>2062</v>
      </c>
      <c r="I14" s="319" t="s">
        <v>2084</v>
      </c>
      <c r="J14" s="14">
        <f ca="1">C29</f>
        <v>559022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10461</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8385</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24906</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5230</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389281</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7786</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8385</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18861</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-8385</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99267</v>
      </c>
      <c r="D26" s="344" t="s">
        <v>2142</v>
      </c>
      <c r="E26" s="330" t="s">
        <v>2143</v>
      </c>
      <c r="F26" s="329">
        <f>'数据-取费表'!E28</f>
        <v>0.25</v>
      </c>
      <c r="G26" s="791"/>
      <c r="H26" s="316" t="s">
        <v>23</v>
      </c>
      <c r="I26" s="317" t="s">
        <v>2144</v>
      </c>
      <c r="J26" s="318">
        <f ca="1">IF(J5&lt;&gt;0,ROUND(J25*(1-((1+M28)/(1+M26))^M27)/(M26-M28),0),0)</f>
        <v>0</v>
      </c>
      <c r="K26" s="346" t="s">
        <v>2145</v>
      </c>
      <c r="L26" s="319" t="s">
        <v>2146</v>
      </c>
      <c r="M26" s="329">
        <f>'数据-取费表'!B16</f>
        <v>5.5E-2</v>
      </c>
    </row>
    <row r="27" spans="1:37" ht="18" customHeight="1">
      <c r="A27" s="337" t="s">
        <v>2147</v>
      </c>
      <c r="B27" s="319" t="s">
        <v>2148</v>
      </c>
      <c r="C27" s="14">
        <f>ROUND(F21*F26,4)</f>
        <v>5.0000000000000001E-3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559022</v>
      </c>
      <c r="D29" s="1433"/>
      <c r="E29" s="1431"/>
      <c r="F29" s="1434"/>
      <c r="G29" s="791"/>
      <c r="H29" s="356" t="s">
        <v>24</v>
      </c>
      <c r="I29" s="357" t="s">
        <v>2158</v>
      </c>
      <c r="J29" s="358">
        <f ca="1">ROUND(J26/(1+F40)^F41,0)</f>
        <v>0</v>
      </c>
      <c r="K29" s="359" t="s">
        <v>2159</v>
      </c>
      <c r="L29" s="360"/>
      <c r="M29" s="361">
        <f>IF(D1="仅计算典型户型",'数据-取费表'!E5,'数据-取费表'!B5)</f>
        <v>124.53</v>
      </c>
    </row>
    <row r="30" spans="1:37" ht="18" customHeight="1" thickTop="1">
      <c r="A30" s="1420" t="s">
        <v>14</v>
      </c>
      <c r="B30" s="1421" t="s">
        <v>2160</v>
      </c>
      <c r="C30" s="327">
        <f ca="1">ROUND(C31+C36+C37+C38,0)</f>
        <v>23901</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12902.1</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2787</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43716</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8385</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771</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1843</v>
      </c>
      <c r="D38" s="1433" t="s">
        <v>2135</v>
      </c>
      <c r="E38" s="1431" t="s">
        <v>2131</v>
      </c>
      <c r="F38" s="1426">
        <f>'数据-取费表'!B46</f>
        <v>0.01</v>
      </c>
      <c r="G38" s="791"/>
      <c r="H38" s="1230"/>
      <c r="I38" s="365" t="s">
        <v>2173</v>
      </c>
      <c r="J38" s="220">
        <f ca="1">ROUND(J34/C39,3)</f>
        <v>0.27300000000000002</v>
      </c>
      <c r="K38" s="1235"/>
      <c r="L38" s="1230"/>
      <c r="M38" s="1230"/>
    </row>
    <row r="39" spans="1:18" ht="18" customHeight="1" thickTop="1">
      <c r="A39" s="1420" t="s">
        <v>22</v>
      </c>
      <c r="B39" s="1435" t="s">
        <v>2174</v>
      </c>
      <c r="C39" s="327">
        <f ca="1">C5-C30</f>
        <v>160415</v>
      </c>
      <c r="D39" s="1436" t="s">
        <v>2175</v>
      </c>
      <c r="E39" s="1437"/>
      <c r="F39" s="1438"/>
      <c r="G39" s="791"/>
      <c r="H39" s="1230"/>
      <c r="I39" s="365" t="s">
        <v>2176</v>
      </c>
      <c r="J39" s="220">
        <f ca="1">1-J38</f>
        <v>0.72699999999999998</v>
      </c>
      <c r="K39" s="1235"/>
      <c r="L39" s="1230"/>
      <c r="M39" s="1230"/>
    </row>
    <row r="40" spans="1:18" s="791" customFormat="1" ht="18" customHeight="1">
      <c r="A40" s="316" t="s">
        <v>23</v>
      </c>
      <c r="B40" s="317" t="s">
        <v>2177</v>
      </c>
      <c r="C40" s="318">
        <f ca="1">ROUND(C39*(1-((1+F42)/(1+F40))^F41)/(F40-F42),0)</f>
        <v>3702396</v>
      </c>
      <c r="D40" s="346" t="s">
        <v>2145</v>
      </c>
      <c r="E40" s="319" t="s">
        <v>2146</v>
      </c>
      <c r="F40" s="329">
        <f>'数据-取费表'!B16</f>
        <v>5.5E-2</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32.35</v>
      </c>
      <c r="H41" s="1237"/>
      <c r="I41" s="219" t="s">
        <v>2050</v>
      </c>
      <c r="J41" s="220">
        <f ca="1">ROUND(C13/C40,3)</f>
        <v>0.13900000000000001</v>
      </c>
      <c r="K41" s="1234"/>
      <c r="L41" s="1237"/>
      <c r="M41" s="1237"/>
      <c r="Q41" s="795"/>
    </row>
    <row r="42" spans="1:18" s="791" customFormat="1" ht="18" customHeight="1">
      <c r="A42" s="325"/>
      <c r="B42" s="326"/>
      <c r="C42" s="327"/>
      <c r="D42" s="349"/>
      <c r="E42" s="319" t="s">
        <v>2155</v>
      </c>
      <c r="F42" s="329">
        <f>'数据-取费表'!B31</f>
        <v>3.5000000000000003E-2</v>
      </c>
      <c r="H42" s="1237"/>
      <c r="I42" s="219" t="s">
        <v>2051</v>
      </c>
      <c r="J42" s="221">
        <f ca="1">1-J41</f>
        <v>0.86099999999999999</v>
      </c>
      <c r="K42" s="1234"/>
      <c r="L42" s="1237"/>
      <c r="M42" s="1237"/>
      <c r="Q42" s="795"/>
    </row>
    <row r="43" spans="1:18" s="791" customFormat="1" ht="18" customHeight="1" thickBot="1">
      <c r="A43" s="356" t="s">
        <v>24</v>
      </c>
      <c r="B43" s="357" t="s">
        <v>2180</v>
      </c>
      <c r="C43" s="358">
        <f ca="1">ROUND(C40/F43,0)</f>
        <v>29731</v>
      </c>
      <c r="D43" s="359" t="s">
        <v>2181</v>
      </c>
      <c r="E43" s="360" t="s">
        <v>2182</v>
      </c>
      <c r="F43" s="361">
        <f>IF(D1="仅计算典型户型",'数据-取费表'!E5,'数据-取费表'!B5)</f>
        <v>124.53</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3702396</v>
      </c>
      <c r="R45" s="1370" t="s">
        <v>2189</v>
      </c>
    </row>
    <row r="46" spans="1:18" s="791" customFormat="1" ht="18" customHeight="1" thickBot="1">
      <c r="A46" s="776"/>
      <c r="D46" s="776"/>
      <c r="E46" s="776"/>
      <c r="F46" s="776"/>
      <c r="K46" s="792"/>
      <c r="O46" s="1367" t="s">
        <v>958</v>
      </c>
      <c r="P46" s="1368" t="s">
        <v>2190</v>
      </c>
      <c r="Q46" s="1369">
        <f ca="1">J61</f>
        <v>15971</v>
      </c>
      <c r="R46" s="1370" t="s">
        <v>2191</v>
      </c>
    </row>
    <row r="47" spans="1:18" s="791" customFormat="1" ht="21.75" thickBot="1">
      <c r="A47" s="2345" t="s">
        <v>2192</v>
      </c>
      <c r="C47" s="1303">
        <f ca="1">IF(C2="元",C69-C40,ROUND((C69-C40)/10000,0))</f>
        <v>-384</v>
      </c>
      <c r="D47" s="2346" t="str">
        <f>C2</f>
        <v>万元</v>
      </c>
      <c r="E47" s="776"/>
      <c r="F47" s="776"/>
      <c r="I47" s="2347" t="s">
        <v>2193</v>
      </c>
      <c r="J47" s="1343"/>
      <c r="K47" s="1344"/>
      <c r="L47" s="1357">
        <f ca="1">IF(M48="住宅",0,IF(L49&gt;J52,L61,J61))</f>
        <v>15971</v>
      </c>
      <c r="O47" s="1371" t="s">
        <v>959</v>
      </c>
      <c r="P47" s="1368" t="s">
        <v>2194</v>
      </c>
      <c r="Q47" s="1369">
        <f ca="1">C29</f>
        <v>559022</v>
      </c>
      <c r="R47" s="1370" t="s">
        <v>2189</v>
      </c>
    </row>
    <row r="48" spans="1:18" s="791" customFormat="1" ht="15.75" thickBot="1">
      <c r="A48" s="312" t="s">
        <v>2195</v>
      </c>
      <c r="B48" s="313" t="s">
        <v>2196</v>
      </c>
      <c r="C48" s="313" t="s">
        <v>2197</v>
      </c>
      <c r="D48" s="313" t="s">
        <v>2198</v>
      </c>
      <c r="E48" s="1297" t="s">
        <v>2199</v>
      </c>
      <c r="F48" s="1298"/>
      <c r="I48" s="2348" t="s">
        <v>2200</v>
      </c>
      <c r="J48" s="2349" t="s">
        <v>2785</v>
      </c>
      <c r="K48" s="2350" t="s">
        <v>2201</v>
      </c>
      <c r="L48" s="1345">
        <f>'数据-取费表'!B11</f>
        <v>40</v>
      </c>
      <c r="M48" s="1358" t="str">
        <f>IF('数据-取费表'!B10="住宅","住宅","非住宅")</f>
        <v>非住宅</v>
      </c>
      <c r="O48" s="1371" t="s">
        <v>960</v>
      </c>
      <c r="P48" s="1368" t="s">
        <v>2202</v>
      </c>
      <c r="Q48" s="1372">
        <f>J59</f>
        <v>0.4</v>
      </c>
      <c r="R48" s="1370"/>
    </row>
    <row r="49" spans="1:18" s="791" customFormat="1" ht="15.75" thickBot="1">
      <c r="A49" s="1457" t="s">
        <v>1030</v>
      </c>
      <c r="B49" s="317" t="s">
        <v>2203</v>
      </c>
      <c r="C49" s="1458">
        <f ca="1">C50+C54+C56</f>
        <v>0</v>
      </c>
      <c r="D49" s="1459"/>
      <c r="E49" s="101"/>
      <c r="F49" s="16"/>
      <c r="I49" s="2351" t="s">
        <v>2204</v>
      </c>
      <c r="J49" s="2352" t="s">
        <v>2786</v>
      </c>
      <c r="K49" s="2353" t="s">
        <v>2205</v>
      </c>
      <c r="L49" s="1128">
        <f>'数据-取费表'!B13</f>
        <v>32.35</v>
      </c>
      <c r="O49" s="1371" t="s">
        <v>961</v>
      </c>
      <c r="P49" s="1368" t="s">
        <v>2206</v>
      </c>
      <c r="Q49" s="1372">
        <f>J53</f>
        <v>8.5000000000000006E-2</v>
      </c>
      <c r="R49" s="1370"/>
    </row>
    <row r="50" spans="1:18" s="791" customFormat="1" ht="15.75" thickBot="1">
      <c r="A50" s="345" t="s">
        <v>2062</v>
      </c>
      <c r="B50" s="2025" t="s">
        <v>2207</v>
      </c>
      <c r="C50" s="318">
        <f>ROUND(F50*F52*F51*(1-F53),0)</f>
        <v>0</v>
      </c>
      <c r="D50" s="93" t="s">
        <v>2759</v>
      </c>
      <c r="E50" s="2354" t="s">
        <v>2208</v>
      </c>
      <c r="F50" s="1299"/>
      <c r="I50" s="2351" t="s">
        <v>2209</v>
      </c>
      <c r="J50" s="1128">
        <f>'数据-取费表'!B26</f>
        <v>2013</v>
      </c>
      <c r="K50" s="2355" t="s">
        <v>2210</v>
      </c>
      <c r="L50" s="1346"/>
      <c r="O50" s="1371" t="s">
        <v>962</v>
      </c>
      <c r="P50" s="1368" t="s">
        <v>2211</v>
      </c>
      <c r="Q50" s="1369">
        <f>J54</f>
        <v>32.35</v>
      </c>
      <c r="R50" s="1370" t="s">
        <v>2212</v>
      </c>
    </row>
    <row r="51" spans="1:18" s="791" customFormat="1" ht="15.75" thickBot="1">
      <c r="A51" s="321"/>
      <c r="B51" s="322"/>
      <c r="C51" s="323"/>
      <c r="D51" s="324"/>
      <c r="E51" s="339" t="s">
        <v>2065</v>
      </c>
      <c r="F51" s="1296">
        <f>F7</f>
        <v>124.53</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372</v>
      </c>
      <c r="R51" s="1370" t="s">
        <v>964</v>
      </c>
    </row>
    <row r="52" spans="1:18" s="791" customFormat="1" ht="16.5" thickBot="1">
      <c r="A52" s="321"/>
      <c r="B52" s="322"/>
      <c r="C52" s="323"/>
      <c r="D52" s="324"/>
      <c r="E52" s="319" t="s">
        <v>2067</v>
      </c>
      <c r="F52" s="320">
        <f>F8</f>
        <v>365</v>
      </c>
      <c r="I52" s="2356" t="s">
        <v>2215</v>
      </c>
      <c r="J52" s="1348">
        <f>IF(J50="",J51,J50+J51-YEAR('数据-取费表'!B2))</f>
        <v>55</v>
      </c>
      <c r="K52" s="2357" t="s">
        <v>2216</v>
      </c>
      <c r="L52" s="1349">
        <f ca="1">ROUND(-PV('数据-取费表'!B15,L49,(C40-C13*J35)),0)</f>
        <v>61729092</v>
      </c>
      <c r="O52" s="1361" t="s">
        <v>2217</v>
      </c>
      <c r="P52" s="1362"/>
      <c r="Q52" s="1358"/>
      <c r="R52" s="1362"/>
    </row>
    <row r="53" spans="1:18" s="791" customFormat="1" ht="15.75" thickBot="1">
      <c r="A53" s="325"/>
      <c r="B53" s="326"/>
      <c r="C53" s="327"/>
      <c r="D53" s="328"/>
      <c r="E53" s="319" t="s">
        <v>2068</v>
      </c>
      <c r="F53" s="1356"/>
      <c r="I53" s="2358" t="s">
        <v>2218</v>
      </c>
      <c r="J53" s="1350">
        <v>8.5000000000000006E-2</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32.35</v>
      </c>
      <c r="K54" s="3024" t="s">
        <v>2757</v>
      </c>
      <c r="L54" s="3025"/>
      <c r="O54" s="1367" t="s">
        <v>957</v>
      </c>
      <c r="P54" s="1368" t="s">
        <v>2188</v>
      </c>
      <c r="Q54" s="1369">
        <f ca="1">C40+J29</f>
        <v>3702396</v>
      </c>
      <c r="R54" s="1370" t="s">
        <v>2189</v>
      </c>
    </row>
    <row r="55" spans="1:18" s="791" customFormat="1" ht="20.25"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20.25" thickBot="1">
      <c r="A56" s="1424" t="s">
        <v>2076</v>
      </c>
      <c r="B56" s="2343" t="s">
        <v>2077</v>
      </c>
      <c r="C56" s="1425"/>
      <c r="D56" s="1441"/>
      <c r="E56" s="2362"/>
      <c r="F56" s="1501"/>
      <c r="I56" s="2363" t="s">
        <v>2222</v>
      </c>
      <c r="J56" s="1871">
        <f>ROUND(IF(J48="钢混",J58/J51,1-(1-2%)*(J51-J58)/J51),3)</f>
        <v>0.378</v>
      </c>
      <c r="K56" s="2364" t="s">
        <v>2223</v>
      </c>
      <c r="L56" s="1352"/>
      <c r="O56" s="1371" t="s">
        <v>959</v>
      </c>
      <c r="P56" s="1368" t="s">
        <v>2224</v>
      </c>
      <c r="Q56" s="1369">
        <f>IF(L56="比较法",L50,IF(L56="基准地价",L51,0))</f>
        <v>0</v>
      </c>
      <c r="R56" s="1370" t="s">
        <v>2189</v>
      </c>
    </row>
    <row r="57" spans="1:18" s="791" customFormat="1" ht="44.25" thickTop="1" thickBot="1">
      <c r="A57" s="1420">
        <v>2</v>
      </c>
      <c r="B57" s="1421" t="s">
        <v>2078</v>
      </c>
      <c r="C57" s="1500">
        <f ca="1">C13</f>
        <v>514300</v>
      </c>
      <c r="D57" s="1294"/>
      <c r="E57" s="1295"/>
      <c r="F57" s="1302"/>
      <c r="I57" s="2365" t="s">
        <v>2225</v>
      </c>
      <c r="J57" s="1355"/>
      <c r="K57" s="2351" t="s">
        <v>2226</v>
      </c>
      <c r="L57" s="1128" t="str">
        <f>IF(L49&lt;J52,"——",L49-J52)</f>
        <v>——</v>
      </c>
      <c r="O57" s="1371" t="s">
        <v>960</v>
      </c>
      <c r="P57" s="1368" t="s">
        <v>2227</v>
      </c>
      <c r="Q57" s="1372">
        <f>L53</f>
        <v>0</v>
      </c>
      <c r="R57" s="1370"/>
    </row>
    <row r="58" spans="1:18" s="791" customFormat="1" ht="29.25" thickBot="1">
      <c r="A58" s="1301"/>
      <c r="B58" s="319" t="s">
        <v>2157</v>
      </c>
      <c r="C58" s="188">
        <f ca="1">C29</f>
        <v>559022</v>
      </c>
      <c r="D58" s="1294"/>
      <c r="E58" s="1295"/>
      <c r="F58" s="1302"/>
      <c r="I58" s="2366" t="s">
        <v>2228</v>
      </c>
      <c r="J58" s="1354">
        <f>IF(OR(M48="住宅",J52&lt;L49,J57="是"),"——",J52-L49)</f>
        <v>22.65</v>
      </c>
      <c r="K58" s="2351" t="s">
        <v>2229</v>
      </c>
      <c r="L58" s="1128" t="str">
        <f>IF(L49&lt;J52,"——",IF(L56="比较法",L50,IF(L56="基准地价",L51,L52)))</f>
        <v>——</v>
      </c>
      <c r="O58" s="1371" t="s">
        <v>961</v>
      </c>
      <c r="P58" s="1368" t="s">
        <v>2230</v>
      </c>
      <c r="Q58" s="1369" t="e">
        <f>L59</f>
        <v>#DIV/0!</v>
      </c>
      <c r="R58" s="1370" t="s">
        <v>2231</v>
      </c>
    </row>
    <row r="59" spans="1:18" s="791" customFormat="1" ht="29.25" thickBot="1">
      <c r="A59" s="332" t="s">
        <v>14</v>
      </c>
      <c r="B59" s="333" t="s">
        <v>2160</v>
      </c>
      <c r="C59" s="334">
        <f ca="1">ROUND(C60+C65+C66+C67,0)</f>
        <v>9156</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29.25"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223609</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370</v>
      </c>
      <c r="R60" s="1370" t="s">
        <v>964</v>
      </c>
    </row>
    <row r="61" spans="1:18" s="791" customFormat="1" ht="16.5"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15971</v>
      </c>
      <c r="K61" s="2368" t="s">
        <v>2237</v>
      </c>
      <c r="L61" s="1353">
        <f>IF(OR(M48="住宅",L49&lt;J52),0,ROUND(L58*(L59/L60-1),0))</f>
        <v>0</v>
      </c>
      <c r="O61" s="1361" t="s">
        <v>2238</v>
      </c>
      <c r="P61" s="1362"/>
      <c r="Q61" s="1358"/>
      <c r="R61" s="1362"/>
    </row>
    <row r="62" spans="1:18" s="791" customFormat="1" ht="15.75"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5.75"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3702396</v>
      </c>
      <c r="R63" s="1370" t="s">
        <v>2189</v>
      </c>
    </row>
    <row r="64" spans="1:18" s="791" customFormat="1" ht="20.25"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3.25" thickBot="1">
      <c r="A65" s="337" t="s">
        <v>19</v>
      </c>
      <c r="B65" s="319" t="s">
        <v>2169</v>
      </c>
      <c r="C65" s="14">
        <f ca="1">ROUND(C58*F65,0)</f>
        <v>8385</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61729092</v>
      </c>
      <c r="R65" s="1374" t="s">
        <v>2251</v>
      </c>
    </row>
    <row r="66" spans="1:18" s="791" customFormat="1" ht="20.25" thickBot="1">
      <c r="A66" s="337" t="s">
        <v>20</v>
      </c>
      <c r="B66" s="319" t="s">
        <v>2129</v>
      </c>
      <c r="C66" s="14">
        <f ca="1">ROUND(C57*F66,0)</f>
        <v>771</v>
      </c>
      <c r="D66" s="1893" t="s">
        <v>2130</v>
      </c>
      <c r="E66" s="319" t="s">
        <v>2131</v>
      </c>
      <c r="F66" s="351">
        <f t="shared" si="0"/>
        <v>1.5E-3</v>
      </c>
      <c r="I66" s="2369" t="s">
        <v>2252</v>
      </c>
      <c r="J66" s="1874">
        <v>40</v>
      </c>
      <c r="K66" s="1874">
        <v>30</v>
      </c>
      <c r="L66" s="1874">
        <v>50</v>
      </c>
      <c r="M66" s="1872">
        <v>0.02</v>
      </c>
      <c r="O66" s="1371" t="s">
        <v>960</v>
      </c>
      <c r="P66" s="1375" t="s">
        <v>2253</v>
      </c>
      <c r="Q66" s="1369">
        <f ca="1">ROUND(Q67-Q68*Q69,0)</f>
        <v>116700</v>
      </c>
      <c r="R66" s="1370"/>
    </row>
    <row r="67" spans="1:18" s="791" customFormat="1" ht="15.75" thickBot="1">
      <c r="A67" s="337" t="s">
        <v>21</v>
      </c>
      <c r="B67" s="319" t="s">
        <v>2112</v>
      </c>
      <c r="C67" s="14">
        <f ca="1">ROUND(C49*F67,0)</f>
        <v>0</v>
      </c>
      <c r="D67" s="1893" t="s">
        <v>2135</v>
      </c>
      <c r="E67" s="319" t="s">
        <v>2131</v>
      </c>
      <c r="F67" s="329">
        <f t="shared" si="0"/>
        <v>0.01</v>
      </c>
      <c r="O67" s="1371" t="s">
        <v>965</v>
      </c>
      <c r="P67" s="1375" t="s">
        <v>2254</v>
      </c>
      <c r="Q67" s="1369">
        <f ca="1">C39</f>
        <v>160415</v>
      </c>
      <c r="R67" s="1370" t="s">
        <v>2189</v>
      </c>
    </row>
    <row r="68" spans="1:18" ht="15.75" thickBot="1">
      <c r="A68" s="332" t="s">
        <v>22</v>
      </c>
      <c r="B68" s="89" t="s">
        <v>2139</v>
      </c>
      <c r="C68" s="334">
        <f ca="1">C49-C59</f>
        <v>-9156</v>
      </c>
      <c r="D68" s="1888" t="s">
        <v>2140</v>
      </c>
      <c r="E68" s="1892"/>
      <c r="F68" s="353"/>
      <c r="H68" s="791"/>
      <c r="I68" s="791"/>
      <c r="J68" s="791"/>
      <c r="K68" s="791"/>
      <c r="L68" s="791"/>
      <c r="M68" s="791"/>
      <c r="O68" s="1371" t="s">
        <v>966</v>
      </c>
      <c r="P68" s="1375" t="s">
        <v>2255</v>
      </c>
      <c r="Q68" s="1369">
        <f ca="1">C13</f>
        <v>514300</v>
      </c>
      <c r="R68" s="1370" t="s">
        <v>2189</v>
      </c>
    </row>
    <row r="69" spans="1:18" ht="15.75" thickBot="1">
      <c r="A69" s="316" t="s">
        <v>23</v>
      </c>
      <c r="B69" s="317" t="s">
        <v>2177</v>
      </c>
      <c r="C69" s="318">
        <f ca="1">ROUND(C68*(1-((1+F71)/(1+F69))^F70)/(F69-F71),0)</f>
        <v>-137020</v>
      </c>
      <c r="D69" s="346" t="s">
        <v>2145</v>
      </c>
      <c r="E69" s="319" t="s">
        <v>2146</v>
      </c>
      <c r="F69" s="329">
        <f>F40</f>
        <v>5.5E-2</v>
      </c>
      <c r="H69" s="791"/>
      <c r="I69" s="791"/>
      <c r="J69" s="791"/>
      <c r="K69" s="791"/>
      <c r="L69" s="791"/>
      <c r="M69" s="791"/>
      <c r="O69" s="1371" t="s">
        <v>967</v>
      </c>
      <c r="P69" s="1375" t="s">
        <v>2256</v>
      </c>
      <c r="Q69" s="1372">
        <f>J35</f>
        <v>8.5000000000000006E-2</v>
      </c>
      <c r="R69" s="1370"/>
    </row>
    <row r="70" spans="1:18" ht="15.75" thickBot="1">
      <c r="A70" s="321"/>
      <c r="B70" s="322"/>
      <c r="C70" s="323"/>
      <c r="D70" s="354" t="s">
        <v>2179</v>
      </c>
      <c r="E70" s="319" t="s">
        <v>2151</v>
      </c>
      <c r="F70" s="355">
        <f>F41</f>
        <v>32.35</v>
      </c>
      <c r="H70" s="791"/>
      <c r="I70" s="791"/>
      <c r="J70" s="791"/>
      <c r="K70" s="791"/>
      <c r="L70" s="791"/>
      <c r="M70" s="791"/>
      <c r="O70" s="1371" t="s">
        <v>961</v>
      </c>
      <c r="P70" s="1368" t="s">
        <v>2227</v>
      </c>
      <c r="Q70" s="1372">
        <f>L53</f>
        <v>0</v>
      </c>
      <c r="R70" s="1370"/>
    </row>
    <row r="71" spans="1:18" ht="20.25" thickBot="1">
      <c r="A71" s="325"/>
      <c r="B71" s="326"/>
      <c r="C71" s="327"/>
      <c r="D71" s="349"/>
      <c r="E71" s="319" t="s">
        <v>2155</v>
      </c>
      <c r="F71" s="1356"/>
      <c r="H71" s="791"/>
      <c r="M71" s="791"/>
      <c r="O71" s="1371" t="s">
        <v>962</v>
      </c>
      <c r="P71" s="1368" t="s">
        <v>2230</v>
      </c>
      <c r="Q71" s="1369" t="e">
        <f>L59</f>
        <v>#DIV/0!</v>
      </c>
      <c r="R71" s="1370" t="s">
        <v>2231</v>
      </c>
    </row>
    <row r="72" spans="1:18" ht="15.75" thickBot="1">
      <c r="A72" s="356" t="s">
        <v>24</v>
      </c>
      <c r="B72" s="357" t="s">
        <v>2180</v>
      </c>
      <c r="C72" s="358">
        <f ca="1">ROUND(C69/F72,0)</f>
        <v>-1100</v>
      </c>
      <c r="D72" s="359" t="s">
        <v>2181</v>
      </c>
      <c r="E72" s="360" t="s">
        <v>2182</v>
      </c>
      <c r="F72" s="361">
        <f>F43</f>
        <v>124.53</v>
      </c>
      <c r="O72" s="1371" t="s">
        <v>968</v>
      </c>
      <c r="P72" s="1368" t="str">
        <f>K60</f>
        <v>建筑物剩余耐用年限下的土地年期修正系数Kn</v>
      </c>
      <c r="Q72" s="1369" t="e">
        <f>L60</f>
        <v>#DIV/0!</v>
      </c>
      <c r="R72" s="1370" t="s">
        <v>2234</v>
      </c>
    </row>
    <row r="73" spans="1:18" ht="15.75" thickBot="1">
      <c r="A73" s="791"/>
      <c r="B73" s="795"/>
      <c r="C73" s="795"/>
      <c r="D73" s="791"/>
      <c r="E73" s="791"/>
      <c r="F73" s="791"/>
      <c r="O73" s="1367" t="s">
        <v>963</v>
      </c>
      <c r="P73" s="1368" t="str">
        <f>IF(C2="元","收益价值(元)","收益价值(万元)")</f>
        <v>收益价值(万元)</v>
      </c>
      <c r="Q73" s="1369">
        <f ca="1">ROUND(IF(C2="元",Q63+Q64,(Q63+Q64)/10000),0)</f>
        <v>370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9" t="s">
        <v>975</v>
      </c>
      <c r="E2" s="1389" t="s">
        <v>976</v>
      </c>
      <c r="F2" s="1389" t="s">
        <v>977</v>
      </c>
      <c r="G2" s="1389" t="s">
        <v>978</v>
      </c>
      <c r="H2" s="1389" t="s">
        <v>979</v>
      </c>
      <c r="I2" s="1390" t="s">
        <v>980</v>
      </c>
    </row>
    <row r="3" spans="1:9">
      <c r="A3" s="3032"/>
      <c r="B3" s="3033" t="s">
        <v>981</v>
      </c>
      <c r="C3" s="3033"/>
      <c r="D3" s="1391"/>
      <c r="E3" s="1389"/>
      <c r="F3" s="1392"/>
      <c r="G3" s="1392"/>
      <c r="H3" s="1393"/>
      <c r="I3" s="1394">
        <f>ROUND(D3*E3*F3*G3*H3/10000,0)</f>
        <v>0</v>
      </c>
    </row>
    <row r="4" spans="1:9">
      <c r="A4" s="3032"/>
      <c r="B4" s="3033" t="s">
        <v>982</v>
      </c>
      <c r="C4" s="3033"/>
      <c r="D4" s="1391"/>
      <c r="E4" s="1389"/>
      <c r="F4" s="1392"/>
      <c r="G4" s="1392"/>
      <c r="H4" s="1393"/>
      <c r="I4" s="1394">
        <f t="shared" ref="I4:I9" si="0">ROUND(D4*E4*F4*G4*H4/10000,0)</f>
        <v>0</v>
      </c>
    </row>
    <row r="5" spans="1:9">
      <c r="A5" s="3032"/>
      <c r="B5" s="3033" t="s">
        <v>983</v>
      </c>
      <c r="C5" s="3033"/>
      <c r="D5" s="1391"/>
      <c r="E5" s="1389"/>
      <c r="F5" s="1392"/>
      <c r="G5" s="1392"/>
      <c r="H5" s="1393"/>
      <c r="I5" s="1394">
        <f t="shared" si="0"/>
        <v>0</v>
      </c>
    </row>
    <row r="6" spans="1:9">
      <c r="A6" s="3032"/>
      <c r="B6" s="3033" t="s">
        <v>984</v>
      </c>
      <c r="C6" s="3033"/>
      <c r="D6" s="1391"/>
      <c r="E6" s="1389"/>
      <c r="F6" s="1392"/>
      <c r="G6" s="1392"/>
      <c r="H6" s="1393"/>
      <c r="I6" s="1394">
        <f t="shared" si="0"/>
        <v>0</v>
      </c>
    </row>
    <row r="7" spans="1:9">
      <c r="A7" s="3032"/>
      <c r="B7" s="3033" t="s">
        <v>985</v>
      </c>
      <c r="C7" s="3033"/>
      <c r="D7" s="1391"/>
      <c r="E7" s="1389"/>
      <c r="F7" s="1392"/>
      <c r="G7" s="1392"/>
      <c r="H7" s="1393"/>
      <c r="I7" s="1394">
        <f t="shared" si="0"/>
        <v>0</v>
      </c>
    </row>
    <row r="8" spans="1:9">
      <c r="A8" s="3032"/>
      <c r="B8" s="3033" t="s">
        <v>986</v>
      </c>
      <c r="C8" s="3033"/>
      <c r="D8" s="1391"/>
      <c r="E8" s="1389"/>
      <c r="F8" s="1392"/>
      <c r="G8" s="1392"/>
      <c r="H8" s="1393"/>
      <c r="I8" s="1394">
        <f t="shared" si="0"/>
        <v>0</v>
      </c>
    </row>
    <row r="9" spans="1:9">
      <c r="A9" s="3032"/>
      <c r="B9" s="3033" t="s">
        <v>987</v>
      </c>
      <c r="C9" s="3033"/>
      <c r="D9" s="1391"/>
      <c r="E9" s="1389"/>
      <c r="F9" s="1392"/>
      <c r="G9" s="1392"/>
      <c r="H9" s="1393"/>
      <c r="I9" s="1394">
        <f t="shared" si="0"/>
        <v>0</v>
      </c>
    </row>
    <row r="10" spans="1:9">
      <c r="A10" s="3032"/>
      <c r="B10" s="3034" t="s">
        <v>988</v>
      </c>
      <c r="C10" s="3034"/>
      <c r="D10" s="1395">
        <v>527</v>
      </c>
      <c r="E10" s="1395" t="e">
        <f>ROUND(D1*10000/D10/H9,0)</f>
        <v>#DIV/0!</v>
      </c>
      <c r="F10" s="1396"/>
      <c r="G10" s="1396"/>
      <c r="H10" s="1397"/>
      <c r="I10" s="1398">
        <f>SUM(I3:I9)</f>
        <v>0</v>
      </c>
    </row>
    <row r="11" spans="1:9" ht="14.25">
      <c r="A11" s="3032" t="s">
        <v>1026</v>
      </c>
      <c r="B11" s="3033" t="s">
        <v>989</v>
      </c>
      <c r="C11" s="3033"/>
      <c r="D11" s="1391" t="s">
        <v>990</v>
      </c>
      <c r="E11" s="1391" t="s">
        <v>991</v>
      </c>
      <c r="F11" s="1392" t="s">
        <v>992</v>
      </c>
      <c r="G11" s="1392" t="s">
        <v>979</v>
      </c>
      <c r="H11" s="1399" t="s">
        <v>993</v>
      </c>
      <c r="I11" s="1390" t="s">
        <v>980</v>
      </c>
    </row>
    <row r="12" spans="1:9">
      <c r="A12" s="3032"/>
      <c r="B12" s="3033" t="s">
        <v>994</v>
      </c>
      <c r="C12" s="3033"/>
      <c r="D12" s="1391"/>
      <c r="E12" s="1391"/>
      <c r="F12" s="1392"/>
      <c r="G12" s="1393"/>
      <c r="H12" s="1400"/>
      <c r="I12" s="1390">
        <f>ROUND(D12*E12*F12*G12/10000,0)</f>
        <v>0</v>
      </c>
    </row>
    <row r="13" spans="1:9">
      <c r="A13" s="3032"/>
      <c r="B13" s="3033" t="s">
        <v>995</v>
      </c>
      <c r="C13" s="3033"/>
      <c r="D13" s="1391"/>
      <c r="E13" s="1391"/>
      <c r="F13" s="1392"/>
      <c r="G13" s="1393"/>
      <c r="H13" s="1400"/>
      <c r="I13" s="1390">
        <f>ROUND(D13*E13*F13*G13/10000,0)</f>
        <v>0</v>
      </c>
    </row>
    <row r="14" spans="1:9">
      <c r="A14" s="3032"/>
      <c r="B14" s="3033" t="s">
        <v>996</v>
      </c>
      <c r="C14" s="3033"/>
      <c r="D14" s="1391"/>
      <c r="E14" s="1391"/>
      <c r="F14" s="1392"/>
      <c r="G14" s="1393"/>
      <c r="H14" s="1400"/>
      <c r="I14" s="1390">
        <f>ROUND(D14*E14*F14*G14/10000,0)</f>
        <v>0</v>
      </c>
    </row>
    <row r="15" spans="1:9">
      <c r="A15" s="3032"/>
      <c r="B15" s="3034" t="s">
        <v>988</v>
      </c>
      <c r="C15" s="3034"/>
      <c r="D15" s="1395"/>
      <c r="E15" s="1395">
        <f>SUM(E12:E14)</f>
        <v>0</v>
      </c>
      <c r="F15" s="1396"/>
      <c r="G15" s="1393"/>
      <c r="H15" s="1400"/>
      <c r="I15" s="1401">
        <f>SUM(I12:I14)</f>
        <v>0</v>
      </c>
    </row>
    <row r="16" spans="1:9" ht="24">
      <c r="A16" s="3032" t="s">
        <v>1027</v>
      </c>
      <c r="B16" s="3033" t="s">
        <v>997</v>
      </c>
      <c r="C16" s="3033"/>
      <c r="D16" s="1391" t="s">
        <v>975</v>
      </c>
      <c r="E16" s="1402" t="s">
        <v>998</v>
      </c>
      <c r="F16" s="1392" t="s">
        <v>999</v>
      </c>
      <c r="G16" s="1393" t="s">
        <v>979</v>
      </c>
      <c r="H16" s="1399" t="s">
        <v>993</v>
      </c>
      <c r="I16" s="1390" t="s">
        <v>980</v>
      </c>
    </row>
    <row r="17" spans="1:9" ht="14.25">
      <c r="A17" s="3032"/>
      <c r="B17" s="3033" t="s">
        <v>1000</v>
      </c>
      <c r="C17" s="3033"/>
      <c r="D17" s="1391"/>
      <c r="E17" s="1391"/>
      <c r="F17" s="1392"/>
      <c r="G17" s="1393"/>
      <c r="H17" s="1403"/>
      <c r="I17" s="1404">
        <f>ROUND(D17*E17*F17*G17/10000,0)</f>
        <v>0</v>
      </c>
    </row>
    <row r="18" spans="1:9" ht="14.25">
      <c r="A18" s="3032"/>
      <c r="B18" s="3033" t="s">
        <v>1001</v>
      </c>
      <c r="C18" s="3033"/>
      <c r="D18" s="1391"/>
      <c r="E18" s="1391"/>
      <c r="F18" s="1392"/>
      <c r="G18" s="1393"/>
      <c r="H18" s="1403"/>
      <c r="I18" s="1404">
        <f>ROUND(D18*E18*F18*G18/10000,0)</f>
        <v>0</v>
      </c>
    </row>
    <row r="19" spans="1:9" ht="14.25">
      <c r="A19" s="3032"/>
      <c r="B19" s="3033" t="s">
        <v>1002</v>
      </c>
      <c r="C19" s="3033"/>
      <c r="D19" s="1391"/>
      <c r="E19" s="1391"/>
      <c r="F19" s="1392"/>
      <c r="G19" s="1393"/>
      <c r="H19" s="1403"/>
      <c r="I19" s="1404">
        <f>ROUND(D19*E19*F19*G19/10000,0)</f>
        <v>0</v>
      </c>
    </row>
    <row r="20" spans="1:9">
      <c r="A20" s="3032"/>
      <c r="B20" s="3034" t="s">
        <v>988</v>
      </c>
      <c r="C20" s="3034"/>
      <c r="D20" s="1395">
        <f>SUM(D17:D19)</f>
        <v>0</v>
      </c>
      <c r="E20" s="1395"/>
      <c r="F20" s="1396"/>
      <c r="G20" s="1393"/>
      <c r="H20" s="1400"/>
      <c r="I20" s="1401">
        <f>SUM(I17:I19)</f>
        <v>0</v>
      </c>
    </row>
    <row r="21" spans="1:9">
      <c r="A21" s="3032"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29">
        <f>C27-C30-C31-C32</f>
        <v>0</v>
      </c>
      <c r="F26" s="3029"/>
      <c r="G26" s="3029"/>
      <c r="H26" s="1829" t="s">
        <v>1219</v>
      </c>
    </row>
    <row r="27" spans="1:9">
      <c r="A27" s="1413">
        <v>1</v>
      </c>
      <c r="B27" s="1414" t="s">
        <v>1007</v>
      </c>
      <c r="C27" s="1414">
        <f>C28+C29</f>
        <v>0</v>
      </c>
      <c r="D27" s="1414"/>
      <c r="E27" s="3030"/>
      <c r="F27" s="3030"/>
      <c r="G27" s="3030"/>
    </row>
    <row r="28" spans="1:9">
      <c r="A28" s="1415" t="s">
        <v>1008</v>
      </c>
      <c r="B28" s="1414" t="s">
        <v>1009</v>
      </c>
      <c r="C28" s="1414"/>
      <c r="D28" s="1414"/>
      <c r="E28" s="3030"/>
      <c r="F28" s="3030"/>
      <c r="G28" s="303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1"/>
      <c r="F32" s="3031"/>
      <c r="G32" s="3031"/>
    </row>
    <row r="33" spans="1:7" hidden="1">
      <c r="A33" s="3026" t="s">
        <v>1018</v>
      </c>
      <c r="B33" s="3027"/>
      <c r="C33" s="3027"/>
      <c r="D33" s="3028"/>
      <c r="E33" s="3029"/>
      <c r="F33" s="3029"/>
      <c r="G33" s="3029"/>
    </row>
    <row r="34" spans="1:7" hidden="1">
      <c r="A34" s="1417">
        <v>1</v>
      </c>
      <c r="B34" s="1414" t="s">
        <v>1019</v>
      </c>
      <c r="C34" s="1414"/>
      <c r="D34" s="1414"/>
      <c r="E34" s="3030"/>
      <c r="F34" s="3030"/>
      <c r="G34" s="3030"/>
    </row>
    <row r="35" spans="1:7" hidden="1">
      <c r="A35" s="1417">
        <v>2</v>
      </c>
      <c r="B35" s="1414" t="s">
        <v>1020</v>
      </c>
      <c r="C35" s="1414"/>
      <c r="D35" s="1414"/>
      <c r="E35" s="3030"/>
      <c r="F35" s="3030"/>
      <c r="G35" s="3030"/>
    </row>
    <row r="36" spans="1:7" hidden="1">
      <c r="A36" s="1417">
        <v>3</v>
      </c>
      <c r="B36" s="1414" t="s">
        <v>1021</v>
      </c>
      <c r="C36" s="1414"/>
      <c r="D36" s="1414"/>
      <c r="E36" s="3030"/>
      <c r="F36" s="3030"/>
      <c r="G36" s="3030"/>
    </row>
    <row r="37" spans="1:7" hidden="1">
      <c r="A37" s="1417">
        <v>4</v>
      </c>
      <c r="B37" s="1414" t="s">
        <v>1022</v>
      </c>
      <c r="C37" s="1414"/>
      <c r="D37" s="1414"/>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50" t="s">
        <v>2262</v>
      </c>
      <c r="D4" s="3051"/>
      <c r="E4" s="3051"/>
      <c r="F4" s="3051"/>
      <c r="G4" s="3051"/>
      <c r="H4" s="3051"/>
      <c r="I4" s="3051"/>
      <c r="J4" s="3051"/>
      <c r="K4" s="3051"/>
      <c r="L4" s="3051"/>
      <c r="M4" s="3051"/>
      <c r="N4" s="3051"/>
      <c r="O4" s="3051"/>
      <c r="P4" s="3051"/>
      <c r="Q4" s="3051"/>
      <c r="R4" s="3051"/>
      <c r="S4" s="3052"/>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IF(F23="——",IF(C23="万元",T25,S25),IF(C23="万元",T25-H23,S25-H23))</f>
        <v>0</v>
      </c>
      <c r="C23" s="2373" t="str">
        <f>'数据-取费表'!B3</f>
        <v>万元</v>
      </c>
      <c r="D23" s="84"/>
      <c r="E23" s="84"/>
      <c r="F23" s="2374" t="s">
        <v>1254</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124.53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57"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2312</v>
      </c>
      <c r="Q8" s="2995"/>
      <c r="R8" s="749" t="s">
        <v>25</v>
      </c>
      <c r="S8" s="750">
        <f t="shared" si="0"/>
        <v>0</v>
      </c>
      <c r="T8" s="749" t="s">
        <v>25</v>
      </c>
      <c r="U8" s="750">
        <f t="shared" si="1"/>
        <v>0</v>
      </c>
      <c r="V8" s="749" t="s">
        <v>25</v>
      </c>
      <c r="W8" s="750">
        <f t="shared" si="2"/>
        <v>0</v>
      </c>
      <c r="X8" s="751"/>
      <c r="Y8" s="2994" t="s">
        <v>2312</v>
      </c>
      <c r="Z8" s="2995"/>
      <c r="AA8" s="752" t="e">
        <f t="shared" ref="AA8:AA47" si="3">D8/F8</f>
        <v>#DIV/0!</v>
      </c>
      <c r="AB8" s="752" t="e">
        <f t="shared" ref="AB8:AB47" si="4">D8/H8</f>
        <v>#DIV/0!</v>
      </c>
      <c r="AC8" s="752" t="e">
        <f t="shared" ref="AC8:AC47" si="5">D8/J8</f>
        <v>#DIV/0!</v>
      </c>
    </row>
    <row r="9" spans="1:29" s="35" customFormat="1">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2320</v>
      </c>
      <c r="Q15" s="1899" t="str">
        <f t="shared" si="6"/>
        <v>办公集聚程度</v>
      </c>
      <c r="R15" s="753" t="s">
        <v>25</v>
      </c>
      <c r="S15" s="754">
        <f t="shared" si="0"/>
        <v>100</v>
      </c>
      <c r="T15" s="753" t="s">
        <v>25</v>
      </c>
      <c r="U15" s="754">
        <f t="shared" si="1"/>
        <v>100</v>
      </c>
      <c r="V15" s="753" t="s">
        <v>25</v>
      </c>
      <c r="W15" s="754">
        <f t="shared" si="2"/>
        <v>100</v>
      </c>
      <c r="X15" s="1900"/>
      <c r="Y15" s="298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2326</v>
      </c>
      <c r="Q33" s="1899" t="str">
        <f t="shared" si="11"/>
        <v>建筑类型</v>
      </c>
      <c r="R33" s="753" t="s">
        <v>25</v>
      </c>
      <c r="S33" s="754">
        <f t="shared" si="12"/>
        <v>100</v>
      </c>
      <c r="T33" s="753" t="s">
        <v>25</v>
      </c>
      <c r="U33" s="754">
        <f t="shared" si="13"/>
        <v>100</v>
      </c>
      <c r="V33" s="753" t="s">
        <v>25</v>
      </c>
      <c r="W33" s="754">
        <f t="shared" si="14"/>
        <v>100</v>
      </c>
      <c r="X33" s="1900"/>
      <c r="Y33" s="298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2326</v>
      </c>
      <c r="Q39" s="1899" t="str">
        <f t="shared" si="11"/>
        <v>物业管理</v>
      </c>
      <c r="R39" s="753" t="s">
        <v>25</v>
      </c>
      <c r="S39" s="754">
        <f t="shared" si="12"/>
        <v>100</v>
      </c>
      <c r="T39" s="753" t="s">
        <v>25</v>
      </c>
      <c r="U39" s="754">
        <f t="shared" si="13"/>
        <v>100</v>
      </c>
      <c r="V39" s="753" t="s">
        <v>25</v>
      </c>
      <c r="W39" s="754">
        <f t="shared" si="14"/>
        <v>100</v>
      </c>
      <c r="X39" s="1900"/>
      <c r="Y39" s="298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2338</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2443</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2310</v>
      </c>
      <c r="B62" s="491"/>
      <c r="C62" s="503" t="s">
        <v>2311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2324</v>
      </c>
      <c r="B101" s="509" t="s">
        <v>2372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0" si="3">D8/F8</f>
        <v>1</v>
      </c>
      <c r="AB8" s="752">
        <f t="shared" ref="AB8:AB40" si="4">D8/H8</f>
        <v>1</v>
      </c>
      <c r="AC8" s="752">
        <f t="shared" ref="AC8:AC40" si="5">D8/J8</f>
        <v>1</v>
      </c>
    </row>
    <row r="9" spans="1:29" s="35" customFormat="1">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15">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298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2326</v>
      </c>
      <c r="Q35" s="1899" t="str">
        <f t="shared" si="11"/>
        <v>市政基础设施</v>
      </c>
      <c r="R35" s="753" t="s">
        <v>25</v>
      </c>
      <c r="S35" s="754">
        <f t="shared" si="12"/>
        <v>100</v>
      </c>
      <c r="T35" s="753" t="s">
        <v>25</v>
      </c>
      <c r="U35" s="754">
        <f t="shared" si="13"/>
        <v>100</v>
      </c>
      <c r="V35" s="753" t="s">
        <v>25</v>
      </c>
      <c r="W35" s="754">
        <f t="shared" si="14"/>
        <v>100</v>
      </c>
      <c r="X35" s="1900"/>
      <c r="Y35" s="298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2338</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2310</v>
      </c>
      <c r="B55" s="491"/>
      <c r="C55" s="503" t="s">
        <v>2311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2324</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124.53</v>
      </c>
      <c r="E3" s="1092" t="s">
        <v>2461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514"/>
      <c r="M4" s="425"/>
      <c r="N4" s="425"/>
      <c r="O4" s="425"/>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2312</v>
      </c>
      <c r="Q8" s="2995"/>
      <c r="R8" s="749" t="s">
        <v>25</v>
      </c>
      <c r="S8" s="750">
        <f t="shared" si="0"/>
        <v>0</v>
      </c>
      <c r="T8" s="749" t="s">
        <v>25</v>
      </c>
      <c r="U8" s="750">
        <f t="shared" si="1"/>
        <v>0</v>
      </c>
      <c r="V8" s="749" t="s">
        <v>25</v>
      </c>
      <c r="W8" s="750">
        <f t="shared" si="2"/>
        <v>0</v>
      </c>
      <c r="X8" s="751"/>
      <c r="Y8" s="2994" t="s">
        <v>2312</v>
      </c>
      <c r="Z8" s="2995"/>
      <c r="AA8" s="752" t="e">
        <f t="shared" ref="AA8:AA36" si="3">D8/F8</f>
        <v>#DIV/0!</v>
      </c>
      <c r="AB8" s="752" t="e">
        <f t="shared" ref="AB8:AB36" si="4">D8/H8</f>
        <v>#DIV/0!</v>
      </c>
      <c r="AC8" s="752" t="e">
        <f t="shared" ref="AC8:AC36" si="5">D8/J8</f>
        <v>#DIV/0!</v>
      </c>
    </row>
    <row r="9" spans="1:29" s="35" customFormat="1">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15">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2326</v>
      </c>
      <c r="Q32" s="1899" t="str">
        <f t="shared" si="11"/>
        <v>车位类型</v>
      </c>
      <c r="R32" s="753" t="s">
        <v>25</v>
      </c>
      <c r="S32" s="754">
        <f t="shared" si="12"/>
        <v>100</v>
      </c>
      <c r="T32" s="753" t="s">
        <v>25</v>
      </c>
      <c r="U32" s="754">
        <f t="shared" si="13"/>
        <v>100</v>
      </c>
      <c r="V32" s="753" t="s">
        <v>25</v>
      </c>
      <c r="W32" s="754">
        <f t="shared" si="14"/>
        <v>100</v>
      </c>
      <c r="X32" s="1900"/>
      <c r="Y32" s="298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2310</v>
      </c>
      <c r="B51" s="491"/>
      <c r="C51" s="503" t="s">
        <v>2311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2324</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34" si="3">D8/F8</f>
        <v>#DIV/0!</v>
      </c>
      <c r="AB8" s="752" t="e">
        <f t="shared" ref="AB8:AB34" si="4">D8/H8</f>
        <v>#DIV/0!</v>
      </c>
      <c r="AC8" s="752" t="e">
        <f t="shared" ref="AC8:AC34" si="5">D8/J8</f>
        <v>#DIV/0!</v>
      </c>
    </row>
    <row r="9" spans="1:29" s="35" customFormat="1">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15">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2326</v>
      </c>
      <c r="Q32" s="1899">
        <f t="shared" si="11"/>
        <v>111</v>
      </c>
      <c r="R32" s="753" t="s">
        <v>25</v>
      </c>
      <c r="S32" s="754">
        <f t="shared" si="12"/>
        <v>100</v>
      </c>
      <c r="T32" s="753" t="s">
        <v>25</v>
      </c>
      <c r="U32" s="754">
        <f t="shared" si="13"/>
        <v>100</v>
      </c>
      <c r="V32" s="753" t="s">
        <v>25</v>
      </c>
      <c r="W32" s="754">
        <f t="shared" si="14"/>
        <v>100</v>
      </c>
      <c r="X32" s="1900"/>
      <c r="Y32" s="298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2338</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2310</v>
      </c>
      <c r="B49" s="491"/>
      <c r="C49" s="503" t="s">
        <v>2311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30"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2308</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30" s="35" customFormat="1" ht="15.7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5" si="3">D8/F8</f>
        <v>#DIV/0!</v>
      </c>
      <c r="AB8" s="752" t="e">
        <f t="shared" ref="AB8:AB45" si="4">D8/H8</f>
        <v>#DIV/0!</v>
      </c>
      <c r="AC8" s="752" t="e">
        <f t="shared" ref="AC8:AC45" si="5">D8/J8</f>
        <v>#DIV/0!</v>
      </c>
    </row>
    <row r="9" spans="1:30" s="35" customFormat="1">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30" s="407" customFormat="1" ht="27">
      <c r="A10" s="401"/>
      <c r="B10" s="402" t="s">
        <v>2317</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15">
      <c r="A15" s="380" t="s">
        <v>2319</v>
      </c>
      <c r="B15" s="1487" t="s">
        <v>1697</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2320</v>
      </c>
      <c r="Q15" s="1899" t="str">
        <f t="shared" si="6"/>
        <v>居住社区成熟度</v>
      </c>
      <c r="R15" s="753" t="s">
        <v>25</v>
      </c>
      <c r="S15" s="754">
        <f t="shared" si="0"/>
        <v>100</v>
      </c>
      <c r="T15" s="753" t="s">
        <v>25</v>
      </c>
      <c r="U15" s="754">
        <f t="shared" si="1"/>
        <v>100</v>
      </c>
      <c r="V15" s="753" t="s">
        <v>25</v>
      </c>
      <c r="W15" s="754">
        <f t="shared" si="2"/>
        <v>100</v>
      </c>
      <c r="X15" s="1900"/>
      <c r="Y15" s="298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71.25">
      <c r="A17" s="383"/>
      <c r="B17" s="1489" t="s">
        <v>2404</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2502</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2988" t="s">
        <v>2326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2326</v>
      </c>
      <c r="Q42" s="1899" t="str">
        <f t="shared" si="14"/>
        <v>工程地质条件</v>
      </c>
      <c r="R42" s="753" t="s">
        <v>25</v>
      </c>
      <c r="S42" s="754">
        <f t="shared" si="10"/>
        <v>100</v>
      </c>
      <c r="T42" s="753" t="s">
        <v>25</v>
      </c>
      <c r="U42" s="754">
        <f t="shared" si="11"/>
        <v>100</v>
      </c>
      <c r="V42" s="753" t="s">
        <v>25</v>
      </c>
      <c r="W42" s="754">
        <f t="shared" si="12"/>
        <v>100</v>
      </c>
      <c r="X42" s="1900"/>
      <c r="Y42" s="298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2310</v>
      </c>
      <c r="B73" s="491"/>
      <c r="C73" s="503" t="s">
        <v>2311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2992" t="s">
        <v>2302</v>
      </c>
      <c r="D5" s="2993"/>
      <c r="E5" s="3018" t="s">
        <v>2303</v>
      </c>
      <c r="F5" s="3019"/>
      <c r="G5" s="2992" t="s">
        <v>2304</v>
      </c>
      <c r="H5" s="2993"/>
      <c r="I5" s="2992"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0" t="s">
        <v>2306</v>
      </c>
      <c r="F6" s="3021"/>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0" si="3">D8/F8</f>
        <v>#DIV/0!</v>
      </c>
      <c r="AB8" s="752" t="e">
        <f t="shared" ref="AB8:AB40" si="4">D8/H8</f>
        <v>#DIV/0!</v>
      </c>
      <c r="AC8" s="752" t="e">
        <f t="shared" ref="AC8:AC40" si="5">D8/J8</f>
        <v>#DIV/0!</v>
      </c>
    </row>
    <row r="9" spans="1:29" s="35" customFormat="1">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80"/>
      <c r="Q10" s="1887" t="str">
        <f t="shared" si="6"/>
        <v>土地使用年限（年）</v>
      </c>
      <c r="R10" s="749" t="s">
        <v>25</v>
      </c>
      <c r="S10" s="750">
        <f t="shared" si="0"/>
        <v>109</v>
      </c>
      <c r="T10" s="749" t="s">
        <v>25</v>
      </c>
      <c r="U10" s="750">
        <f t="shared" si="1"/>
        <v>109</v>
      </c>
      <c r="V10" s="749" t="s">
        <v>25</v>
      </c>
      <c r="W10" s="750">
        <f t="shared" si="2"/>
        <v>109</v>
      </c>
      <c r="X10" s="751"/>
      <c r="Y10" s="2835"/>
      <c r="Z10" s="23" t="str">
        <f t="shared" si="7"/>
        <v>土地使用年限（年）</v>
      </c>
      <c r="AA10" s="752">
        <f t="shared" si="3"/>
        <v>0.91743119266055051</v>
      </c>
      <c r="AB10" s="752">
        <f t="shared" si="4"/>
        <v>0.91743119266055051</v>
      </c>
      <c r="AC10" s="752">
        <f t="shared" si="5"/>
        <v>0.91743119266055051</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2988" t="s">
        <v>2326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2326</v>
      </c>
      <c r="Q37" s="1899" t="str">
        <f t="shared" si="14"/>
        <v>工程地质条件</v>
      </c>
      <c r="R37" s="753" t="s">
        <v>25</v>
      </c>
      <c r="S37" s="754">
        <f t="shared" si="10"/>
        <v>100</v>
      </c>
      <c r="T37" s="753" t="s">
        <v>25</v>
      </c>
      <c r="U37" s="754">
        <f t="shared" si="11"/>
        <v>100</v>
      </c>
      <c r="V37" s="753" t="s">
        <v>25</v>
      </c>
      <c r="W37" s="754">
        <f t="shared" si="12"/>
        <v>100</v>
      </c>
      <c r="X37" s="1900"/>
      <c r="Y37" s="298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2310</v>
      </c>
      <c r="B68" s="491"/>
      <c r="C68" s="503" t="s">
        <v>2311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估价对象为北京市房地产，为所有。根据《不动产权证书》[]，估价对象建筑面积为124.53平方米，（分摊）出让国有建设用地使用权面积为平方米。估价对象用途为商业。</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71"/>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2587</v>
      </c>
      <c r="X8" s="3064"/>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71"/>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43272</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32.35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2711</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2728</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2734</v>
      </c>
      <c r="B90" s="3074"/>
      <c r="C90" s="3074"/>
      <c r="D90" s="3074"/>
      <c r="E90" s="3074"/>
      <c r="F90" s="3074"/>
      <c r="G90" s="3074"/>
      <c r="H90" s="3074"/>
      <c r="I90" s="3074"/>
      <c r="J90" s="3074"/>
      <c r="K90" s="2687"/>
      <c r="L90" s="2687"/>
      <c r="M90" s="2687"/>
      <c r="N90" s="2687"/>
    </row>
    <row r="91" spans="1:37">
      <c r="A91" s="3076" t="s">
        <v>2735</v>
      </c>
      <c r="B91" s="3076" t="s">
        <v>2736</v>
      </c>
      <c r="C91" s="2635" t="s">
        <v>2737</v>
      </c>
      <c r="D91" s="2636"/>
      <c r="E91" s="2636"/>
      <c r="F91" s="2636"/>
      <c r="G91" s="2636"/>
      <c r="H91" s="2636"/>
      <c r="I91" s="2636"/>
      <c r="J91" s="2688"/>
      <c r="K91" s="2689"/>
      <c r="L91" s="2689"/>
      <c r="M91" s="2689"/>
      <c r="N91" s="2689"/>
    </row>
    <row r="92" spans="1:37">
      <c r="A92" s="3076"/>
      <c r="B92" s="3076"/>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77"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2742</v>
      </c>
      <c r="B110" s="3075"/>
      <c r="C110" s="3075"/>
      <c r="D110" s="3075"/>
      <c r="E110" s="3075"/>
      <c r="F110" s="3075"/>
      <c r="G110" s="3075"/>
      <c r="H110" s="3075"/>
      <c r="I110" s="3075"/>
      <c r="J110" s="3075"/>
      <c r="K110" s="2696"/>
      <c r="L110" s="2696"/>
      <c r="M110" s="2696"/>
      <c r="N110" s="2696"/>
    </row>
    <row r="112" spans="1:14" ht="13.5" thickBot="1"/>
    <row r="113" spans="1:13" ht="25.5"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124.53</v>
      </c>
      <c r="D6" s="2765"/>
      <c r="E6" s="1927"/>
    </row>
    <row r="7" spans="1:5" ht="14.25">
      <c r="A7" s="1927"/>
      <c r="B7" s="2759" t="s">
        <v>784</v>
      </c>
      <c r="C7" s="1933" t="str">
        <f>IF('数据-取费表'!B3="万元","总价（万元）","总价（元）")</f>
        <v>总价（万元）</v>
      </c>
      <c r="D7" s="1934">
        <f ca="1">IF('数据-取费表'!E3="否",结果表!I102,'结果表 (1修多)'!I103)</f>
        <v>507</v>
      </c>
      <c r="E7" s="1927"/>
    </row>
    <row r="8" spans="1:5" ht="14.25">
      <c r="A8" s="1927"/>
      <c r="B8" s="2759"/>
      <c r="C8" s="1935" t="s">
        <v>1175</v>
      </c>
      <c r="D8" s="1936" t="str">
        <f ca="1">IF('数据-取费表'!B3="万元",NUMBERSTRING(INT(D7*10000),2)&amp;"元整",NUMBERSTRING(INT(D7),2)&amp;"元整")</f>
        <v>伍佰零柒万元整</v>
      </c>
      <c r="E8" s="1927"/>
    </row>
    <row r="9" spans="1:5" ht="14.25">
      <c r="A9" s="1927"/>
      <c r="B9" s="2759"/>
      <c r="C9" s="1937" t="s">
        <v>1274</v>
      </c>
      <c r="D9" s="1934">
        <f ca="1">IF('数据-取费表'!E3="否",结果表!I103,'结果表 (1修多)'!I104)</f>
        <v>40713</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507</v>
      </c>
      <c r="E15" s="1927"/>
    </row>
    <row r="16" spans="1:5" ht="14.25">
      <c r="A16" s="1927"/>
      <c r="B16" s="2766"/>
      <c r="C16" s="1935" t="s">
        <v>1175</v>
      </c>
      <c r="D16" s="1934" t="str">
        <f ca="1">IF('数据-取费表'!B3="万元",NUMBERSTRING(INT(D15*10000),2)&amp;"元整",NUMBERSTRING(INT(D15),2)&amp;"元整")</f>
        <v>伍佰零柒万元整</v>
      </c>
      <c r="E16" s="1927"/>
    </row>
    <row r="17" spans="1:5" ht="14.25">
      <c r="A17" s="1927"/>
      <c r="B17" s="2766"/>
      <c r="C17" s="1937" t="s">
        <v>1274</v>
      </c>
      <c r="D17" s="1934">
        <f ca="1">IF('数据-取费表'!E3="否",结果表!I111,'结果表 (1修多)'!I112)</f>
        <v>40713</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1275</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507</v>
      </c>
      <c r="E28" s="1927"/>
    </row>
    <row r="29" spans="1:5" ht="14.25">
      <c r="A29" s="1927"/>
      <c r="B29" s="2745"/>
      <c r="C29" s="1946" t="s">
        <v>1175</v>
      </c>
      <c r="D29" s="1947" t="str">
        <f ca="1">IF('数据-取费表'!B3="万元",NUMBERSTRING(INT(D28*10000),2)&amp;"元整",NUMBERSTRING(INT(D28),2)&amp;"元整")</f>
        <v>伍佰零柒万元整</v>
      </c>
      <c r="E29" s="1927"/>
    </row>
    <row r="30" spans="1:5" ht="14.25">
      <c r="A30" s="1927"/>
      <c r="B30" s="2746"/>
      <c r="C30" s="1937" t="s">
        <v>1178</v>
      </c>
      <c r="D30" s="1948">
        <f ca="1">IF('数据-取费表'!E3="否",结果表!I103,'结果表 (1修多)'!I104)</f>
        <v>40713</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507</v>
      </c>
      <c r="E36" s="1927"/>
    </row>
    <row r="37" spans="1:5" ht="14.25">
      <c r="A37" s="1927"/>
      <c r="B37" s="2747"/>
      <c r="C37" s="1946" t="s">
        <v>1175</v>
      </c>
      <c r="D37" s="1951" t="str">
        <f ca="1">IF('数据-取费表'!B3="万元",NUMBERSTRING(INT(D36*10000),2)&amp;"元整",NUMBERSTRING(INT(D36),2)&amp;"元整")</f>
        <v>伍佰零柒万元整</v>
      </c>
      <c r="E37" s="1927"/>
    </row>
    <row r="38" spans="1:5" ht="14.25">
      <c r="A38" s="1927"/>
      <c r="B38" s="2747"/>
      <c r="C38" s="1937" t="s">
        <v>1179</v>
      </c>
      <c r="D38" s="1948">
        <f ca="1">IF('数据-取费表'!E3="否",结果表!D113,'结果表 (1修多)'!D116)</f>
        <v>40713</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7"/>
      <c r="B3" s="2767"/>
      <c r="C3" s="2767"/>
      <c r="D3" s="1049" t="s">
        <v>1281</v>
      </c>
      <c r="E3" s="1049" t="s">
        <v>1282</v>
      </c>
      <c r="F3" s="1049" t="s">
        <v>1281</v>
      </c>
      <c r="G3" s="1049" t="s">
        <v>1283</v>
      </c>
      <c r="H3" s="1049" t="s">
        <v>1281</v>
      </c>
      <c r="I3" s="1049" t="s">
        <v>1283</v>
      </c>
    </row>
    <row r="4" spans="1:9" ht="46.5" customHeight="1">
      <c r="A4" s="1049" t="str">
        <f>项目基本情况!I1</f>
        <v>北京市房地产</v>
      </c>
      <c r="B4" s="1049">
        <f>结果表!B121</f>
        <v>124.53</v>
      </c>
      <c r="C4" s="1049">
        <f>结果表!C121</f>
        <v>0</v>
      </c>
      <c r="D4" s="1049">
        <f ca="1">IF('数据-取费表'!E3="否",结果表!D121,'结果表 (1修多)'!D124)</f>
        <v>437</v>
      </c>
      <c r="E4" s="1049">
        <f ca="1">IF('数据-取费表'!E3="否",结果表!E121,'结果表 (1修多)'!E124)</f>
        <v>35092</v>
      </c>
      <c r="F4" s="1049">
        <f ca="1">IF('数据-取费表'!E3="否",结果表!F121,'结果表 (1修多)'!F124)</f>
        <v>70</v>
      </c>
      <c r="G4" s="1049">
        <f ca="1">IF('数据-取费表'!E3="否",结果表!G121,'结果表 (1修多)'!G124)</f>
        <v>5621</v>
      </c>
      <c r="H4" s="1049">
        <f ca="1">IF('数据-取费表'!E3="否",结果表!H121,'结果表 (1修多)'!H124)</f>
        <v>507</v>
      </c>
      <c r="I4" s="1049">
        <f ca="1">IF('数据-取费表'!E3="否",结果表!I121,'结果表 (1修多)'!I124)</f>
        <v>40713</v>
      </c>
    </row>
    <row r="5" spans="1:9" ht="15">
      <c r="A5" s="2767" t="s">
        <v>1284</v>
      </c>
      <c r="B5" s="2767"/>
      <c r="C5" s="2767"/>
      <c r="D5" s="2768" t="str">
        <f ca="1">IF('数据-取费表'!E3="否",结果表!D122,'结果表 (1修多)'!D125)</f>
        <v>肆佰叁拾柒万元整</v>
      </c>
      <c r="E5" s="2768"/>
      <c r="F5" s="2768" t="str">
        <f ca="1">IF('数据-取费表'!E3="否",结果表!F122,'结果表 (1修多)'!F125)</f>
        <v>柒拾万元整</v>
      </c>
      <c r="G5" s="2768"/>
      <c r="H5" s="2768" t="str">
        <f ca="1">IF('数据-取费表'!E3="否",结果表!H122,'结果表 (1修多)'!H125)</f>
        <v>伍佰零柒万元整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1284</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507</v>
      </c>
      <c r="E8" s="2769"/>
      <c r="F8" s="2769"/>
      <c r="G8" s="2769"/>
      <c r="H8" s="2769"/>
      <c r="I8" s="2769"/>
    </row>
    <row r="9" spans="1:9" ht="15">
      <c r="A9" s="2767" t="s">
        <v>1284</v>
      </c>
      <c r="B9" s="2767"/>
      <c r="C9" s="2767"/>
      <c r="D9" s="2768">
        <f ca="1">IF('数据-取费表'!E3="否",结果表!D126,'结果表 (1修多)'!D129)</f>
        <v>40713</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1284</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1284</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1298</v>
      </c>
      <c r="B1" s="2779"/>
      <c r="C1" s="2779"/>
      <c r="D1" s="2779"/>
    </row>
    <row r="2" spans="1:4" ht="18">
      <c r="A2" s="2778" t="s">
        <v>1286</v>
      </c>
      <c r="B2" s="2778"/>
      <c r="C2" s="2778"/>
      <c r="D2" s="2778"/>
    </row>
    <row r="3" spans="1:4" ht="18.75">
      <c r="A3" s="1956" t="s">
        <v>1287</v>
      </c>
      <c r="B3" s="1956" t="s">
        <v>1288</v>
      </c>
      <c r="C3" s="1956" t="s">
        <v>1289</v>
      </c>
      <c r="D3" s="1956" t="s">
        <v>1290</v>
      </c>
    </row>
    <row r="4" spans="1:4" ht="56.25" customHeight="1">
      <c r="A4" s="1957" t="str">
        <f>项目基本情况!B3</f>
        <v>崔锴</v>
      </c>
      <c r="B4" s="1958">
        <f ca="1">项目基本情况!C3</f>
        <v>1120100036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78" t="s">
        <v>1291</v>
      </c>
      <c r="B7" s="2778"/>
      <c r="C7" s="2778"/>
      <c r="D7" s="277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0" t="s">
        <v>1300</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1301</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1294</v>
      </c>
      <c r="B20" s="2782"/>
      <c r="C20" s="2782"/>
      <c r="D20" s="278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80" t="s">
        <v>1385</v>
      </c>
      <c r="B19" s="1981"/>
      <c r="C19" s="1982"/>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3" t="s">
        <v>1391</v>
      </c>
    </row>
    <row r="24" spans="1:3" ht="14.25">
      <c r="A24" s="2786"/>
      <c r="B24" s="2787"/>
      <c r="C24" s="1983" t="s">
        <v>1392</v>
      </c>
    </row>
    <row r="25" spans="1:3" ht="14.25">
      <c r="A25" s="2786"/>
      <c r="B25" s="2787"/>
      <c r="C25" s="1983" t="s">
        <v>1393</v>
      </c>
    </row>
    <row r="26" spans="1:3" ht="14.25">
      <c r="A26" s="2786"/>
      <c r="B26" s="2787"/>
      <c r="C26" s="1983" t="s">
        <v>1394</v>
      </c>
    </row>
    <row r="27" spans="1:3" ht="14.25">
      <c r="A27" s="2786"/>
      <c r="B27" s="2787"/>
      <c r="C27" s="1983" t="s">
        <v>1395</v>
      </c>
    </row>
    <row r="28" spans="1:3" ht="14.25">
      <c r="A28" s="2786"/>
      <c r="B28" s="2787"/>
      <c r="C28" s="1983" t="s">
        <v>1396</v>
      </c>
    </row>
    <row r="29" spans="1:3" ht="14.25">
      <c r="A29" s="2786"/>
      <c r="B29" s="2787"/>
      <c r="C29" s="1983" t="s">
        <v>1397</v>
      </c>
    </row>
    <row r="30" spans="1:3" ht="14.25">
      <c r="A30" s="2786"/>
      <c r="B30" s="2787"/>
      <c r="C30" s="1983" t="s">
        <v>1398</v>
      </c>
    </row>
    <row r="31" spans="1:3" ht="14.25">
      <c r="A31" s="2786"/>
      <c r="B31" s="278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2773</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4" t="s">
        <v>2822</v>
      </c>
      <c r="B3" s="1990" t="s">
        <v>2823</v>
      </c>
      <c r="C3" s="1277"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8"/>
      <c r="B4" s="1990"/>
      <c r="C4" s="198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8"/>
      <c r="B5" s="1988"/>
      <c r="C5" s="198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91"/>
    </row>
    <row r="6" spans="1:25">
      <c r="A6" s="1988"/>
      <c r="B6" s="1988"/>
      <c r="C6" s="1246"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91"/>
    </row>
    <row r="7" spans="1:25">
      <c r="A7" s="1988"/>
      <c r="B7" s="1990"/>
      <c r="C7" s="1989" t="s">
        <v>1471</v>
      </c>
      <c r="F7" s="7" t="s">
        <v>1472</v>
      </c>
      <c r="H7" s="7" t="s">
        <v>1473</v>
      </c>
      <c r="I7" s="7" t="s">
        <v>1474</v>
      </c>
      <c r="X7" s="1991"/>
    </row>
    <row r="8" spans="1:25">
      <c r="A8" s="1988"/>
      <c r="B8" s="1990"/>
      <c r="C8" s="1989" t="s">
        <v>1475</v>
      </c>
      <c r="F8" s="7" t="s">
        <v>1476</v>
      </c>
      <c r="H8" s="7" t="s">
        <v>1477</v>
      </c>
      <c r="I8" s="7" t="s">
        <v>1478</v>
      </c>
      <c r="X8" s="1991"/>
    </row>
    <row r="9" spans="1:25">
      <c r="A9" s="1988"/>
      <c r="B9" s="1988"/>
      <c r="C9" s="1989" t="s">
        <v>1479</v>
      </c>
      <c r="F9" s="7" t="s">
        <v>1480</v>
      </c>
      <c r="H9" s="7" t="s">
        <v>1481</v>
      </c>
    </row>
    <row r="10" spans="1:25">
      <c r="A10" s="1988"/>
      <c r="B10" s="1988"/>
      <c r="C10" s="1989" t="s">
        <v>1482</v>
      </c>
      <c r="F10" s="7" t="s">
        <v>13</v>
      </c>
    </row>
    <row r="11" spans="1:25">
      <c r="A11" s="1988"/>
      <c r="B11" s="1988"/>
      <c r="C11" s="1989" t="s">
        <v>1483</v>
      </c>
    </row>
    <row r="12" spans="1:25">
      <c r="A12" s="1988"/>
      <c r="B12" s="1988"/>
      <c r="C12" s="1989" t="s">
        <v>1484</v>
      </c>
    </row>
    <row r="13" spans="1:25">
      <c r="A13" s="1988"/>
      <c r="B13" s="1988"/>
      <c r="C13" s="1989" t="s">
        <v>1485</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1487</v>
      </c>
    </row>
    <row r="52" spans="1:4">
      <c r="A52" s="1992" t="s">
        <v>1488</v>
      </c>
      <c r="B52" s="1992" t="s">
        <v>1489</v>
      </c>
      <c r="C52" s="9" t="s">
        <v>1490</v>
      </c>
      <c r="D52" s="9" t="s">
        <v>1491</v>
      </c>
    </row>
    <row r="53" spans="1:4" ht="14.25" customHeight="1">
      <c r="A53" s="2793"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1494</v>
      </c>
      <c r="C54" s="9" t="s">
        <v>1495</v>
      </c>
    </row>
    <row r="55" spans="1:4">
      <c r="A55" s="2793"/>
      <c r="B55" s="9" t="s">
        <v>1496</v>
      </c>
      <c r="C55" s="9" t="s">
        <v>1497</v>
      </c>
    </row>
    <row r="56" spans="1:4">
      <c r="A56" s="2793"/>
      <c r="B56" s="9" t="s">
        <v>1498</v>
      </c>
      <c r="C56" s="9" t="s">
        <v>1499</v>
      </c>
    </row>
    <row r="57" spans="1:4">
      <c r="A57" s="2793"/>
      <c r="B57" s="9" t="s">
        <v>1500</v>
      </c>
      <c r="C57" s="9" t="s">
        <v>1501</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2018-06-26T05:42:00Z</dcterms:modified>
</cp:coreProperties>
</file>