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a\Desktop\吴姐中行复估\"/>
    </mc:Choice>
  </mc:AlternateContent>
  <xr:revisionPtr revIDLastSave="0" documentId="13_ncr:1_{505878F1-7B77-4370-BD06-FBC26C135837}" xr6:coauthVersionLast="47" xr6:coauthVersionMax="47" xr10:uidLastSave="{00000000-0000-0000-0000-000000000000}"/>
  <bookViews>
    <workbookView minimized="1" xWindow="1500" yWindow="948" windowWidth="10884" windowHeight="12000" tabRatio="899" firstSheet="9"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信息" sheetId="80" r:id="rId18"/>
    <sheet name="结果表" sheetId="9" r:id="rId19"/>
    <sheet name="成本法" sheetId="68" state="hidden" r:id="rId20"/>
    <sheet name="成本法 (元)" sheetId="69" state="hidden"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R3" i="80" l="1"/>
  <c r="R4" i="80"/>
  <c r="R5" i="80"/>
  <c r="R6" i="80"/>
  <c r="R7" i="80"/>
  <c r="R8" i="80"/>
  <c r="R9" i="80"/>
  <c r="R2" i="80"/>
  <c r="E14" i="74"/>
  <c r="D14" i="74"/>
  <c r="B14" i="74"/>
  <c r="G14" i="74"/>
  <c r="B19" i="80"/>
  <c r="G10" i="80"/>
  <c r="S3" i="80"/>
  <c r="S4" i="80"/>
  <c r="S5" i="80"/>
  <c r="S6" i="80"/>
  <c r="S7" i="80"/>
  <c r="S8" i="80"/>
  <c r="S9" i="80"/>
  <c r="S2" i="80"/>
  <c r="P3" i="80"/>
  <c r="P4" i="80"/>
  <c r="P5" i="80"/>
  <c r="P6" i="80"/>
  <c r="P7" i="80"/>
  <c r="P8" i="80"/>
  <c r="P9" i="80"/>
  <c r="P2" i="80"/>
  <c r="O3" i="80"/>
  <c r="O4" i="80"/>
  <c r="O5" i="80"/>
  <c r="O6" i="80"/>
  <c r="O7" i="80"/>
  <c r="O8" i="80"/>
  <c r="O9" i="80"/>
  <c r="O2" i="80"/>
  <c r="N10" i="80"/>
  <c r="B58" i="1"/>
  <c r="Y6" i="1"/>
  <c r="B21" i="1"/>
  <c r="N18" i="1"/>
  <c r="N19" i="1" s="1"/>
  <c r="N6" i="1" s="1"/>
  <c r="J49" i="67"/>
  <c r="E104" i="33"/>
  <c r="F104" i="33" s="1"/>
  <c r="G104" i="33" s="1"/>
  <c r="H104" i="33" s="1"/>
  <c r="I104" i="33" s="1"/>
  <c r="J104" i="33" s="1"/>
  <c r="D104" i="33"/>
  <c r="I36" i="33"/>
  <c r="G36" i="33"/>
  <c r="E36" i="33"/>
  <c r="I14" i="3"/>
  <c r="I15" i="3"/>
  <c r="I16" i="3"/>
  <c r="I17" i="3"/>
  <c r="I18" i="3"/>
  <c r="I19" i="3"/>
  <c r="I20" i="3"/>
  <c r="I13" i="3"/>
  <c r="C14" i="3"/>
  <c r="C15" i="3"/>
  <c r="C16" i="3"/>
  <c r="C17" i="3"/>
  <c r="C18" i="3"/>
  <c r="C19" i="3"/>
  <c r="C20" i="3"/>
  <c r="C13" i="3"/>
  <c r="C19" i="6" s="1"/>
  <c r="D13" i="4"/>
  <c r="D60" i="78" l="1"/>
  <c r="C60" i="78"/>
  <c r="D53" i="78"/>
  <c r="D52" i="78"/>
  <c r="B51" i="78"/>
  <c r="B56" i="78" s="1"/>
  <c r="B55" i="78" l="1"/>
  <c r="D55" i="78" s="1"/>
  <c r="D51" i="78"/>
  <c r="C51" i="78" s="1"/>
  <c r="C56" i="78" s="1"/>
  <c r="C58" i="78" s="1"/>
  <c r="B62" i="78"/>
  <c r="B54" i="78"/>
  <c r="D54" i="78" s="1"/>
  <c r="D56" i="78" l="1"/>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AD32" i="79"/>
  <c r="AD31" i="79"/>
  <c r="Z3" i="79"/>
  <c r="AA28" i="79"/>
  <c r="AD28" i="79" s="1"/>
  <c r="T34" i="79"/>
  <c r="W34" i="79" s="1"/>
  <c r="U40" i="79"/>
  <c r="AD4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s="1"/>
  <c r="B84" i="71"/>
  <c r="B83" i="71"/>
  <c r="B82" i="71" s="1"/>
  <c r="D81" i="71"/>
  <c r="Q80" i="71"/>
  <c r="P80" i="71"/>
  <c r="O80" i="71"/>
  <c r="N80" i="71"/>
  <c r="F80" i="71"/>
  <c r="V80" i="71"/>
  <c r="E80" i="71"/>
  <c r="C80" i="71"/>
  <c r="T80" i="71" s="1"/>
  <c r="B80" i="71"/>
  <c r="S80" i="71" s="1"/>
  <c r="Q79" i="71"/>
  <c r="P79" i="71"/>
  <c r="O79" i="71"/>
  <c r="N79" i="71"/>
  <c r="F79" i="71"/>
  <c r="F78" i="71" s="1"/>
  <c r="Q78" i="71"/>
  <c r="P78" i="71"/>
  <c r="O78" i="71"/>
  <c r="N78" i="71"/>
  <c r="Q77" i="71"/>
  <c r="P77" i="71"/>
  <c r="O77" i="71"/>
  <c r="N77" i="71"/>
  <c r="D77" i="71"/>
  <c r="Q76" i="71"/>
  <c r="P76" i="71"/>
  <c r="O76" i="71"/>
  <c r="N76" i="71"/>
  <c r="F76" i="71"/>
  <c r="E76" i="71"/>
  <c r="U76" i="71" s="1"/>
  <c r="C76" i="71"/>
  <c r="T76" i="71" s="1"/>
  <c r="B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E68" i="71"/>
  <c r="P68" i="71" s="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O61" i="71"/>
  <c r="C62" i="71" s="1"/>
  <c r="N61" i="71"/>
  <c r="B62" i="71"/>
  <c r="D61" i="71"/>
  <c r="Q60" i="71"/>
  <c r="P60" i="71"/>
  <c r="O60" i="71"/>
  <c r="N60" i="71"/>
  <c r="Q59" i="71"/>
  <c r="P59" i="71"/>
  <c r="O59" i="71"/>
  <c r="N59" i="71"/>
  <c r="Q58" i="71"/>
  <c r="P58" i="71"/>
  <c r="O58" i="71"/>
  <c r="C59" i="71" s="1"/>
  <c r="N58" i="71"/>
  <c r="Q57" i="71"/>
  <c r="F58" i="71" s="1"/>
  <c r="F59" i="71" s="1"/>
  <c r="F60" i="71"/>
  <c r="V60" i="71" s="1"/>
  <c r="P57" i="71"/>
  <c r="E58" i="71" s="1"/>
  <c r="O57" i="71"/>
  <c r="C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D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s="1"/>
  <c r="B47" i="71" s="1"/>
  <c r="B48" i="71" s="1"/>
  <c r="S48" i="71" s="1"/>
  <c r="D45" i="71"/>
  <c r="Q44" i="71"/>
  <c r="P44" i="71"/>
  <c r="O44" i="71"/>
  <c r="N44" i="71"/>
  <c r="Q43" i="71"/>
  <c r="P43" i="71"/>
  <c r="O43" i="71"/>
  <c r="N43" i="71"/>
  <c r="Q42" i="71"/>
  <c r="P42" i="71"/>
  <c r="O42" i="71"/>
  <c r="C43" i="71" s="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P39" i="71"/>
  <c r="AA39" i="71" s="1"/>
  <c r="O39" i="71"/>
  <c r="N39" i="71"/>
  <c r="Q38" i="71"/>
  <c r="P38" i="71"/>
  <c r="O38" i="71"/>
  <c r="N38" i="71"/>
  <c r="X35" i="71" s="1"/>
  <c r="F38" i="71"/>
  <c r="F39" i="71" s="1"/>
  <c r="Q37" i="71"/>
  <c r="P37" i="71"/>
  <c r="O37" i="71"/>
  <c r="Y37" i="71" s="1"/>
  <c r="Z37" i="71" s="1"/>
  <c r="N37" i="71"/>
  <c r="B38" i="71" s="1"/>
  <c r="D37" i="71"/>
  <c r="Q36" i="71"/>
  <c r="P36" i="71"/>
  <c r="AA35" i="71" s="1"/>
  <c r="O36" i="71"/>
  <c r="N36" i="71"/>
  <c r="Q35" i="71"/>
  <c r="P35" i="71"/>
  <c r="O35" i="71"/>
  <c r="Y35" i="71"/>
  <c r="Z35" i="71" s="1"/>
  <c r="N35" i="71"/>
  <c r="Q34" i="71"/>
  <c r="AB34" i="71"/>
  <c r="P34" i="71"/>
  <c r="O34" i="71"/>
  <c r="N34" i="71"/>
  <c r="F36" i="71"/>
  <c r="V36" i="71" s="1"/>
  <c r="Q33" i="71"/>
  <c r="F34" i="71" s="1"/>
  <c r="F35" i="71" s="1"/>
  <c r="P33" i="71"/>
  <c r="O33" i="71"/>
  <c r="N33" i="71"/>
  <c r="D33" i="71"/>
  <c r="Q32" i="71"/>
  <c r="P32" i="71"/>
  <c r="O32" i="71"/>
  <c r="N32" i="71"/>
  <c r="Q31" i="71"/>
  <c r="P31" i="71"/>
  <c r="O31" i="71"/>
  <c r="N31" i="71"/>
  <c r="Q30" i="71"/>
  <c r="P30" i="71"/>
  <c r="AA3" i="71" s="1"/>
  <c r="O30" i="71"/>
  <c r="Y30" i="71" s="1"/>
  <c r="Z30" i="71" s="1"/>
  <c r="N30" i="71"/>
  <c r="Q29" i="71"/>
  <c r="P29" i="71"/>
  <c r="O29" i="71"/>
  <c r="N29" i="71"/>
  <c r="D29" i="71"/>
  <c r="O28" i="71"/>
  <c r="C28" i="71" s="1"/>
  <c r="C27" i="71" s="1"/>
  <c r="N28" i="71"/>
  <c r="B30" i="71"/>
  <c r="B31" i="71"/>
  <c r="B32" i="71" s="1"/>
  <c r="S32" i="71" s="1"/>
  <c r="E30" i="71"/>
  <c r="E31" i="71" s="1"/>
  <c r="E32" i="71" s="1"/>
  <c r="U32" i="71" s="1"/>
  <c r="B39" i="71"/>
  <c r="B40" i="71" s="1"/>
  <c r="S40" i="71" s="1"/>
  <c r="E34" i="71"/>
  <c r="E35" i="71" s="1"/>
  <c r="E36" i="71" s="1"/>
  <c r="U36" i="71" s="1"/>
  <c r="C30" i="71"/>
  <c r="C34" i="71"/>
  <c r="D34" i="71" s="1"/>
  <c r="C35" i="71"/>
  <c r="C36" i="71" s="1"/>
  <c r="X36" i="71"/>
  <c r="C38" i="71"/>
  <c r="D38" i="71" s="1"/>
  <c r="AA38" i="71"/>
  <c r="Y26" i="71"/>
  <c r="Z26" i="71" s="1"/>
  <c r="B28" i="71"/>
  <c r="C31" i="71"/>
  <c r="C32" i="71" s="1"/>
  <c r="D30" i="71"/>
  <c r="C47" i="71"/>
  <c r="D47" i="71" s="1"/>
  <c r="D46" i="71"/>
  <c r="D50" i="71"/>
  <c r="P28" i="71"/>
  <c r="E28" i="71" s="1"/>
  <c r="E59" i="71"/>
  <c r="E60" i="71" s="1"/>
  <c r="U60" i="71" s="1"/>
  <c r="U64" i="71"/>
  <c r="U68" i="71"/>
  <c r="E67" i="71"/>
  <c r="Q28" i="71"/>
  <c r="D58" i="71"/>
  <c r="C63" i="71"/>
  <c r="C64" i="71" s="1"/>
  <c r="D62" i="71"/>
  <c r="T68" i="71"/>
  <c r="O68" i="71"/>
  <c r="D68" i="71"/>
  <c r="C67" i="71"/>
  <c r="E71" i="71"/>
  <c r="E70" i="71"/>
  <c r="D72" i="71"/>
  <c r="C75" i="71"/>
  <c r="D76" i="71"/>
  <c r="D80" i="71"/>
  <c r="C87" i="71"/>
  <c r="C86" i="71" s="1"/>
  <c r="D86" i="71" s="1"/>
  <c r="T28" i="71"/>
  <c r="F28" i="71"/>
  <c r="F27" i="71"/>
  <c r="F26" i="71" s="1"/>
  <c r="D28" i="71"/>
  <c r="U28" i="71" s="1"/>
  <c r="D63" i="71"/>
  <c r="D75" i="71"/>
  <c r="C74" i="71"/>
  <c r="D74" i="71" s="1"/>
  <c r="D87" i="71"/>
  <c r="P67" i="71"/>
  <c r="E66" i="71"/>
  <c r="P65" i="71" s="1"/>
  <c r="C52" i="71"/>
  <c r="D35" i="71"/>
  <c r="D31"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21" i="34"/>
  <c r="C21" i="34"/>
  <c r="Q21" i="33"/>
  <c r="Z21" i="33" s="1"/>
  <c r="D83" i="33"/>
  <c r="E83" i="33" s="1"/>
  <c r="F83" i="33" s="1"/>
  <c r="G83" i="33" s="1"/>
  <c r="C21" i="33"/>
  <c r="C21" i="21"/>
  <c r="Q21" i="21"/>
  <c r="Z21" i="21" s="1"/>
  <c r="H19" i="21"/>
  <c r="D83" i="21"/>
  <c r="F21" i="21"/>
  <c r="AA21" i="21" s="1"/>
  <c r="D81" i="21"/>
  <c r="G20" i="20"/>
  <c r="C22" i="20"/>
  <c r="B100" i="43" s="1"/>
  <c r="B57" i="43"/>
  <c r="B68" i="43"/>
  <c r="C29" i="39"/>
  <c r="S18" i="36"/>
  <c r="H25" i="40"/>
  <c r="AB25" i="40" s="1"/>
  <c r="J25" i="40"/>
  <c r="H29" i="39"/>
  <c r="J29" i="39"/>
  <c r="AC29" i="39" s="1"/>
  <c r="J18" i="36"/>
  <c r="AC18" i="36" s="1"/>
  <c r="H18" i="35"/>
  <c r="AB18" i="35" s="1"/>
  <c r="J18" i="35"/>
  <c r="W18" i="35" s="1"/>
  <c r="H21" i="37"/>
  <c r="F21" i="37"/>
  <c r="F84" i="34"/>
  <c r="H21" i="34"/>
  <c r="AB21" i="34" s="1"/>
  <c r="H21" i="33"/>
  <c r="U21" i="33" s="1"/>
  <c r="F21" i="33"/>
  <c r="E83" i="21"/>
  <c r="F83" i="21" s="1"/>
  <c r="H1" i="69"/>
  <c r="AC25" i="40"/>
  <c r="W25" i="40"/>
  <c r="U25" i="40"/>
  <c r="W29" i="39"/>
  <c r="W18" i="36"/>
  <c r="AB21" i="37"/>
  <c r="U21" i="37"/>
  <c r="U21" i="34"/>
  <c r="AC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A100" i="3" s="1"/>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G42" i="3" s="1"/>
  <c r="H42" i="3"/>
  <c r="BT41" i="3"/>
  <c r="BS41" i="3"/>
  <c r="BR41" i="3"/>
  <c r="BQ41" i="3"/>
  <c r="BP41" i="3"/>
  <c r="BO41" i="3"/>
  <c r="BN41" i="3"/>
  <c r="BM41" i="3"/>
  <c r="BK41" i="3"/>
  <c r="BJ41" i="3"/>
  <c r="BI41" i="3"/>
  <c r="BH41" i="3"/>
  <c r="BG41" i="3"/>
  <c r="BF41" i="3"/>
  <c r="BE41" i="3"/>
  <c r="BD41" i="3"/>
  <c r="BC41" i="3"/>
  <c r="BA41" i="3" s="1"/>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K31" i="3"/>
  <c r="BJ31" i="3"/>
  <c r="BI31" i="3"/>
  <c r="BH31" i="3"/>
  <c r="BG31" i="3"/>
  <c r="BF31" i="3"/>
  <c r="BE31" i="3"/>
  <c r="BD31" i="3"/>
  <c r="BC31" i="3"/>
  <c r="BA31" i="3" s="1"/>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G485" i="3" s="1"/>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A480" i="3" s="1"/>
  <c r="AZ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N462" i="3"/>
  <c r="BM462" i="3"/>
  <c r="BL462" i="3" s="1"/>
  <c r="BK462" i="3"/>
  <c r="BJ462" i="3"/>
  <c r="BI462" i="3"/>
  <c r="BH462" i="3"/>
  <c r="BG462" i="3"/>
  <c r="BF462" i="3"/>
  <c r="BE462" i="3"/>
  <c r="BD462" i="3"/>
  <c r="BC462" i="3"/>
  <c r="BA462" i="3" s="1"/>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L458" i="3" s="1"/>
  <c r="BK458" i="3"/>
  <c r="BJ458" i="3"/>
  <c r="BI458" i="3"/>
  <c r="BH458" i="3"/>
  <c r="BG458" i="3"/>
  <c r="BF458" i="3"/>
  <c r="BE458" i="3"/>
  <c r="BD458" i="3"/>
  <c r="BC458" i="3"/>
  <c r="BA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A444" i="3" s="1"/>
  <c r="AZ444" i="3" s="1"/>
  <c r="BC444" i="3"/>
  <c r="BB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L20" i="4"/>
  <c r="A15" i="62" s="1"/>
  <c r="B61" i="72" s="1"/>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s="1"/>
  <c r="Q26" i="36"/>
  <c r="Z26" i="36" s="1"/>
  <c r="H26" i="36"/>
  <c r="AB26" i="36"/>
  <c r="Q25" i="36"/>
  <c r="Z25" i="36" s="1"/>
  <c r="Q24" i="36"/>
  <c r="Z24" i="36" s="1"/>
  <c r="H24" i="36"/>
  <c r="AB24" i="36" s="1"/>
  <c r="Q23" i="36"/>
  <c r="Z23" i="36" s="1"/>
  <c r="AB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J23" i="35" s="1"/>
  <c r="AC23" i="35" s="1"/>
  <c r="B57" i="35"/>
  <c r="B61" i="35"/>
  <c r="B59" i="35"/>
  <c r="F12" i="35" s="1"/>
  <c r="B131" i="34"/>
  <c r="B129" i="34"/>
  <c r="B127" i="34"/>
  <c r="B99" i="34"/>
  <c r="B97" i="34"/>
  <c r="B95" i="34"/>
  <c r="B93" i="34"/>
  <c r="B75" i="34"/>
  <c r="B73" i="34"/>
  <c r="B71" i="34"/>
  <c r="B130" i="33"/>
  <c r="B128" i="33"/>
  <c r="B126" i="33"/>
  <c r="B98" i="33"/>
  <c r="B96" i="33"/>
  <c r="B94" i="33"/>
  <c r="B74" i="33"/>
  <c r="B72" i="33"/>
  <c r="B70" i="33"/>
  <c r="J12" i="33" s="1"/>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c r="Q34" i="35"/>
  <c r="Z34" i="35" s="1"/>
  <c r="H34" i="35"/>
  <c r="AB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c r="D82" i="34"/>
  <c r="E82" i="34" s="1"/>
  <c r="F82" i="34" s="1"/>
  <c r="G82" i="34" s="1"/>
  <c r="D80" i="34"/>
  <c r="E80" i="34" s="1"/>
  <c r="F80" i="34" s="1"/>
  <c r="G80" i="34" s="1"/>
  <c r="D78" i="34"/>
  <c r="E78" i="34" s="1"/>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F54" i="33"/>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c r="Q13" i="33"/>
  <c r="Z13" i="33" s="1"/>
  <c r="Q12" i="33"/>
  <c r="Z12" i="33" s="1"/>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C18" i="20"/>
  <c r="C17" i="20"/>
  <c r="B61" i="43" s="1"/>
  <c r="C16" i="20"/>
  <c r="C17" i="39" s="1"/>
  <c r="C15" i="20"/>
  <c r="C15" i="39" s="1"/>
  <c r="B72" i="43"/>
  <c r="E54" i="21"/>
  <c r="F54" i="21" s="1"/>
  <c r="I54" i="21"/>
  <c r="J54" i="21" s="1"/>
  <c r="G54" i="21"/>
  <c r="H54" i="21" s="1"/>
  <c r="D125" i="21"/>
  <c r="E125" i="21" s="1"/>
  <c r="F125" i="21" s="1"/>
  <c r="G125" i="21" s="1"/>
  <c r="D123" i="21"/>
  <c r="E123" i="21"/>
  <c r="F123" i="21" s="1"/>
  <c r="G123" i="21" s="1"/>
  <c r="H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B128" i="21"/>
  <c r="J45" i="21" s="1"/>
  <c r="W45" i="21" s="1"/>
  <c r="B126" i="21"/>
  <c r="B98" i="21"/>
  <c r="H31" i="21" s="1"/>
  <c r="B96" i="21"/>
  <c r="B94" i="21"/>
  <c r="J29" i="21"/>
  <c r="AC29" i="21" s="1"/>
  <c r="B92" i="21"/>
  <c r="B90" i="21"/>
  <c r="J27" i="21"/>
  <c r="W27" i="21" s="1"/>
  <c r="B74" i="21"/>
  <c r="B72" i="21"/>
  <c r="H13" i="21" s="1"/>
  <c r="AB13" i="21" s="1"/>
  <c r="B70" i="21"/>
  <c r="F12" i="21" s="1"/>
  <c r="C19" i="21"/>
  <c r="C17" i="21"/>
  <c r="C23" i="21"/>
  <c r="Q9" i="21"/>
  <c r="Z9" i="21" s="1"/>
  <c r="Q10" i="21"/>
  <c r="Z10" i="21" s="1"/>
  <c r="Q11" i="21"/>
  <c r="Z11" i="21" s="1"/>
  <c r="Q12" i="21"/>
  <c r="Z12" i="2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s="1"/>
  <c r="Q33" i="21"/>
  <c r="Z33" i="21" s="1"/>
  <c r="Q34" i="21"/>
  <c r="Z34" i="21"/>
  <c r="J35" i="21"/>
  <c r="W35" i="21" s="1"/>
  <c r="Q35" i="21"/>
  <c r="Z35" i="21"/>
  <c r="Q36" i="21"/>
  <c r="Z36" i="21" s="1"/>
  <c r="Q37" i="21"/>
  <c r="Z37" i="21" s="1"/>
  <c r="J38" i="21"/>
  <c r="W38" i="21" s="1"/>
  <c r="Q38" i="21"/>
  <c r="Z38" i="21" s="1"/>
  <c r="J39" i="21"/>
  <c r="AC39" i="21" s="1"/>
  <c r="Q39" i="21"/>
  <c r="Z39" i="2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c r="H43" i="21"/>
  <c r="AB43" i="21" s="1"/>
  <c r="F38" i="21"/>
  <c r="S38" i="21"/>
  <c r="F36" i="21"/>
  <c r="S36" i="21" s="1"/>
  <c r="F39" i="21"/>
  <c r="AA39" i="21" s="1"/>
  <c r="J40" i="21"/>
  <c r="W40" i="21" s="1"/>
  <c r="H35" i="21"/>
  <c r="AB35" i="21" s="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c r="F26" i="21"/>
  <c r="S26" i="21" s="1"/>
  <c r="AB41" i="21"/>
  <c r="S41" i="21"/>
  <c r="AA41" i="21"/>
  <c r="F45" i="39"/>
  <c r="S45" i="39" s="1"/>
  <c r="J45" i="39"/>
  <c r="W45" i="39" s="1"/>
  <c r="J44" i="39"/>
  <c r="AC44" i="39" s="1"/>
  <c r="H36" i="39"/>
  <c r="J35" i="39"/>
  <c r="AC35" i="39" s="1"/>
  <c r="F35" i="39"/>
  <c r="AA35" i="39"/>
  <c r="J36" i="39"/>
  <c r="AC36" i="39" s="1"/>
  <c r="U9" i="39"/>
  <c r="U30" i="37"/>
  <c r="W31" i="37"/>
  <c r="F103" i="37"/>
  <c r="G103" i="37" s="1"/>
  <c r="H103" i="37" s="1"/>
  <c r="I103" i="37" s="1"/>
  <c r="J103" i="37" s="1"/>
  <c r="K103" i="37" s="1"/>
  <c r="L103" i="37" s="1"/>
  <c r="M103" i="37" s="1"/>
  <c r="F39" i="37"/>
  <c r="S39" i="37" s="1"/>
  <c r="F29" i="36"/>
  <c r="AA29" i="36" s="1"/>
  <c r="F16" i="36"/>
  <c r="AA16" i="36" s="1"/>
  <c r="W28" i="36"/>
  <c r="U31" i="36"/>
  <c r="H22" i="35"/>
  <c r="AB22" i="35"/>
  <c r="AC27" i="35"/>
  <c r="W28" i="35"/>
  <c r="U31" i="35"/>
  <c r="W22" i="35"/>
  <c r="S31" i="35"/>
  <c r="U34" i="35"/>
  <c r="F36" i="34"/>
  <c r="J35" i="34"/>
  <c r="U34" i="34"/>
  <c r="H39" i="33"/>
  <c r="AB39" i="33"/>
  <c r="F26" i="33"/>
  <c r="AA26" i="33" s="1"/>
  <c r="U35" i="33"/>
  <c r="S40" i="33"/>
  <c r="W39" i="33"/>
  <c r="H39" i="37"/>
  <c r="AB39" i="37"/>
  <c r="F11" i="40"/>
  <c r="AA11" i="40"/>
  <c r="H11" i="40"/>
  <c r="AB11" i="40" s="1"/>
  <c r="W8" i="40"/>
  <c r="AA9" i="40"/>
  <c r="U9" i="40"/>
  <c r="S34" i="40"/>
  <c r="U38" i="40"/>
  <c r="W31" i="40"/>
  <c r="F42" i="39"/>
  <c r="AA42" i="39" s="1"/>
  <c r="F41" i="39"/>
  <c r="H40" i="39"/>
  <c r="AB40" i="39" s="1"/>
  <c r="H39" i="39"/>
  <c r="U39" i="39" s="1"/>
  <c r="S38" i="39"/>
  <c r="S34" i="39"/>
  <c r="H34" i="39"/>
  <c r="U34" i="39" s="1"/>
  <c r="E108" i="39"/>
  <c r="F31" i="39"/>
  <c r="AA31" i="39" s="1"/>
  <c r="E100" i="39"/>
  <c r="H19" i="39"/>
  <c r="AB19" i="39" s="1"/>
  <c r="F19" i="39"/>
  <c r="AA19" i="39" s="1"/>
  <c r="H17" i="39"/>
  <c r="AB17" i="39" s="1"/>
  <c r="F17" i="39"/>
  <c r="J23" i="40"/>
  <c r="AC23" i="40" s="1"/>
  <c r="F21" i="40"/>
  <c r="AA21" i="40"/>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F27" i="39"/>
  <c r="F11" i="21"/>
  <c r="S11" i="21" s="1"/>
  <c r="S40" i="21"/>
  <c r="C25" i="39"/>
  <c r="H11" i="39"/>
  <c r="S40" i="39"/>
  <c r="H32" i="33"/>
  <c r="AB32" i="33" s="1"/>
  <c r="H11" i="21"/>
  <c r="U11" i="21" s="1"/>
  <c r="J11" i="21"/>
  <c r="W11" i="21" s="1"/>
  <c r="H37" i="40"/>
  <c r="U37" i="40" s="1"/>
  <c r="H36" i="40"/>
  <c r="AB36" i="40" s="1"/>
  <c r="F35" i="40"/>
  <c r="AA35" i="40" s="1"/>
  <c r="H23" i="40"/>
  <c r="AB23" i="40" s="1"/>
  <c r="H17" i="40"/>
  <c r="U17" i="40"/>
  <c r="J15" i="40"/>
  <c r="W15" i="40" s="1"/>
  <c r="J11" i="40"/>
  <c r="W11" i="40"/>
  <c r="AB8" i="39"/>
  <c r="AB12" i="35"/>
  <c r="AB12" i="36"/>
  <c r="W32" i="40"/>
  <c r="S44" i="39"/>
  <c r="J34" i="36"/>
  <c r="W34" i="36" s="1"/>
  <c r="U30" i="36"/>
  <c r="J30" i="35"/>
  <c r="W30" i="35" s="1"/>
  <c r="H30" i="35"/>
  <c r="AB30" i="35" s="1"/>
  <c r="F22" i="35"/>
  <c r="AA22" i="35"/>
  <c r="H10" i="35"/>
  <c r="U10" i="35" s="1"/>
  <c r="W30" i="36"/>
  <c r="H16" i="36"/>
  <c r="E85" i="36"/>
  <c r="F85" i="36"/>
  <c r="G85" i="36" s="1"/>
  <c r="H85" i="36" s="1"/>
  <c r="I85" i="36" s="1"/>
  <c r="J85" i="36"/>
  <c r="K85" i="36" s="1"/>
  <c r="L85" i="36" s="1"/>
  <c r="M85" i="36" s="1"/>
  <c r="J29" i="36"/>
  <c r="AC29" i="36" s="1"/>
  <c r="F12" i="36"/>
  <c r="S12" i="36" s="1"/>
  <c r="F24" i="36"/>
  <c r="AA24" i="36"/>
  <c r="F34" i="36"/>
  <c r="S34" i="36" s="1"/>
  <c r="F14" i="35"/>
  <c r="AA14" i="35"/>
  <c r="F23" i="35"/>
  <c r="AA23" i="35" s="1"/>
  <c r="J32" i="35"/>
  <c r="AC32" i="35" s="1"/>
  <c r="J16" i="35"/>
  <c r="AC16" i="35" s="1"/>
  <c r="H16" i="35"/>
  <c r="U16" i="35" s="1"/>
  <c r="F16" i="35"/>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F25" i="34"/>
  <c r="S25" i="34" s="1"/>
  <c r="H23" i="34"/>
  <c r="U23" i="34" s="1"/>
  <c r="J23" i="34"/>
  <c r="F19" i="34"/>
  <c r="S19" i="34" s="1"/>
  <c r="H17" i="34"/>
  <c r="F15" i="34"/>
  <c r="AA15" i="34" s="1"/>
  <c r="J15" i="34"/>
  <c r="W15" i="34" s="1"/>
  <c r="H15" i="34"/>
  <c r="J28" i="34"/>
  <c r="W28" i="34"/>
  <c r="F41" i="33"/>
  <c r="AA41" i="33" s="1"/>
  <c r="S38" i="33"/>
  <c r="E113" i="33"/>
  <c r="F32" i="33"/>
  <c r="AA32" i="33" s="1"/>
  <c r="J19" i="33"/>
  <c r="AC19" i="33"/>
  <c r="J15" i="33"/>
  <c r="AC15" i="33" s="1"/>
  <c r="F11" i="33"/>
  <c r="AA11" i="33" s="1"/>
  <c r="S26" i="33"/>
  <c r="U40" i="33"/>
  <c r="F37" i="40"/>
  <c r="AA37" i="40" s="1"/>
  <c r="F36" i="40"/>
  <c r="AA36" i="40" s="1"/>
  <c r="H28" i="40"/>
  <c r="F23" i="40"/>
  <c r="AA23" i="40" s="1"/>
  <c r="F17" i="40"/>
  <c r="AA17" i="40" s="1"/>
  <c r="J17" i="40"/>
  <c r="F15" i="40"/>
  <c r="S15" i="40" s="1"/>
  <c r="H15" i="40"/>
  <c r="AB15" i="40"/>
  <c r="AC11" i="40"/>
  <c r="AA12" i="36"/>
  <c r="AB30" i="36"/>
  <c r="F29" i="35"/>
  <c r="H29" i="35"/>
  <c r="AB29" i="35" s="1"/>
  <c r="H33" i="37"/>
  <c r="F33" i="37"/>
  <c r="AA33" i="37" s="1"/>
  <c r="U34" i="37"/>
  <c r="S34" i="37"/>
  <c r="AA34" i="37"/>
  <c r="J43" i="34"/>
  <c r="AB42" i="34"/>
  <c r="J40" i="34"/>
  <c r="H38" i="34"/>
  <c r="AB38" i="34" s="1"/>
  <c r="J36" i="34"/>
  <c r="H37" i="34"/>
  <c r="U37" i="34" s="1"/>
  <c r="H25" i="34"/>
  <c r="AB25" i="34" s="1"/>
  <c r="J25" i="34"/>
  <c r="AC25" i="34" s="1"/>
  <c r="AB23" i="34"/>
  <c r="F23" i="34"/>
  <c r="AA23" i="34" s="1"/>
  <c r="J19" i="34"/>
  <c r="AC19" i="34" s="1"/>
  <c r="F17" i="34"/>
  <c r="J17" i="34"/>
  <c r="W17" i="34" s="1"/>
  <c r="S41" i="33"/>
  <c r="F113" i="33"/>
  <c r="G113" i="33" s="1"/>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I123" i="21"/>
  <c r="J123" i="21" s="1"/>
  <c r="K123" i="21" s="1"/>
  <c r="L123" i="21" s="1"/>
  <c r="M123" i="21" s="1"/>
  <c r="J42" i="21"/>
  <c r="AC42" i="21"/>
  <c r="H42" i="21"/>
  <c r="J44" i="34"/>
  <c r="F44" i="34"/>
  <c r="S44" i="34" s="1"/>
  <c r="AA44" i="34"/>
  <c r="J10" i="35"/>
  <c r="AC10" i="35" s="1"/>
  <c r="J14" i="21"/>
  <c r="W14" i="21"/>
  <c r="F14" i="21"/>
  <c r="S14" i="21" s="1"/>
  <c r="H14" i="21"/>
  <c r="U14" i="21"/>
  <c r="H28" i="21"/>
  <c r="AB28" i="21" s="1"/>
  <c r="F28" i="21"/>
  <c r="J28" i="21"/>
  <c r="W28" i="21" s="1"/>
  <c r="H30" i="21"/>
  <c r="AB30" i="21" s="1"/>
  <c r="U30" i="21"/>
  <c r="F30" i="21"/>
  <c r="S30" i="21" s="1"/>
  <c r="J30" i="21"/>
  <c r="AC30" i="21"/>
  <c r="H46" i="21"/>
  <c r="U46" i="21" s="1"/>
  <c r="J46" i="21"/>
  <c r="F46" i="21"/>
  <c r="AA46" i="21"/>
  <c r="E119" i="21"/>
  <c r="F119" i="21" s="1"/>
  <c r="G119" i="21" s="1"/>
  <c r="H119" i="21" s="1"/>
  <c r="I119" i="21" s="1"/>
  <c r="J119" i="21" s="1"/>
  <c r="K119" i="21" s="1"/>
  <c r="L119" i="21" s="1"/>
  <c r="M119" i="21" s="1"/>
  <c r="H26" i="33"/>
  <c r="U26" i="33"/>
  <c r="H28" i="33"/>
  <c r="F28" i="33"/>
  <c r="AA28" i="33"/>
  <c r="J28" i="33"/>
  <c r="W28" i="33" s="1"/>
  <c r="F33" i="35"/>
  <c r="S33" i="35"/>
  <c r="J33" i="35"/>
  <c r="AC33" i="35" s="1"/>
  <c r="F30" i="35"/>
  <c r="S30" i="35" s="1"/>
  <c r="E89" i="35"/>
  <c r="F89" i="35"/>
  <c r="G89" i="35"/>
  <c r="H89" i="35" s="1"/>
  <c r="I89" i="35" s="1"/>
  <c r="J89" i="35" s="1"/>
  <c r="K89" i="35" s="1"/>
  <c r="L89" i="35" s="1"/>
  <c r="M89" i="35" s="1"/>
  <c r="H10" i="36"/>
  <c r="AB10" i="36" s="1"/>
  <c r="J14" i="36"/>
  <c r="AC14" i="36"/>
  <c r="H14" i="36"/>
  <c r="U14" i="36" s="1"/>
  <c r="F28" i="36"/>
  <c r="AA28" i="36" s="1"/>
  <c r="J13" i="21"/>
  <c r="AC13" i="21" s="1"/>
  <c r="H27" i="21"/>
  <c r="AB27" i="21" s="1"/>
  <c r="F27" i="21"/>
  <c r="AA27" i="21" s="1"/>
  <c r="H29" i="21"/>
  <c r="U29" i="21"/>
  <c r="J31" i="21"/>
  <c r="AC31" i="21" s="1"/>
  <c r="F31" i="21"/>
  <c r="S31" i="21"/>
  <c r="F45" i="21"/>
  <c r="AA45" i="21" s="1"/>
  <c r="F27" i="33"/>
  <c r="AA27" i="33"/>
  <c r="J13" i="33"/>
  <c r="H13" i="33"/>
  <c r="U13" i="33" s="1"/>
  <c r="F13" i="33"/>
  <c r="S13" i="33"/>
  <c r="J29" i="33"/>
  <c r="H29" i="33"/>
  <c r="U29" i="33" s="1"/>
  <c r="F29" i="33"/>
  <c r="S29" i="33" s="1"/>
  <c r="J31" i="33"/>
  <c r="W31" i="33"/>
  <c r="H31" i="33"/>
  <c r="F31" i="33"/>
  <c r="H45" i="33"/>
  <c r="U45" i="33"/>
  <c r="J45" i="33"/>
  <c r="W45" i="33" s="1"/>
  <c r="F45" i="33"/>
  <c r="AA45" i="33"/>
  <c r="J14" i="34"/>
  <c r="F14" i="34"/>
  <c r="S14" i="34"/>
  <c r="H14" i="34"/>
  <c r="H30" i="34"/>
  <c r="U30" i="34" s="1"/>
  <c r="F30" i="34"/>
  <c r="S30" i="34"/>
  <c r="J30" i="34"/>
  <c r="H32" i="34"/>
  <c r="U32" i="34" s="1"/>
  <c r="F32" i="34"/>
  <c r="J32" i="34"/>
  <c r="W32" i="34" s="1"/>
  <c r="H46" i="34"/>
  <c r="AB46" i="34" s="1"/>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c r="H40" i="37"/>
  <c r="U40" i="37" s="1"/>
  <c r="J40" i="37"/>
  <c r="AC40" i="37"/>
  <c r="F40" i="37"/>
  <c r="AA40" i="37" s="1"/>
  <c r="AC12" i="40"/>
  <c r="W12" i="40"/>
  <c r="H14" i="33"/>
  <c r="U14" i="33" s="1"/>
  <c r="F14" i="33"/>
  <c r="S14" i="33" s="1"/>
  <c r="J14" i="33"/>
  <c r="H30" i="33"/>
  <c r="AB30" i="33"/>
  <c r="F30" i="33"/>
  <c r="J30" i="33"/>
  <c r="H44" i="33"/>
  <c r="J44" i="33"/>
  <c r="F44" i="33"/>
  <c r="S44" i="33" s="1"/>
  <c r="J46" i="33"/>
  <c r="AC46" i="33"/>
  <c r="F46" i="33"/>
  <c r="AA46" i="33" s="1"/>
  <c r="H46" i="33"/>
  <c r="AB46" i="33"/>
  <c r="H13" i="34"/>
  <c r="U13" i="34" s="1"/>
  <c r="J13" i="34"/>
  <c r="W13" i="34"/>
  <c r="F13" i="34"/>
  <c r="AA13" i="34" s="1"/>
  <c r="J29" i="34"/>
  <c r="W29" i="34" s="1"/>
  <c r="F29" i="34"/>
  <c r="S29" i="34"/>
  <c r="H29" i="34"/>
  <c r="AB29" i="34" s="1"/>
  <c r="J31" i="34"/>
  <c r="H31" i="34"/>
  <c r="F31" i="34"/>
  <c r="S31" i="34"/>
  <c r="H45" i="34"/>
  <c r="U45" i="34" s="1"/>
  <c r="J45" i="34"/>
  <c r="W45" i="34"/>
  <c r="F45" i="34"/>
  <c r="S45" i="34" s="1"/>
  <c r="H47" i="34"/>
  <c r="U47" i="34"/>
  <c r="F47" i="34"/>
  <c r="S47" i="34" s="1"/>
  <c r="J47" i="34"/>
  <c r="F13" i="35"/>
  <c r="J13" i="35"/>
  <c r="AC13" i="35"/>
  <c r="H13" i="35"/>
  <c r="U13" i="35" s="1"/>
  <c r="J25" i="35"/>
  <c r="W25" i="35"/>
  <c r="F25" i="35"/>
  <c r="S25" i="35" s="1"/>
  <c r="H25" i="35"/>
  <c r="AB25" i="35"/>
  <c r="J35" i="35"/>
  <c r="AC35" i="35" s="1"/>
  <c r="F35" i="35"/>
  <c r="AA35" i="35" s="1"/>
  <c r="H35" i="35"/>
  <c r="J25" i="36"/>
  <c r="W25" i="36"/>
  <c r="F25" i="36"/>
  <c r="S25" i="36" s="1"/>
  <c r="H25" i="36"/>
  <c r="AB25" i="36"/>
  <c r="H13" i="37"/>
  <c r="F13" i="37"/>
  <c r="S13" i="37"/>
  <c r="J13" i="37"/>
  <c r="W13" i="37" s="1"/>
  <c r="F28" i="37"/>
  <c r="J28" i="37"/>
  <c r="AC28" i="37"/>
  <c r="H28" i="37"/>
  <c r="H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s="1"/>
  <c r="S14" i="37"/>
  <c r="F27" i="37"/>
  <c r="AA27" i="37"/>
  <c r="F13" i="39"/>
  <c r="J13" i="39"/>
  <c r="W13" i="39" s="1"/>
  <c r="H13" i="39"/>
  <c r="H14" i="40"/>
  <c r="AB14" i="40"/>
  <c r="J14" i="40"/>
  <c r="W14" i="40" s="1"/>
  <c r="F14" i="40"/>
  <c r="AA14" i="40"/>
  <c r="J14" i="37"/>
  <c r="J27" i="37"/>
  <c r="AA44" i="33"/>
  <c r="U46" i="33"/>
  <c r="J36" i="37"/>
  <c r="AC36" i="37"/>
  <c r="J10" i="36"/>
  <c r="AC10" i="36" s="1"/>
  <c r="AB26" i="33"/>
  <c r="S11" i="36"/>
  <c r="AA14" i="34"/>
  <c r="S45" i="33"/>
  <c r="AB45" i="33"/>
  <c r="AC28" i="21"/>
  <c r="BA586" i="3"/>
  <c r="BA585" i="3"/>
  <c r="F17" i="21"/>
  <c r="AA17" i="21" s="1"/>
  <c r="H17" i="21"/>
  <c r="AB17" i="21" s="1"/>
  <c r="F15" i="21"/>
  <c r="S15" i="21" s="1"/>
  <c r="J41" i="39"/>
  <c r="W41" i="39" s="1"/>
  <c r="W44"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AZ556" i="3" s="1"/>
  <c r="BL552" i="3"/>
  <c r="BL544" i="3"/>
  <c r="BL540" i="3"/>
  <c r="AZ540" i="3" s="1"/>
  <c r="BL536" i="3"/>
  <c r="G533" i="3"/>
  <c r="BL532" i="3"/>
  <c r="G529" i="3"/>
  <c r="BL528" i="3"/>
  <c r="G525" i="3"/>
  <c r="BL524" i="3"/>
  <c r="BL518" i="3"/>
  <c r="BL514" i="3"/>
  <c r="AZ514" i="3" s="1"/>
  <c r="BL510" i="3"/>
  <c r="BL504" i="3"/>
  <c r="BL500" i="3"/>
  <c r="BL496" i="3"/>
  <c r="AZ496" i="3" s="1"/>
  <c r="G493" i="3"/>
  <c r="BA584" i="3"/>
  <c r="BA582" i="3"/>
  <c r="AZ582" i="3" s="1"/>
  <c r="BA580" i="3"/>
  <c r="AZ580" i="3" s="1"/>
  <c r="BA578" i="3"/>
  <c r="BA576" i="3"/>
  <c r="BA574" i="3"/>
  <c r="BA572" i="3"/>
  <c r="AZ572" i="3" s="1"/>
  <c r="BA570" i="3"/>
  <c r="AZ570" i="3" s="1"/>
  <c r="BA568" i="3"/>
  <c r="AZ568" i="3" s="1"/>
  <c r="BA566" i="3"/>
  <c r="AZ566" i="3" s="1"/>
  <c r="BA564" i="3"/>
  <c r="AZ564" i="3" s="1"/>
  <c r="BA562" i="3"/>
  <c r="BA560" i="3"/>
  <c r="AZ560" i="3" s="1"/>
  <c r="BA558" i="3"/>
  <c r="AZ558" i="3"/>
  <c r="BA556" i="3"/>
  <c r="BA554" i="3"/>
  <c r="BA552" i="3"/>
  <c r="AZ552" i="3"/>
  <c r="BA548" i="3"/>
  <c r="BA546" i="3"/>
  <c r="AZ546" i="3" s="1"/>
  <c r="BA544" i="3"/>
  <c r="AZ544" i="3"/>
  <c r="BA542" i="3"/>
  <c r="AZ542" i="3"/>
  <c r="BA540" i="3"/>
  <c r="BA538" i="3"/>
  <c r="AZ538" i="3"/>
  <c r="BA536" i="3"/>
  <c r="BA534" i="3"/>
  <c r="BA532" i="3"/>
  <c r="AZ532" i="3" s="1"/>
  <c r="BA530" i="3"/>
  <c r="BA528" i="3"/>
  <c r="BA526" i="3"/>
  <c r="AZ526" i="3" s="1"/>
  <c r="BA524" i="3"/>
  <c r="BA522" i="3"/>
  <c r="BA520" i="3"/>
  <c r="BA518" i="3"/>
  <c r="AZ518" i="3" s="1"/>
  <c r="BA516" i="3"/>
  <c r="BA514" i="3"/>
  <c r="BA512" i="3"/>
  <c r="AZ512" i="3"/>
  <c r="BA510" i="3"/>
  <c r="AZ510" i="3"/>
  <c r="BA508" i="3"/>
  <c r="AZ508" i="3" s="1"/>
  <c r="BA506" i="3"/>
  <c r="AZ506" i="3" s="1"/>
  <c r="BA504" i="3"/>
  <c r="AZ504" i="3"/>
  <c r="BA502" i="3"/>
  <c r="BA500" i="3"/>
  <c r="AZ500" i="3" s="1"/>
  <c r="BA498" i="3"/>
  <c r="BA496" i="3"/>
  <c r="BA494" i="3"/>
  <c r="AZ494" i="3" s="1"/>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c r="BQ579" i="3"/>
  <c r="BL579" i="3"/>
  <c r="BQ577" i="3"/>
  <c r="BL577" i="3" s="1"/>
  <c r="AZ577" i="3" s="1"/>
  <c r="BQ575" i="3"/>
  <c r="BL575" i="3" s="1"/>
  <c r="BQ573" i="3"/>
  <c r="BL573" i="3" s="1"/>
  <c r="BQ571" i="3"/>
  <c r="BL571" i="3"/>
  <c r="BQ569" i="3"/>
  <c r="BL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L549" i="3" s="1"/>
  <c r="AZ549" i="3" s="1"/>
  <c r="BQ547" i="3"/>
  <c r="BL547" i="3" s="1"/>
  <c r="BQ545" i="3"/>
  <c r="BL545" i="3"/>
  <c r="BQ543" i="3"/>
  <c r="BL543" i="3" s="1"/>
  <c r="AZ543" i="3" s="1"/>
  <c r="BQ541" i="3"/>
  <c r="BL541" i="3"/>
  <c r="AZ541" i="3" s="1"/>
  <c r="BQ539" i="3"/>
  <c r="BL539" i="3" s="1"/>
  <c r="AZ539" i="3" s="1"/>
  <c r="BQ537" i="3"/>
  <c r="BL537" i="3"/>
  <c r="BQ535" i="3"/>
  <c r="BL535" i="3" s="1"/>
  <c r="AZ535" i="3" s="1"/>
  <c r="BQ533" i="3"/>
  <c r="BL533" i="3" s="1"/>
  <c r="AZ533" i="3" s="1"/>
  <c r="BQ531" i="3"/>
  <c r="BL531" i="3" s="1"/>
  <c r="BQ529" i="3"/>
  <c r="BL529" i="3"/>
  <c r="BQ527" i="3"/>
  <c r="BL527" i="3" s="1"/>
  <c r="AZ527" i="3"/>
  <c r="BQ525" i="3"/>
  <c r="BL525" i="3"/>
  <c r="AZ525" i="3" s="1"/>
  <c r="BQ523" i="3"/>
  <c r="BL523" i="3" s="1"/>
  <c r="BA521" i="3"/>
  <c r="AC521" i="3"/>
  <c r="G521" i="3"/>
  <c r="BQ521" i="3"/>
  <c r="BL521" i="3"/>
  <c r="AZ521" i="3" s="1"/>
  <c r="BL520" i="3"/>
  <c r="AZ520" i="3"/>
  <c r="G519" i="3"/>
  <c r="G517" i="3"/>
  <c r="G515" i="3"/>
  <c r="G513" i="3"/>
  <c r="G511" i="3"/>
  <c r="BQ519" i="3"/>
  <c r="BL519" i="3" s="1"/>
  <c r="BQ517" i="3"/>
  <c r="BL517" i="3"/>
  <c r="BQ515" i="3"/>
  <c r="BL515" i="3" s="1"/>
  <c r="BQ513" i="3"/>
  <c r="BL513" i="3"/>
  <c r="BQ511" i="3"/>
  <c r="BL511" i="3" s="1"/>
  <c r="BA509" i="3"/>
  <c r="AC509" i="3"/>
  <c r="BQ509" i="3"/>
  <c r="BL509" i="3"/>
  <c r="AZ509" i="3" s="1"/>
  <c r="BL508" i="3"/>
  <c r="G507" i="3"/>
  <c r="G505" i="3"/>
  <c r="G503" i="3"/>
  <c r="G501" i="3"/>
  <c r="G499" i="3"/>
  <c r="G497" i="3"/>
  <c r="G495" i="3"/>
  <c r="BQ507" i="3"/>
  <c r="BQ505" i="3"/>
  <c r="BL505" i="3"/>
  <c r="AZ505" i="3" s="1"/>
  <c r="BQ503" i="3"/>
  <c r="BL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H28" i="34"/>
  <c r="AB28" i="34" s="1"/>
  <c r="F14" i="36"/>
  <c r="AA14" i="36" s="1"/>
  <c r="F22" i="36"/>
  <c r="S22" i="36" s="1"/>
  <c r="F26" i="36"/>
  <c r="H27" i="34"/>
  <c r="AB27" i="34" s="1"/>
  <c r="H35" i="34"/>
  <c r="U35" i="34" s="1"/>
  <c r="F41" i="34"/>
  <c r="H41" i="34"/>
  <c r="J41" i="34"/>
  <c r="AC41" i="34" s="1"/>
  <c r="F10" i="35"/>
  <c r="S10" i="35" s="1"/>
  <c r="F24" i="35"/>
  <c r="S24" i="35" s="1"/>
  <c r="AA24" i="35"/>
  <c r="H24" i="35"/>
  <c r="AB24" i="35"/>
  <c r="H23" i="37"/>
  <c r="U23" i="37" s="1"/>
  <c r="AB23" i="37"/>
  <c r="J32" i="37"/>
  <c r="AC32" i="37"/>
  <c r="F36" i="37"/>
  <c r="AA36" i="37"/>
  <c r="F37" i="37"/>
  <c r="AA37" i="37" s="1"/>
  <c r="F31" i="40"/>
  <c r="S31" i="40" s="1"/>
  <c r="AA31" i="40"/>
  <c r="H31" i="40"/>
  <c r="U31" i="40" s="1"/>
  <c r="F32" i="40"/>
  <c r="S32" i="40"/>
  <c r="H32" i="40"/>
  <c r="AB32" i="40" s="1"/>
  <c r="J36" i="40"/>
  <c r="AC36" i="40" s="1"/>
  <c r="W36" i="40"/>
  <c r="H19" i="37"/>
  <c r="AB19" i="37" s="1"/>
  <c r="H42" i="33"/>
  <c r="AB42" i="33" s="1"/>
  <c r="J43" i="33"/>
  <c r="S28" i="31"/>
  <c r="S27" i="31"/>
  <c r="S26" i="31"/>
  <c r="U14" i="40"/>
  <c r="W23" i="35"/>
  <c r="U39" i="37"/>
  <c r="AA13" i="33"/>
  <c r="AC31" i="33"/>
  <c r="AC45" i="33"/>
  <c r="U19" i="21"/>
  <c r="AB38" i="21"/>
  <c r="F43" i="33"/>
  <c r="S43" i="33" s="1"/>
  <c r="AA43" i="33"/>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C12" i="37"/>
  <c r="H31" i="37"/>
  <c r="J15" i="37"/>
  <c r="W15" i="37"/>
  <c r="AT6" i="3"/>
  <c r="AA25" i="21"/>
  <c r="H19" i="40"/>
  <c r="F19" i="40"/>
  <c r="S19" i="40" s="1"/>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34" i="39"/>
  <c r="U40" i="39"/>
  <c r="S42"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G4" i="4"/>
  <c r="I4" i="4"/>
  <c r="A2" i="9"/>
  <c r="F61" i="43"/>
  <c r="H64" i="43" s="1"/>
  <c r="AZ497" i="3"/>
  <c r="AZ522"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AZ115" i="3" s="1"/>
  <c r="BL116" i="3"/>
  <c r="G117" i="3"/>
  <c r="BA119" i="3"/>
  <c r="BL120" i="3"/>
  <c r="G121" i="3"/>
  <c r="BA123" i="3"/>
  <c r="BL124" i="3"/>
  <c r="G125" i="3"/>
  <c r="BA127" i="3"/>
  <c r="AZ127" i="3" s="1"/>
  <c r="BL128" i="3"/>
  <c r="G129" i="3"/>
  <c r="BA131" i="3"/>
  <c r="BL132" i="3"/>
  <c r="AZ132" i="3" s="1"/>
  <c r="G133" i="3"/>
  <c r="BA135" i="3"/>
  <c r="AZ135" i="3" s="1"/>
  <c r="BL136" i="3"/>
  <c r="G137" i="3"/>
  <c r="BA139" i="3"/>
  <c r="BL140" i="3"/>
  <c r="G141" i="3"/>
  <c r="BA143" i="3"/>
  <c r="BL144" i="3"/>
  <c r="AZ144" i="3" s="1"/>
  <c r="G145" i="3"/>
  <c r="BA147" i="3"/>
  <c r="BL148" i="3"/>
  <c r="G149" i="3"/>
  <c r="BA151" i="3"/>
  <c r="BL152" i="3"/>
  <c r="G153" i="3"/>
  <c r="BA155" i="3"/>
  <c r="AZ155" i="3" s="1"/>
  <c r="BL156" i="3"/>
  <c r="AZ156" i="3" s="1"/>
  <c r="G157" i="3"/>
  <c r="BA159" i="3"/>
  <c r="BL160" i="3"/>
  <c r="G161" i="3"/>
  <c r="BA163" i="3"/>
  <c r="AZ163" i="3" s="1"/>
  <c r="BL164" i="3"/>
  <c r="AZ164" i="3" s="1"/>
  <c r="G165" i="3"/>
  <c r="BA167" i="3"/>
  <c r="BL168" i="3"/>
  <c r="G169" i="3"/>
  <c r="BA171" i="3"/>
  <c r="AZ171" i="3" s="1"/>
  <c r="BL172" i="3"/>
  <c r="G173" i="3"/>
  <c r="BA175" i="3"/>
  <c r="AZ175" i="3" s="1"/>
  <c r="BL176" i="3"/>
  <c r="G177" i="3"/>
  <c r="BA179" i="3"/>
  <c r="BL180" i="3"/>
  <c r="G181" i="3"/>
  <c r="BA183" i="3"/>
  <c r="BL184" i="3"/>
  <c r="G185" i="3"/>
  <c r="BA187" i="3"/>
  <c r="AZ187" i="3" s="1"/>
  <c r="BL188" i="3"/>
  <c r="AZ188" i="3" s="1"/>
  <c r="G189" i="3"/>
  <c r="BA191" i="3"/>
  <c r="BL192" i="3"/>
  <c r="AZ192" i="3" s="1"/>
  <c r="G193" i="3"/>
  <c r="BA195" i="3"/>
  <c r="AZ195" i="3" s="1"/>
  <c r="BL196" i="3"/>
  <c r="G197" i="3"/>
  <c r="BA199" i="3"/>
  <c r="AZ199" i="3" s="1"/>
  <c r="BL200" i="3"/>
  <c r="AZ200" i="3" s="1"/>
  <c r="G201" i="3"/>
  <c r="BA203" i="3"/>
  <c r="BL204" i="3"/>
  <c r="AZ176" i="3"/>
  <c r="AZ184"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AZ336" i="3" s="1"/>
  <c r="BA337" i="3"/>
  <c r="AZ337" i="3" s="1"/>
  <c r="BL337" i="3"/>
  <c r="G338" i="3"/>
  <c r="G341" i="3"/>
  <c r="BA342" i="3"/>
  <c r="BL342" i="3"/>
  <c r="AZ342" i="3"/>
  <c r="BA344" i="3"/>
  <c r="AZ344" i="3" s="1"/>
  <c r="BL344" i="3"/>
  <c r="BA346" i="3"/>
  <c r="BA347" i="3"/>
  <c r="BL347" i="3"/>
  <c r="G350" i="3"/>
  <c r="BA351" i="3"/>
  <c r="BL351" i="3"/>
  <c r="AZ351" i="3" s="1"/>
  <c r="G352" i="3"/>
  <c r="G354" i="3"/>
  <c r="BA355" i="3"/>
  <c r="AZ355" i="3"/>
  <c r="BA356" i="3"/>
  <c r="BL356" i="3"/>
  <c r="G357" i="3"/>
  <c r="G360" i="3"/>
  <c r="BL361" i="3"/>
  <c r="BA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66" i="3"/>
  <c r="BA16" i="3"/>
  <c r="AZ16" i="3" s="1"/>
  <c r="BL303" i="3"/>
  <c r="AZ303" i="3" s="1"/>
  <c r="G304" i="3"/>
  <c r="BA306" i="3"/>
  <c r="BL307" i="3"/>
  <c r="AZ307" i="3" s="1"/>
  <c r="G308" i="3"/>
  <c r="BA310" i="3"/>
  <c r="AZ310" i="3"/>
  <c r="BL311" i="3"/>
  <c r="AZ311" i="3" s="1"/>
  <c r="G312" i="3"/>
  <c r="BA314" i="3"/>
  <c r="AZ314" i="3"/>
  <c r="BL315" i="3"/>
  <c r="G316" i="3"/>
  <c r="BA318" i="3"/>
  <c r="AZ318" i="3" s="1"/>
  <c r="BL319" i="3"/>
  <c r="G320" i="3"/>
  <c r="BA322" i="3"/>
  <c r="BL323" i="3"/>
  <c r="G324" i="3"/>
  <c r="BA326" i="3"/>
  <c r="AZ326" i="3" s="1"/>
  <c r="BL327" i="3"/>
  <c r="AZ327" i="3"/>
  <c r="G328" i="3"/>
  <c r="BA330" i="3"/>
  <c r="BL331" i="3"/>
  <c r="AZ331" i="3" s="1"/>
  <c r="G332" i="3"/>
  <c r="BA334" i="3"/>
  <c r="BL335" i="3"/>
  <c r="G336" i="3"/>
  <c r="BA338" i="3"/>
  <c r="AZ338" i="3" s="1"/>
  <c r="BL339" i="3"/>
  <c r="G340" i="3"/>
  <c r="BL343" i="3"/>
  <c r="G344" i="3"/>
  <c r="G348" i="3"/>
  <c r="G355" i="3"/>
  <c r="AZ218" i="3"/>
  <c r="G342" i="3"/>
  <c r="BL345" i="3"/>
  <c r="AZ345" i="3" s="1"/>
  <c r="G346" i="3"/>
  <c r="BL349" i="3"/>
  <c r="BL352" i="3"/>
  <c r="G353" i="3"/>
  <c r="BA357" i="3"/>
  <c r="BL358" i="3"/>
  <c r="G359" i="3"/>
  <c r="BA361" i="3"/>
  <c r="AZ361" i="3"/>
  <c r="BL362" i="3"/>
  <c r="G363" i="3"/>
  <c r="BA365" i="3"/>
  <c r="BL366" i="3"/>
  <c r="G367" i="3"/>
  <c r="BA369" i="3"/>
  <c r="AZ369" i="3"/>
  <c r="BL370" i="3"/>
  <c r="AZ370" i="3" s="1"/>
  <c r="G371" i="3"/>
  <c r="BA373" i="3"/>
  <c r="AZ373" i="3"/>
  <c r="BL374" i="3"/>
  <c r="G375" i="3"/>
  <c r="BA377" i="3"/>
  <c r="AZ377" i="3"/>
  <c r="AZ229" i="3"/>
  <c r="AZ233" i="3"/>
  <c r="AZ249" i="3"/>
  <c r="BA379" i="3"/>
  <c r="AZ379" i="3" s="1"/>
  <c r="BL380" i="3"/>
  <c r="G381" i="3"/>
  <c r="BA383" i="3"/>
  <c r="AZ383" i="3" s="1"/>
  <c r="BL384" i="3"/>
  <c r="G385" i="3"/>
  <c r="BA387" i="3"/>
  <c r="AZ387" i="3" s="1"/>
  <c r="BL388" i="3"/>
  <c r="G389" i="3"/>
  <c r="BA391" i="3"/>
  <c r="BL392" i="3"/>
  <c r="G393" i="3"/>
  <c r="BO5" i="3"/>
  <c r="BM5" i="3"/>
  <c r="F29" i="6" s="1"/>
  <c r="BJ5" i="3"/>
  <c r="BH5" i="3"/>
  <c r="BF5" i="3"/>
  <c r="BD5" i="3"/>
  <c r="AZ325" i="3"/>
  <c r="G548" i="3"/>
  <c r="G538" i="3"/>
  <c r="G520" i="3"/>
  <c r="G502" i="3"/>
  <c r="BS5" i="3"/>
  <c r="BP5" i="3"/>
  <c r="BN5" i="3"/>
  <c r="G29" i="6" s="1"/>
  <c r="BK5" i="3"/>
  <c r="BI5" i="3"/>
  <c r="BG5" i="3"/>
  <c r="BE5" i="3"/>
  <c r="BC5" i="3"/>
  <c r="G17" i="3"/>
  <c r="BA17" i="3"/>
  <c r="BT5" i="3"/>
  <c r="AZ356" i="3"/>
  <c r="BA15" i="3"/>
  <c r="BB5" i="3"/>
  <c r="BR5" i="3"/>
  <c r="AZ392" i="3"/>
  <c r="AZ499" i="3"/>
  <c r="G509" i="3"/>
  <c r="BL493" i="3"/>
  <c r="U36" i="40"/>
  <c r="F83" i="43"/>
  <c r="H85" i="43" s="1"/>
  <c r="F50" i="43"/>
  <c r="H54" i="43" s="1"/>
  <c r="F72" i="43"/>
  <c r="H75" i="43" s="1"/>
  <c r="U17" i="39"/>
  <c r="S14" i="35"/>
  <c r="U43" i="21"/>
  <c r="U35" i="21"/>
  <c r="AC35" i="21"/>
  <c r="AC11" i="39"/>
  <c r="AZ563" i="3"/>
  <c r="W37" i="37"/>
  <c r="W44" i="34"/>
  <c r="AC44" i="34"/>
  <c r="S15"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F96" i="37"/>
  <c r="H27" i="40"/>
  <c r="U27" i="40"/>
  <c r="J27" i="40"/>
  <c r="F27" i="40"/>
  <c r="S27" i="40"/>
  <c r="J30" i="40"/>
  <c r="AC30" i="40" s="1"/>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H44" i="34"/>
  <c r="U44" i="34" s="1"/>
  <c r="AC38" i="39"/>
  <c r="F39" i="39"/>
  <c r="S39" i="39" s="1"/>
  <c r="J39" i="39"/>
  <c r="AC39" i="39" s="1"/>
  <c r="E96" i="39"/>
  <c r="F96" i="39" s="1"/>
  <c r="G96" i="39" s="1"/>
  <c r="AZ386" i="3"/>
  <c r="C40" i="11"/>
  <c r="AZ227" i="3"/>
  <c r="AZ235" i="3"/>
  <c r="AZ251" i="3"/>
  <c r="F23" i="39"/>
  <c r="S23" i="39" s="1"/>
  <c r="H27" i="36"/>
  <c r="U27" i="36" s="1"/>
  <c r="F27" i="36"/>
  <c r="AA27" i="36" s="1"/>
  <c r="H33" i="34"/>
  <c r="AB33" i="34" s="1"/>
  <c r="F32" i="37"/>
  <c r="AA32" i="37"/>
  <c r="G96" i="37"/>
  <c r="H96" i="37" s="1"/>
  <c r="I96" i="37" s="1"/>
  <c r="J96" i="37" s="1"/>
  <c r="K96" i="37" s="1"/>
  <c r="L96" i="37" s="1"/>
  <c r="M96" i="37" s="1"/>
  <c r="F20" i="36"/>
  <c r="AA20" i="36" s="1"/>
  <c r="J33" i="34"/>
  <c r="AC33" i="34" s="1"/>
  <c r="H23" i="39"/>
  <c r="U23" i="39" s="1"/>
  <c r="D48" i="9"/>
  <c r="M52" i="9" s="1"/>
  <c r="K9" i="1"/>
  <c r="M9" i="1" s="1"/>
  <c r="D93" i="9"/>
  <c r="AC26" i="33"/>
  <c r="W26" i="33"/>
  <c r="W27" i="34"/>
  <c r="AC27" i="34"/>
  <c r="AB34" i="36"/>
  <c r="U34" i="36"/>
  <c r="AC12" i="39"/>
  <c r="W12" i="39"/>
  <c r="AC39" i="40"/>
  <c r="W39" i="40"/>
  <c r="W12" i="33"/>
  <c r="AC12" i="33"/>
  <c r="AA32" i="36"/>
  <c r="S32" i="36"/>
  <c r="BL14" i="3"/>
  <c r="U30" i="33"/>
  <c r="AC13" i="34"/>
  <c r="W28" i="37"/>
  <c r="S19" i="39"/>
  <c r="F12" i="33"/>
  <c r="H12" i="39"/>
  <c r="AB12" i="39"/>
  <c r="F39" i="40"/>
  <c r="AA39" i="40" s="1"/>
  <c r="BA14" i="3"/>
  <c r="AZ367" i="3"/>
  <c r="AZ297" i="3"/>
  <c r="AZ189" i="3"/>
  <c r="B12" i="1"/>
  <c r="E12" i="1" s="1"/>
  <c r="B10" i="1"/>
  <c r="E10" i="1" s="1"/>
  <c r="K12" i="1"/>
  <c r="M12" i="1" s="1"/>
  <c r="S13" i="1"/>
  <c r="AR13" i="1" s="1"/>
  <c r="R13" i="1"/>
  <c r="J51" i="67"/>
  <c r="C42" i="1"/>
  <c r="C24" i="12" s="1"/>
  <c r="AC34" i="33"/>
  <c r="AA34" i="33"/>
  <c r="B41" i="1"/>
  <c r="F48" i="9" s="1"/>
  <c r="O52" i="9" s="1"/>
  <c r="AB37" i="40"/>
  <c r="S35" i="40"/>
  <c r="U35" i="40"/>
  <c r="W38" i="40"/>
  <c r="AA32" i="40"/>
  <c r="S17" i="40"/>
  <c r="S23" i="40"/>
  <c r="AC15" i="40"/>
  <c r="AB27" i="40"/>
  <c r="S30" i="40"/>
  <c r="AA19" i="40"/>
  <c r="S28" i="40"/>
  <c r="AA27" i="40"/>
  <c r="U37" i="39"/>
  <c r="S43" i="39"/>
  <c r="U35" i="39"/>
  <c r="F32" i="39"/>
  <c r="AA32" i="39" s="1"/>
  <c r="F106" i="39"/>
  <c r="G106" i="39" s="1"/>
  <c r="H106" i="39" s="1"/>
  <c r="I106" i="39" s="1"/>
  <c r="J106" i="39" s="1"/>
  <c r="K106" i="39" s="1"/>
  <c r="L106" i="39" s="1"/>
  <c r="M106" i="39" s="1"/>
  <c r="U25" i="39"/>
  <c r="AB27" i="39"/>
  <c r="U31" i="39"/>
  <c r="J21" i="39"/>
  <c r="W21" i="39" s="1"/>
  <c r="F21" i="39"/>
  <c r="G94" i="39"/>
  <c r="H21" i="39"/>
  <c r="U21" i="39" s="1"/>
  <c r="W19" i="39"/>
  <c r="U19" i="39"/>
  <c r="S15" i="39"/>
  <c r="AA12" i="39"/>
  <c r="S9" i="39"/>
  <c r="U14" i="39"/>
  <c r="AC13" i="39"/>
  <c r="U12" i="39"/>
  <c r="S23" i="36"/>
  <c r="U13" i="36"/>
  <c r="U26" i="36"/>
  <c r="AA34" i="36"/>
  <c r="AC26" i="36"/>
  <c r="AA22" i="36"/>
  <c r="W14" i="36"/>
  <c r="AB14" i="36"/>
  <c r="U22" i="36"/>
  <c r="S16" i="36"/>
  <c r="AA25" i="36"/>
  <c r="S24" i="36"/>
  <c r="U24" i="36"/>
  <c r="U23" i="36"/>
  <c r="AB20" i="36"/>
  <c r="S14" i="36"/>
  <c r="AA25" i="35"/>
  <c r="S23" i="35"/>
  <c r="W24" i="35"/>
  <c r="AB13" i="35"/>
  <c r="U29" i="35"/>
  <c r="U28" i="35"/>
  <c r="AB27" i="35"/>
  <c r="U36" i="35"/>
  <c r="U32" i="35"/>
  <c r="AA33" i="35"/>
  <c r="AC30" i="35"/>
  <c r="S32" i="35"/>
  <c r="AA36" i="35"/>
  <c r="S28" i="35"/>
  <c r="AB16" i="35"/>
  <c r="U22" i="35"/>
  <c r="AC20" i="35"/>
  <c r="S22" i="35"/>
  <c r="U14" i="35"/>
  <c r="AA11" i="35"/>
  <c r="AC12" i="35"/>
  <c r="W13" i="35"/>
  <c r="AB40" i="37"/>
  <c r="AC29" i="37"/>
  <c r="U29" i="37"/>
  <c r="S32" i="37"/>
  <c r="W30" i="37"/>
  <c r="S36" i="37"/>
  <c r="AA38" i="37"/>
  <c r="W38" i="37"/>
  <c r="AC35" i="37"/>
  <c r="W39" i="37"/>
  <c r="S30" i="37"/>
  <c r="S37" i="37"/>
  <c r="AC15" i="37"/>
  <c r="J17" i="37"/>
  <c r="W17" i="37" s="1"/>
  <c r="F17" i="37"/>
  <c r="AB17" i="37"/>
  <c r="F75" i="37"/>
  <c r="F19" i="37"/>
  <c r="S19" i="37" s="1"/>
  <c r="F79" i="37"/>
  <c r="F23" i="37"/>
  <c r="U15" i="37"/>
  <c r="AC13" i="37"/>
  <c r="AA13" i="37"/>
  <c r="H10" i="37"/>
  <c r="AB10" i="37" s="1"/>
  <c r="F63" i="37"/>
  <c r="F11" i="37"/>
  <c r="S11" i="37" s="1"/>
  <c r="W25" i="34"/>
  <c r="AB8" i="34"/>
  <c r="AA33" i="34"/>
  <c r="U43" i="34"/>
  <c r="AC39" i="34"/>
  <c r="W41" i="34"/>
  <c r="AC42" i="34"/>
  <c r="AB35" i="34"/>
  <c r="U39" i="34"/>
  <c r="AA45" i="34"/>
  <c r="AA25" i="34"/>
  <c r="U28" i="34"/>
  <c r="AA29" i="34"/>
  <c r="U27" i="34"/>
  <c r="S23" i="34"/>
  <c r="S13" i="34"/>
  <c r="H10" i="34"/>
  <c r="AB10" i="34" s="1"/>
  <c r="F11" i="34"/>
  <c r="S11" i="34" s="1"/>
  <c r="W42" i="33"/>
  <c r="AA35" i="33"/>
  <c r="S27" i="33"/>
  <c r="S32" i="33"/>
  <c r="AA29" i="33"/>
  <c r="AB29" i="33"/>
  <c r="W38" i="33"/>
  <c r="H41" i="33"/>
  <c r="F121" i="33"/>
  <c r="G121" i="33" s="1"/>
  <c r="H121" i="33" s="1"/>
  <c r="I121" i="33" s="1"/>
  <c r="J121" i="33" s="1"/>
  <c r="K121" i="33" s="1"/>
  <c r="L121" i="33" s="1"/>
  <c r="M121" i="33" s="1"/>
  <c r="U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J32" i="33"/>
  <c r="S46" i="33"/>
  <c r="F91" i="33"/>
  <c r="G91" i="33" s="1"/>
  <c r="H91" i="33" s="1"/>
  <c r="I91" i="33" s="1"/>
  <c r="J91" i="33" s="1"/>
  <c r="K91" i="33" s="1"/>
  <c r="L91" i="33" s="1"/>
  <c r="M91" i="33" s="1"/>
  <c r="H27" i="33"/>
  <c r="AB27" i="33" s="1"/>
  <c r="F87" i="33"/>
  <c r="H25" i="33"/>
  <c r="F25" i="33"/>
  <c r="S25" i="33" s="1"/>
  <c r="J23" i="33"/>
  <c r="AC23" i="33" s="1"/>
  <c r="H23" i="33"/>
  <c r="F81" i="33"/>
  <c r="G81" i="33" s="1"/>
  <c r="F19" i="33"/>
  <c r="S19" i="33" s="1"/>
  <c r="W19" i="33"/>
  <c r="J17" i="33"/>
  <c r="F79" i="33"/>
  <c r="G79" i="33" s="1"/>
  <c r="S15" i="33"/>
  <c r="W15" i="33"/>
  <c r="U9" i="33"/>
  <c r="J10" i="33"/>
  <c r="W10" i="33" s="1"/>
  <c r="H10" i="33"/>
  <c r="U10" i="33" s="1"/>
  <c r="AB14" i="33"/>
  <c r="W43" i="21"/>
  <c r="W36" i="21"/>
  <c r="W41" i="21"/>
  <c r="AB39" i="21"/>
  <c r="AA43" i="21"/>
  <c r="S39" i="21"/>
  <c r="AA38" i="21"/>
  <c r="AA36" i="21"/>
  <c r="AC40" i="21"/>
  <c r="J15" i="21"/>
  <c r="W15" i="21" s="1"/>
  <c r="F77" i="21"/>
  <c r="G77" i="21"/>
  <c r="F23" i="21"/>
  <c r="S23" i="21" s="1"/>
  <c r="E85" i="21"/>
  <c r="AA14" i="21"/>
  <c r="D120" i="9"/>
  <c r="F34" i="67"/>
  <c r="F62" i="67" s="1"/>
  <c r="M20" i="67"/>
  <c r="F34" i="15"/>
  <c r="F62" i="15" s="1"/>
  <c r="G13" i="3"/>
  <c r="BA13" i="3"/>
  <c r="BL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W28" i="40"/>
  <c r="W34" i="40"/>
  <c r="W19" i="40"/>
  <c r="S36" i="40"/>
  <c r="W37" i="40"/>
  <c r="AC14" i="40"/>
  <c r="S13" i="40"/>
  <c r="S33" i="40"/>
  <c r="AA15" i="40"/>
  <c r="U11" i="40"/>
  <c r="AB13" i="40"/>
  <c r="U15" i="40"/>
  <c r="AB17" i="40"/>
  <c r="U8" i="40"/>
  <c r="S8" i="40"/>
  <c r="AA39" i="39"/>
  <c r="AC41" i="39"/>
  <c r="U42" i="39"/>
  <c r="W25" i="39"/>
  <c r="AC25" i="39"/>
  <c r="U13" i="39"/>
  <c r="AB13" i="39"/>
  <c r="AA13" i="39"/>
  <c r="S13" i="39"/>
  <c r="U43" i="39"/>
  <c r="AB43" i="39"/>
  <c r="AB11" i="39"/>
  <c r="U11" i="39"/>
  <c r="AA27" i="39"/>
  <c r="S27" i="39"/>
  <c r="W17" i="39"/>
  <c r="AC17" i="39"/>
  <c r="AA45" i="39"/>
  <c r="AB39" i="39"/>
  <c r="W34" i="39"/>
  <c r="U38" i="39"/>
  <c r="S8" i="39"/>
  <c r="S20" i="36"/>
  <c r="AC25" i="36"/>
  <c r="U32" i="36"/>
  <c r="W29" i="36"/>
  <c r="AC20" i="36"/>
  <c r="U25" i="36"/>
  <c r="AB28" i="36"/>
  <c r="AA13" i="36"/>
  <c r="W9" i="36"/>
  <c r="W22" i="36"/>
  <c r="AB20" i="35"/>
  <c r="AC25" i="35"/>
  <c r="U25" i="35"/>
  <c r="U24" i="35"/>
  <c r="S35" i="35"/>
  <c r="W35" i="35"/>
  <c r="AA35" i="37"/>
  <c r="W36" i="37"/>
  <c r="S27" i="37"/>
  <c r="W32" i="37"/>
  <c r="U36" i="37"/>
  <c r="S40" i="37"/>
  <c r="AB37" i="37"/>
  <c r="AC34" i="37"/>
  <c r="AB35" i="37"/>
  <c r="AA31" i="37"/>
  <c r="U19" i="37"/>
  <c r="AA29" i="37"/>
  <c r="U8" i="37"/>
  <c r="AA40" i="34"/>
  <c r="AB40" i="34"/>
  <c r="U19" i="34"/>
  <c r="W19" i="34"/>
  <c r="AC45" i="34"/>
  <c r="AA31" i="34"/>
  <c r="AA30" i="34"/>
  <c r="AB45" i="34"/>
  <c r="AB47" i="34"/>
  <c r="U25" i="34"/>
  <c r="AB36" i="34"/>
  <c r="W33" i="34"/>
  <c r="AC32" i="34"/>
  <c r="AC29" i="34"/>
  <c r="W46" i="34"/>
  <c r="AC46" i="34"/>
  <c r="S32" i="34"/>
  <c r="AA32" i="34"/>
  <c r="AB30" i="34"/>
  <c r="S37" i="34"/>
  <c r="U38" i="34"/>
  <c r="AC40" i="34"/>
  <c r="W40" i="34"/>
  <c r="AA19" i="34"/>
  <c r="AA36" i="34"/>
  <c r="S36" i="34"/>
  <c r="AA8" i="34"/>
  <c r="S8" i="34"/>
  <c r="S46" i="34"/>
  <c r="AA46" i="34"/>
  <c r="AB32" i="34"/>
  <c r="U14" i="34"/>
  <c r="AB14" i="34"/>
  <c r="AC43" i="34"/>
  <c r="W43" i="34"/>
  <c r="W23" i="34"/>
  <c r="AC23" i="34"/>
  <c r="AC35" i="34"/>
  <c r="W35" i="34"/>
  <c r="AC37" i="33"/>
  <c r="W46" i="33"/>
  <c r="U39" i="33"/>
  <c r="U38" i="33"/>
  <c r="AB34" i="33"/>
  <c r="U44" i="33"/>
  <c r="AB44" i="33"/>
  <c r="S30" i="33"/>
  <c r="AA30" i="33"/>
  <c r="AC14" i="33"/>
  <c r="W14" i="33"/>
  <c r="AC30" i="33"/>
  <c r="W30" i="33"/>
  <c r="S31" i="33"/>
  <c r="AA31" i="33"/>
  <c r="W13" i="33"/>
  <c r="AC13" i="33"/>
  <c r="U15" i="33"/>
  <c r="S11" i="33"/>
  <c r="U37" i="33"/>
  <c r="AC28" i="33"/>
  <c r="S28" i="33"/>
  <c r="W9" i="33"/>
  <c r="U28" i="21"/>
  <c r="S45" i="21"/>
  <c r="F33" i="21"/>
  <c r="AA33" i="21" s="1"/>
  <c r="J33" i="21"/>
  <c r="AC33" i="21" s="1"/>
  <c r="H33" i="21"/>
  <c r="AB33" i="21" s="1"/>
  <c r="F37" i="21"/>
  <c r="AA37" i="21" s="1"/>
  <c r="AA26" i="21"/>
  <c r="AB14" i="21"/>
  <c r="AB46" i="21"/>
  <c r="U40" i="21"/>
  <c r="AB31" i="21"/>
  <c r="U31" i="21"/>
  <c r="AC15" i="21"/>
  <c r="U13" i="21"/>
  <c r="S35" i="21"/>
  <c r="J37" i="21"/>
  <c r="W37" i="21" s="1"/>
  <c r="H15" i="21"/>
  <c r="U15" i="21" s="1"/>
  <c r="J17" i="21"/>
  <c r="AC17" i="21"/>
  <c r="AC19" i="21"/>
  <c r="W39" i="21"/>
  <c r="AC14" i="21"/>
  <c r="W30" i="21"/>
  <c r="S46" i="21"/>
  <c r="H45" i="21"/>
  <c r="U45" i="21" s="1"/>
  <c r="F29" i="21"/>
  <c r="AA29" i="21" s="1"/>
  <c r="F13" i="21"/>
  <c r="AA13" i="21" s="1"/>
  <c r="AC38" i="21"/>
  <c r="H32" i="21"/>
  <c r="H9" i="21"/>
  <c r="J9" i="21"/>
  <c r="AC9" i="21" s="1"/>
  <c r="J32" i="21"/>
  <c r="W32" i="21" s="1"/>
  <c r="F32" i="21"/>
  <c r="AA31" i="21"/>
  <c r="U17" i="21"/>
  <c r="S19" i="21"/>
  <c r="S9" i="21"/>
  <c r="AA9" i="21"/>
  <c r="K141" i="21"/>
  <c r="K144" i="21"/>
  <c r="K143" i="21"/>
  <c r="U27" i="21"/>
  <c r="AB25" i="21"/>
  <c r="AA30" i="21"/>
  <c r="W13" i="21"/>
  <c r="W42" i="21"/>
  <c r="AC45" i="21"/>
  <c r="F10" i="21"/>
  <c r="AA10" i="21" s="1"/>
  <c r="K145" i="21"/>
  <c r="W17" i="21"/>
  <c r="W25" i="21"/>
  <c r="W31" i="21"/>
  <c r="S27" i="21"/>
  <c r="S17" i="21"/>
  <c r="AA15" i="21"/>
  <c r="AC27" i="21"/>
  <c r="AC26" i="21"/>
  <c r="AB29" i="21"/>
  <c r="AC34" i="21"/>
  <c r="AB36" i="21"/>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S12" i="33"/>
  <c r="AA12" i="33"/>
  <c r="D68" i="9"/>
  <c r="F54" i="9"/>
  <c r="J32" i="39"/>
  <c r="W32" i="39" s="1"/>
  <c r="H32" i="39"/>
  <c r="AB32" i="39" s="1"/>
  <c r="AB21" i="39"/>
  <c r="AA21" i="39"/>
  <c r="S21" i="39"/>
  <c r="AC17" i="37"/>
  <c r="J19" i="37"/>
  <c r="W19" i="37" s="1"/>
  <c r="G75" i="37"/>
  <c r="AA19" i="37"/>
  <c r="J23" i="37"/>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J36" i="33"/>
  <c r="W36" i="33" s="1"/>
  <c r="H36" i="33"/>
  <c r="U36" i="33" s="1"/>
  <c r="AC32" i="33"/>
  <c r="W32" i="33"/>
  <c r="U27" i="33"/>
  <c r="J27" i="33"/>
  <c r="W27" i="33" s="1"/>
  <c r="U25" i="33"/>
  <c r="AB25" i="33"/>
  <c r="AA25" i="33"/>
  <c r="G87" i="33"/>
  <c r="H87" i="33" s="1"/>
  <c r="I87" i="33" s="1"/>
  <c r="J87" i="33" s="1"/>
  <c r="K87" i="33" s="1"/>
  <c r="L87" i="33" s="1"/>
  <c r="M87" i="33" s="1"/>
  <c r="J25" i="33"/>
  <c r="AB23" i="33"/>
  <c r="U23" i="33"/>
  <c r="F23" i="33"/>
  <c r="G85" i="33"/>
  <c r="AA19" i="33"/>
  <c r="H19" i="33"/>
  <c r="AB19" i="33" s="1"/>
  <c r="H17" i="33"/>
  <c r="U17" i="33" s="1"/>
  <c r="F17" i="33"/>
  <c r="S17" i="33" s="1"/>
  <c r="W17" i="33"/>
  <c r="AC17" i="33"/>
  <c r="J23" i="21"/>
  <c r="F85" i="21"/>
  <c r="G85" i="21" s="1"/>
  <c r="H23" i="21"/>
  <c r="AB23" i="21" s="1"/>
  <c r="S13" i="21"/>
  <c r="AP7" i="1"/>
  <c r="AB45" i="21"/>
  <c r="AB9" i="21"/>
  <c r="U9" i="21"/>
  <c r="AA32" i="21"/>
  <c r="S32" i="21"/>
  <c r="W9" i="21"/>
  <c r="AB32" i="21"/>
  <c r="U32" i="21"/>
  <c r="U32" i="39"/>
  <c r="AC32" i="39"/>
  <c r="W23" i="37"/>
  <c r="AC23" i="37"/>
  <c r="J63" i="37"/>
  <c r="K63" i="37" s="1"/>
  <c r="L63" i="37" s="1"/>
  <c r="M63" i="37" s="1"/>
  <c r="J11" i="37"/>
  <c r="AC11" i="37" s="1"/>
  <c r="J11" i="34"/>
  <c r="W11" i="34" s="1"/>
  <c r="W25" i="33"/>
  <c r="AC25" i="33"/>
  <c r="AA17" i="33"/>
  <c r="U23" i="21"/>
  <c r="AC23" i="21"/>
  <c r="W23" i="21"/>
  <c r="H109" i="9"/>
  <c r="H112" i="9"/>
  <c r="D21" i="53"/>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13" i="15"/>
  <c r="E13" i="76"/>
  <c r="F38" i="67"/>
  <c r="F37" i="15"/>
  <c r="F13" i="67"/>
  <c r="F9" i="15"/>
  <c r="M26" i="15"/>
  <c r="F7" i="15"/>
  <c r="E8" i="76"/>
  <c r="F36" i="15"/>
  <c r="L47" i="67"/>
  <c r="M28" i="15"/>
  <c r="F5" i="73"/>
  <c r="F16" i="67"/>
  <c r="M24" i="15"/>
  <c r="M23" i="67"/>
  <c r="F6" i="15"/>
  <c r="M22" i="15"/>
  <c r="M6" i="67"/>
  <c r="F42" i="67"/>
  <c r="F26" i="15"/>
  <c r="F37" i="67"/>
  <c r="M23" i="15"/>
  <c r="M9" i="15"/>
  <c r="M26" i="67"/>
  <c r="E2" i="69"/>
  <c r="B12" i="76"/>
  <c r="D34" i="9"/>
  <c r="B7" i="76"/>
  <c r="F16" i="15"/>
  <c r="J15" i="67"/>
  <c r="F6" i="73"/>
  <c r="D35" i="9"/>
  <c r="E9" i="76"/>
  <c r="E2" i="68"/>
  <c r="F42" i="15"/>
  <c r="B11" i="76"/>
  <c r="F4" i="73"/>
  <c r="F20" i="31"/>
  <c r="E11" i="76"/>
  <c r="M8" i="67"/>
  <c r="F36" i="67"/>
  <c r="F3" i="73"/>
  <c r="F43" i="15"/>
  <c r="E7" i="76"/>
  <c r="B9" i="76"/>
  <c r="L47" i="15"/>
  <c r="F8" i="15"/>
  <c r="F8" i="67"/>
  <c r="B10" i="76"/>
  <c r="B13" i="76"/>
  <c r="M8" i="15"/>
  <c r="F7" i="73"/>
  <c r="M24" i="67"/>
  <c r="F40" i="15"/>
  <c r="J15" i="15"/>
  <c r="D6" i="73"/>
  <c r="E10" i="76"/>
  <c r="M29" i="15"/>
  <c r="L48" i="15"/>
  <c r="C76" i="67"/>
  <c r="F9" i="67"/>
  <c r="M28" i="67"/>
  <c r="C76" i="15"/>
  <c r="M22" i="67"/>
  <c r="F6" i="67"/>
  <c r="M9" i="67"/>
  <c r="B8" i="76"/>
  <c r="F26" i="67"/>
  <c r="F38" i="15"/>
  <c r="AO13" i="1"/>
  <c r="F40" i="67"/>
  <c r="M6" i="15"/>
  <c r="E12" i="76"/>
  <c r="E7" i="33" l="1"/>
  <c r="I7" i="33"/>
  <c r="G7" i="33"/>
  <c r="F6" i="1"/>
  <c r="F19" i="6"/>
  <c r="E19" i="6" s="1"/>
  <c r="K6" i="1" s="1"/>
  <c r="C33" i="33"/>
  <c r="C40" i="69"/>
  <c r="C21" i="68"/>
  <c r="AC11" i="33"/>
  <c r="U11" i="33"/>
  <c r="W8" i="33"/>
  <c r="AB36" i="33"/>
  <c r="S36" i="33"/>
  <c r="H5" i="3"/>
  <c r="AZ17" i="3"/>
  <c r="AB15" i="21"/>
  <c r="S26" i="36"/>
  <c r="AA26" i="36"/>
  <c r="AB38" i="37"/>
  <c r="U38" i="37"/>
  <c r="AB13" i="37"/>
  <c r="U13" i="37"/>
  <c r="W17" i="40"/>
  <c r="AC17" i="40"/>
  <c r="H44" i="21"/>
  <c r="F44" i="21"/>
  <c r="B94" i="43"/>
  <c r="B51" i="43"/>
  <c r="AA23" i="21"/>
  <c r="S32" i="39"/>
  <c r="S39" i="40"/>
  <c r="W29" i="21"/>
  <c r="D121" i="9"/>
  <c r="D7" i="52" s="1"/>
  <c r="D6" i="52"/>
  <c r="AZ364" i="3"/>
  <c r="U31" i="37"/>
  <c r="AB31" i="37"/>
  <c r="U26" i="37"/>
  <c r="AZ511" i="3"/>
  <c r="AZ536" i="3"/>
  <c r="AC27" i="37"/>
  <c r="W27" i="37"/>
  <c r="S14" i="39"/>
  <c r="AA14" i="39"/>
  <c r="AC31" i="34"/>
  <c r="W31" i="34"/>
  <c r="AA28" i="21"/>
  <c r="S28" i="21"/>
  <c r="S29" i="35"/>
  <c r="AA29" i="35"/>
  <c r="AA17" i="37"/>
  <c r="S17" i="37"/>
  <c r="AB41" i="39"/>
  <c r="U41" i="39"/>
  <c r="AC43" i="33"/>
  <c r="W43" i="33"/>
  <c r="U41" i="34"/>
  <c r="AB41" i="34"/>
  <c r="AA42" i="33"/>
  <c r="S42" i="33"/>
  <c r="AA28" i="37"/>
  <c r="S28" i="37"/>
  <c r="AC44" i="33"/>
  <c r="W44" i="33"/>
  <c r="U42" i="21"/>
  <c r="AB42" i="21"/>
  <c r="S16" i="35"/>
  <c r="AA16" i="35"/>
  <c r="U19" i="33"/>
  <c r="AC27" i="33"/>
  <c r="S37" i="21"/>
  <c r="S20" i="35"/>
  <c r="AA43" i="34"/>
  <c r="S43" i="34"/>
  <c r="AZ391" i="3"/>
  <c r="AZ362" i="3"/>
  <c r="S11" i="39"/>
  <c r="AA11" i="39"/>
  <c r="AC5" i="3"/>
  <c r="AZ493" i="3"/>
  <c r="AZ501" i="3"/>
  <c r="AZ565" i="3"/>
  <c r="AA14" i="33"/>
  <c r="AC47" i="34"/>
  <c r="W47" i="34"/>
  <c r="U28" i="33"/>
  <c r="AB28" i="33"/>
  <c r="J44" i="21"/>
  <c r="W36" i="34"/>
  <c r="AC36" i="34"/>
  <c r="AB15" i="34"/>
  <c r="U15" i="34"/>
  <c r="AA28" i="34"/>
  <c r="S28" i="34"/>
  <c r="J9" i="35"/>
  <c r="F9" i="35"/>
  <c r="S9" i="35" s="1"/>
  <c r="H9" i="35"/>
  <c r="U9" i="35" s="1"/>
  <c r="AB21" i="40"/>
  <c r="U21" i="40"/>
  <c r="W30" i="40"/>
  <c r="S23" i="37"/>
  <c r="AA23" i="37"/>
  <c r="U33" i="34"/>
  <c r="AA23" i="39"/>
  <c r="AC27" i="40"/>
  <c r="W27" i="40"/>
  <c r="AB32" i="37"/>
  <c r="U32" i="37"/>
  <c r="AZ306" i="3"/>
  <c r="U19" i="40"/>
  <c r="AB19" i="40"/>
  <c r="W11" i="35"/>
  <c r="AC11" i="35"/>
  <c r="W14" i="34"/>
  <c r="AC14" i="34"/>
  <c r="AA17" i="34"/>
  <c r="S17" i="34"/>
  <c r="U28" i="40"/>
  <c r="AB28" i="40"/>
  <c r="AB16" i="36"/>
  <c r="U16" i="36"/>
  <c r="AC27" i="39"/>
  <c r="W27" i="39"/>
  <c r="AA17" i="39"/>
  <c r="S17" i="39"/>
  <c r="S41" i="39"/>
  <c r="AA41" i="39"/>
  <c r="AB36" i="39"/>
  <c r="U36" i="39"/>
  <c r="AC8" i="34"/>
  <c r="W8" i="34"/>
  <c r="F9" i="34"/>
  <c r="AA9" i="34" s="1"/>
  <c r="J9" i="34"/>
  <c r="H9" i="34"/>
  <c r="AC25" i="37"/>
  <c r="W25" i="37"/>
  <c r="AZ513" i="3"/>
  <c r="AZ575" i="3"/>
  <c r="AZ528" i="3"/>
  <c r="AZ548" i="3"/>
  <c r="AZ574" i="3"/>
  <c r="AZ502" i="3"/>
  <c r="J33" i="36"/>
  <c r="AC33" i="36" s="1"/>
  <c r="F33" i="36"/>
  <c r="H33" i="36"/>
  <c r="AZ407" i="3"/>
  <c r="AA47" i="34"/>
  <c r="AZ357" i="3"/>
  <c r="AZ322" i="3"/>
  <c r="AZ313" i="3"/>
  <c r="AZ394" i="3"/>
  <c r="AC15" i="34"/>
  <c r="AZ519" i="3"/>
  <c r="AZ531" i="3"/>
  <c r="AZ573" i="3"/>
  <c r="AZ583" i="3"/>
  <c r="AZ576" i="3"/>
  <c r="BL585" i="3"/>
  <c r="AZ585" i="3" s="1"/>
  <c r="AC40" i="39"/>
  <c r="W40" i="39"/>
  <c r="S38" i="40"/>
  <c r="AA38" i="40"/>
  <c r="AZ14" i="3"/>
  <c r="AZ334" i="3"/>
  <c r="AZ347" i="3"/>
  <c r="AZ324" i="3"/>
  <c r="AZ515" i="3"/>
  <c r="AZ523" i="3"/>
  <c r="AZ547" i="3"/>
  <c r="AZ569" i="3"/>
  <c r="AZ571" i="3"/>
  <c r="AZ579" i="3"/>
  <c r="AZ516" i="3"/>
  <c r="AZ524" i="3"/>
  <c r="U17" i="34"/>
  <c r="AB17" i="34"/>
  <c r="U34" i="21"/>
  <c r="J12" i="34"/>
  <c r="H12" i="34"/>
  <c r="F12" i="34"/>
  <c r="S12" i="34" s="1"/>
  <c r="H25" i="37"/>
  <c r="F25" i="37"/>
  <c r="AZ419" i="3"/>
  <c r="AZ458" i="3"/>
  <c r="AZ462" i="3"/>
  <c r="AZ466" i="3"/>
  <c r="BA551" i="3"/>
  <c r="AZ551" i="3" s="1"/>
  <c r="BA550" i="3"/>
  <c r="AZ550" i="3" s="1"/>
  <c r="BL548" i="3"/>
  <c r="BL417" i="3"/>
  <c r="BL418" i="3"/>
  <c r="BL420" i="3"/>
  <c r="G423" i="3"/>
  <c r="BL424" i="3"/>
  <c r="G427" i="3"/>
  <c r="BL428" i="3"/>
  <c r="BL429" i="3"/>
  <c r="BL432" i="3"/>
  <c r="BL435" i="3"/>
  <c r="BL436" i="3"/>
  <c r="BA439" i="3"/>
  <c r="BA440" i="3"/>
  <c r="AZ440" i="3" s="1"/>
  <c r="BA443" i="3"/>
  <c r="AZ443" i="3" s="1"/>
  <c r="BL445" i="3"/>
  <c r="BL446" i="3"/>
  <c r="BA449" i="3"/>
  <c r="AZ460" i="3"/>
  <c r="BA464" i="3"/>
  <c r="AZ464" i="3" s="1"/>
  <c r="AZ487" i="3"/>
  <c r="BL398" i="3"/>
  <c r="G402" i="3"/>
  <c r="BL403" i="3"/>
  <c r="G405" i="3"/>
  <c r="G406" i="3"/>
  <c r="BA408" i="3"/>
  <c r="AZ408" i="3" s="1"/>
  <c r="BA409" i="3"/>
  <c r="AZ409" i="3" s="1"/>
  <c r="BA411" i="3"/>
  <c r="AZ411" i="3" s="1"/>
  <c r="BL414" i="3"/>
  <c r="BL415" i="3"/>
  <c r="BA417" i="3"/>
  <c r="BL421" i="3"/>
  <c r="BL422" i="3"/>
  <c r="BL425" i="3"/>
  <c r="BL426" i="3"/>
  <c r="BA428" i="3"/>
  <c r="AZ428" i="3" s="1"/>
  <c r="BA429" i="3"/>
  <c r="AZ429" i="3" s="1"/>
  <c r="BA430" i="3"/>
  <c r="AZ430" i="3" s="1"/>
  <c r="BA432" i="3"/>
  <c r="BA434" i="3"/>
  <c r="BA436" i="3"/>
  <c r="G441" i="3"/>
  <c r="BL441" i="3"/>
  <c r="BL442" i="3"/>
  <c r="BA445" i="3"/>
  <c r="BA447" i="3"/>
  <c r="AZ447" i="3" s="1"/>
  <c r="BL451" i="3"/>
  <c r="AZ451" i="3" s="1"/>
  <c r="BA454" i="3"/>
  <c r="BL456" i="3"/>
  <c r="BA465" i="3"/>
  <c r="AZ465" i="3" s="1"/>
  <c r="BL469" i="3"/>
  <c r="AZ469" i="3" s="1"/>
  <c r="BL470" i="3"/>
  <c r="BA486" i="3"/>
  <c r="G489" i="3"/>
  <c r="BL308" i="3"/>
  <c r="AZ308" i="3" s="1"/>
  <c r="W40" i="33"/>
  <c r="F37" i="39"/>
  <c r="J31" i="39"/>
  <c r="B79" i="43"/>
  <c r="H23" i="35"/>
  <c r="J23" i="36"/>
  <c r="H39" i="40"/>
  <c r="G551" i="3"/>
  <c r="BL550" i="3"/>
  <c r="G542" i="3"/>
  <c r="BL15" i="3"/>
  <c r="AZ15" i="3" s="1"/>
  <c r="BA398" i="3"/>
  <c r="AZ398" i="3" s="1"/>
  <c r="BA399" i="3"/>
  <c r="AZ399" i="3" s="1"/>
  <c r="BL401" i="3"/>
  <c r="BL404" i="3"/>
  <c r="BL405" i="3"/>
  <c r="BL407" i="3"/>
  <c r="BA412" i="3"/>
  <c r="AZ412" i="3" s="1"/>
  <c r="BA414" i="3"/>
  <c r="AZ414" i="3" s="1"/>
  <c r="BA415" i="3"/>
  <c r="BA416" i="3"/>
  <c r="AZ416" i="3" s="1"/>
  <c r="BA418" i="3"/>
  <c r="AZ418" i="3" s="1"/>
  <c r="BA421" i="3"/>
  <c r="AZ421" i="3" s="1"/>
  <c r="BA423" i="3"/>
  <c r="AZ423" i="3" s="1"/>
  <c r="BA425" i="3"/>
  <c r="BA426" i="3"/>
  <c r="BA427" i="3"/>
  <c r="AZ427" i="3" s="1"/>
  <c r="BA433" i="3"/>
  <c r="AZ433" i="3" s="1"/>
  <c r="BA435" i="3"/>
  <c r="BL437" i="3"/>
  <c r="AZ437" i="3" s="1"/>
  <c r="G439" i="3"/>
  <c r="BA441" i="3"/>
  <c r="BL459" i="3"/>
  <c r="AZ459" i="3" s="1"/>
  <c r="G466" i="3"/>
  <c r="BL466" i="3"/>
  <c r="G468" i="3"/>
  <c r="AZ483" i="3"/>
  <c r="G323" i="3"/>
  <c r="U34" i="40"/>
  <c r="S27" i="35"/>
  <c r="G585" i="3"/>
  <c r="BL587" i="3"/>
  <c r="AZ587" i="3" s="1"/>
  <c r="BL586" i="3"/>
  <c r="AZ586" i="3" s="1"/>
  <c r="BA401" i="3"/>
  <c r="AZ401" i="3" s="1"/>
  <c r="BA403" i="3"/>
  <c r="AZ403" i="3" s="1"/>
  <c r="BA404" i="3"/>
  <c r="BA405" i="3"/>
  <c r="BL410" i="3"/>
  <c r="G412" i="3"/>
  <c r="AZ422" i="3"/>
  <c r="BL449" i="3"/>
  <c r="BL450" i="3"/>
  <c r="BL453" i="3"/>
  <c r="BL454" i="3"/>
  <c r="BA473" i="3"/>
  <c r="AZ473" i="3" s="1"/>
  <c r="BL476" i="3"/>
  <c r="AZ476" i="3" s="1"/>
  <c r="BA482" i="3"/>
  <c r="BA484" i="3"/>
  <c r="AZ484" i="3" s="1"/>
  <c r="BL487" i="3"/>
  <c r="BA319" i="3"/>
  <c r="AZ319" i="3" s="1"/>
  <c r="AZ201" i="3"/>
  <c r="T52" i="71"/>
  <c r="D52" i="71"/>
  <c r="S76" i="71"/>
  <c r="B75" i="71"/>
  <c r="B74" i="71" s="1"/>
  <c r="U80" i="71"/>
  <c r="E79" i="71"/>
  <c r="E78" i="71" s="1"/>
  <c r="BA467" i="3"/>
  <c r="BA468" i="3"/>
  <c r="BL471" i="3"/>
  <c r="BL475" i="3"/>
  <c r="BA477" i="3"/>
  <c r="BA478" i="3"/>
  <c r="BA481" i="3"/>
  <c r="BA488" i="3"/>
  <c r="AZ488" i="3" s="1"/>
  <c r="BA491" i="3"/>
  <c r="BL324" i="3"/>
  <c r="BL328" i="3"/>
  <c r="AZ328" i="3" s="1"/>
  <c r="BA335" i="3"/>
  <c r="AZ335" i="3" s="1"/>
  <c r="BA339" i="3"/>
  <c r="AZ339" i="3" s="1"/>
  <c r="BA348" i="3"/>
  <c r="BA350" i="3"/>
  <c r="AZ350" i="3" s="1"/>
  <c r="BA354" i="3"/>
  <c r="BA366" i="3"/>
  <c r="AZ366" i="3" s="1"/>
  <c r="BL375" i="3"/>
  <c r="AZ375" i="3" s="1"/>
  <c r="BL385" i="3"/>
  <c r="BA397" i="3"/>
  <c r="AZ397" i="3" s="1"/>
  <c r="BL397" i="3"/>
  <c r="BA210" i="3"/>
  <c r="BL210" i="3"/>
  <c r="BL212" i="3"/>
  <c r="BL214" i="3"/>
  <c r="AZ214" i="3" s="1"/>
  <c r="BL225" i="3"/>
  <c r="BL226" i="3"/>
  <c r="BA239" i="3"/>
  <c r="AZ239" i="3" s="1"/>
  <c r="BL239" i="3"/>
  <c r="BA241" i="3"/>
  <c r="BL241" i="3"/>
  <c r="BA244" i="3"/>
  <c r="AZ244" i="3" s="1"/>
  <c r="BL244" i="3"/>
  <c r="BA246" i="3"/>
  <c r="BA252" i="3"/>
  <c r="AZ252" i="3" s="1"/>
  <c r="BA254" i="3"/>
  <c r="AZ254" i="3" s="1"/>
  <c r="BA256" i="3"/>
  <c r="AZ256" i="3" s="1"/>
  <c r="BL256" i="3"/>
  <c r="BA258" i="3"/>
  <c r="BL264" i="3"/>
  <c r="BL266" i="3"/>
  <c r="BL269" i="3"/>
  <c r="BA273" i="3"/>
  <c r="AZ273" i="3" s="1"/>
  <c r="BA278" i="3"/>
  <c r="AZ278" i="3" s="1"/>
  <c r="BA280" i="3"/>
  <c r="AZ280" i="3" s="1"/>
  <c r="BL283" i="3"/>
  <c r="AZ283" i="3" s="1"/>
  <c r="BL284" i="3"/>
  <c r="BL287" i="3"/>
  <c r="BA290" i="3"/>
  <c r="BL291" i="3"/>
  <c r="AZ65" i="3"/>
  <c r="X31" i="71"/>
  <c r="X25" i="71"/>
  <c r="B34" i="71"/>
  <c r="B35" i="71" s="1"/>
  <c r="B36" i="71" s="1"/>
  <c r="S36" i="71" s="1"/>
  <c r="X26" i="71"/>
  <c r="AB39" i="71"/>
  <c r="AB28" i="71"/>
  <c r="C44" i="71"/>
  <c r="D43" i="71"/>
  <c r="D54" i="71"/>
  <c r="C55" i="71"/>
  <c r="V68" i="71"/>
  <c r="Q68" i="71"/>
  <c r="F67" i="71"/>
  <c r="BA438" i="3"/>
  <c r="G442" i="3"/>
  <c r="G443" i="3"/>
  <c r="BA446" i="3"/>
  <c r="BA450" i="3"/>
  <c r="BA453" i="3"/>
  <c r="BA455" i="3"/>
  <c r="AZ455" i="3" s="1"/>
  <c r="BL457" i="3"/>
  <c r="AZ457" i="3" s="1"/>
  <c r="BL460" i="3"/>
  <c r="BL461" i="3"/>
  <c r="AZ461" i="3" s="1"/>
  <c r="BL463" i="3"/>
  <c r="G465" i="3"/>
  <c r="BA471" i="3"/>
  <c r="G486" i="3"/>
  <c r="G488" i="3"/>
  <c r="BL317" i="3"/>
  <c r="G318" i="3"/>
  <c r="BA349" i="3"/>
  <c r="AZ349" i="3" s="1"/>
  <c r="BA353" i="3"/>
  <c r="AZ353" i="3" s="1"/>
  <c r="BL353" i="3"/>
  <c r="BA358" i="3"/>
  <c r="AZ358" i="3" s="1"/>
  <c r="G362" i="3"/>
  <c r="BL365" i="3"/>
  <c r="AZ365" i="3" s="1"/>
  <c r="G366" i="3"/>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L267" i="3"/>
  <c r="G269" i="3"/>
  <c r="BL270" i="3"/>
  <c r="BA272" i="3"/>
  <c r="AZ272" i="3" s="1"/>
  <c r="BL275" i="3"/>
  <c r="AZ275" i="3" s="1"/>
  <c r="G277" i="3"/>
  <c r="G280" i="3"/>
  <c r="G282" i="3"/>
  <c r="BL285" i="3"/>
  <c r="BL290" i="3"/>
  <c r="BA293" i="3"/>
  <c r="BL298" i="3"/>
  <c r="BL299" i="3"/>
  <c r="BA148" i="3"/>
  <c r="AZ148" i="3" s="1"/>
  <c r="BA162" i="3"/>
  <c r="BA194" i="3"/>
  <c r="G202" i="3"/>
  <c r="BA30" i="3"/>
  <c r="BA40" i="3"/>
  <c r="BA55" i="3"/>
  <c r="AZ55" i="3" s="1"/>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AZ270" i="3"/>
  <c r="AZ284" i="3"/>
  <c r="BA291" i="3"/>
  <c r="AZ291" i="3" s="1"/>
  <c r="G297" i="3"/>
  <c r="BA120" i="3"/>
  <c r="AZ120" i="3" s="1"/>
  <c r="G155" i="3"/>
  <c r="BL158" i="3"/>
  <c r="BA168" i="3"/>
  <c r="AZ168" i="3" s="1"/>
  <c r="G178" i="3"/>
  <c r="BA22" i="3"/>
  <c r="BA33" i="3"/>
  <c r="BA43" i="3"/>
  <c r="BL52" i="3"/>
  <c r="G66" i="3"/>
  <c r="AA25" i="40"/>
  <c r="S25" i="40"/>
  <c r="AB33" i="71"/>
  <c r="BL300" i="3"/>
  <c r="BA302" i="3"/>
  <c r="AZ302" i="3" s="1"/>
  <c r="BA117" i="3"/>
  <c r="BA130" i="3"/>
  <c r="AZ130" i="3" s="1"/>
  <c r="BL130" i="3"/>
  <c r="BA137" i="3"/>
  <c r="BL138" i="3"/>
  <c r="BA140" i="3"/>
  <c r="AZ140" i="3" s="1"/>
  <c r="BA142" i="3"/>
  <c r="BL149" i="3"/>
  <c r="AZ149" i="3" s="1"/>
  <c r="BL150" i="3"/>
  <c r="BA152" i="3"/>
  <c r="AZ152" i="3" s="1"/>
  <c r="BA154" i="3"/>
  <c r="AZ154" i="3" s="1"/>
  <c r="BA160" i="3"/>
  <c r="AZ160" i="3" s="1"/>
  <c r="BL162" i="3"/>
  <c r="BL165" i="3"/>
  <c r="BL170" i="3"/>
  <c r="BA173" i="3"/>
  <c r="AZ173" i="3" s="1"/>
  <c r="BA174" i="3"/>
  <c r="BL179" i="3"/>
  <c r="AZ179" i="3" s="1"/>
  <c r="BA181" i="3"/>
  <c r="AZ181" i="3" s="1"/>
  <c r="BA182" i="3"/>
  <c r="BL185" i="3"/>
  <c r="BL193" i="3"/>
  <c r="BL194" i="3"/>
  <c r="BA198" i="3"/>
  <c r="AZ198" i="3" s="1"/>
  <c r="G199" i="3"/>
  <c r="G205" i="3"/>
  <c r="BL206" i="3"/>
  <c r="BA19" i="3"/>
  <c r="AZ19" i="3" s="1"/>
  <c r="G27" i="3"/>
  <c r="BA27" i="3"/>
  <c r="AZ27" i="3" s="1"/>
  <c r="BL30" i="3"/>
  <c r="BL31" i="3"/>
  <c r="AZ31" i="3" s="1"/>
  <c r="G37" i="3"/>
  <c r="BL40" i="3"/>
  <c r="BL41" i="3"/>
  <c r="AZ41" i="3" s="1"/>
  <c r="BL45" i="3"/>
  <c r="BA48" i="3"/>
  <c r="BA49" i="3"/>
  <c r="BA51" i="3"/>
  <c r="G55" i="3"/>
  <c r="BL56" i="3"/>
  <c r="BA58" i="3"/>
  <c r="BL59" i="3"/>
  <c r="AZ59" i="3" s="1"/>
  <c r="BL60" i="3"/>
  <c r="BA61" i="3"/>
  <c r="AZ61" i="3" s="1"/>
  <c r="BL70" i="3"/>
  <c r="AZ70" i="3" s="1"/>
  <c r="BL72" i="3"/>
  <c r="AZ72" i="3" s="1"/>
  <c r="BA82" i="3"/>
  <c r="AZ82" i="3" s="1"/>
  <c r="BL83" i="3"/>
  <c r="BA94" i="3"/>
  <c r="AZ94" i="3" s="1"/>
  <c r="BL99" i="3"/>
  <c r="AA21" i="33"/>
  <c r="S21" i="33"/>
  <c r="AA21" i="37"/>
  <c r="S21" i="37"/>
  <c r="C26" i="71"/>
  <c r="D26" i="71" s="1"/>
  <c r="D27" i="71"/>
  <c r="X39" i="71"/>
  <c r="X34" i="71"/>
  <c r="S68" i="71"/>
  <c r="B67" i="71"/>
  <c r="N68" i="71"/>
  <c r="BA263" i="3"/>
  <c r="AZ263" i="3" s="1"/>
  <c r="BA267" i="3"/>
  <c r="AZ267" i="3" s="1"/>
  <c r="BA269" i="3"/>
  <c r="AZ269" i="3" s="1"/>
  <c r="BA271" i="3"/>
  <c r="AZ271" i="3" s="1"/>
  <c r="BL271" i="3"/>
  <c r="BA274" i="3"/>
  <c r="BL274" i="3"/>
  <c r="BA276" i="3"/>
  <c r="BA279" i="3"/>
  <c r="BA281" i="3"/>
  <c r="G286" i="3"/>
  <c r="BL286" i="3"/>
  <c r="AZ286" i="3" s="1"/>
  <c r="G289" i="3"/>
  <c r="G290" i="3"/>
  <c r="G291" i="3"/>
  <c r="BA296" i="3"/>
  <c r="BA116" i="3"/>
  <c r="AZ116" i="3" s="1"/>
  <c r="BA121" i="3"/>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77" i="3"/>
  <c r="AZ177" i="3" s="1"/>
  <c r="G179" i="3"/>
  <c r="BL183" i="3"/>
  <c r="AZ183" i="3" s="1"/>
  <c r="BA186" i="3"/>
  <c r="AZ186" i="3" s="1"/>
  <c r="BA190" i="3"/>
  <c r="AZ190" i="3" s="1"/>
  <c r="G196" i="3"/>
  <c r="BA197" i="3"/>
  <c r="AZ197" i="3" s="1"/>
  <c r="BL201" i="3"/>
  <c r="BL203" i="3"/>
  <c r="AZ203" i="3" s="1"/>
  <c r="BA204" i="3"/>
  <c r="AZ204" i="3" s="1"/>
  <c r="BA18" i="3"/>
  <c r="G21" i="3"/>
  <c r="BL21" i="3"/>
  <c r="G23" i="3"/>
  <c r="G29" i="3"/>
  <c r="BL29" i="3"/>
  <c r="G33" i="3"/>
  <c r="G34" i="3"/>
  <c r="BA37" i="3"/>
  <c r="G39" i="3"/>
  <c r="BL39" i="3"/>
  <c r="G43" i="3"/>
  <c r="G44" i="3"/>
  <c r="BA45" i="3"/>
  <c r="AZ45" i="3" s="1"/>
  <c r="BA46" i="3"/>
  <c r="BL49" i="3"/>
  <c r="BL50" i="3"/>
  <c r="AZ50" i="3" s="1"/>
  <c r="BL51" i="3"/>
  <c r="G53" i="3"/>
  <c r="BL53" i="3"/>
  <c r="BA56" i="3"/>
  <c r="BA57" i="3"/>
  <c r="AZ57" i="3" s="1"/>
  <c r="BL58" i="3"/>
  <c r="BL64" i="3"/>
  <c r="AZ64" i="3" s="1"/>
  <c r="G65" i="3"/>
  <c r="BL65" i="3"/>
  <c r="BL66" i="3"/>
  <c r="BL67" i="3"/>
  <c r="AZ67" i="3" s="1"/>
  <c r="G69" i="3"/>
  <c r="G72" i="3"/>
  <c r="BA105" i="3"/>
  <c r="AZ105" i="3" s="1"/>
  <c r="AA21" i="34"/>
  <c r="S21" i="34"/>
  <c r="P27" i="6"/>
  <c r="T32" i="71"/>
  <c r="D32" i="71"/>
  <c r="F30" i="71"/>
  <c r="F31" i="71" s="1"/>
  <c r="F32" i="71" s="1"/>
  <c r="V32" i="71" s="1"/>
  <c r="AB26" i="71"/>
  <c r="AB27" i="71"/>
  <c r="AB31" i="71"/>
  <c r="AB35" i="71"/>
  <c r="AB36" i="71"/>
  <c r="AA36" i="71"/>
  <c r="AA37" i="71"/>
  <c r="E38" i="71"/>
  <c r="E39" i="71" s="1"/>
  <c r="E40" i="71" s="1"/>
  <c r="U40" i="71" s="1"/>
  <c r="Y38" i="71"/>
  <c r="Z38" i="71" s="1"/>
  <c r="Y27" i="71"/>
  <c r="Z27" i="71" s="1"/>
  <c r="BL292" i="3"/>
  <c r="BA294" i="3"/>
  <c r="AZ294" i="3" s="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BA205" i="3"/>
  <c r="AZ205" i="3" s="1"/>
  <c r="G20" i="3"/>
  <c r="BL20" i="3"/>
  <c r="AZ20" i="3" s="1"/>
  <c r="BA21" i="3"/>
  <c r="BA25" i="3"/>
  <c r="AZ25" i="3" s="1"/>
  <c r="BA26" i="3"/>
  <c r="G28" i="3"/>
  <c r="BL28" i="3"/>
  <c r="AZ28" i="3" s="1"/>
  <c r="BA29" i="3"/>
  <c r="AZ29" i="3" s="1"/>
  <c r="BA36" i="3"/>
  <c r="BL38" i="3"/>
  <c r="AZ38" i="3" s="1"/>
  <c r="BA39" i="3"/>
  <c r="BL47" i="3"/>
  <c r="AZ47" i="3" s="1"/>
  <c r="G49" i="3"/>
  <c r="BA52" i="3"/>
  <c r="BA53" i="3"/>
  <c r="AZ53" i="3" s="1"/>
  <c r="BA54" i="3"/>
  <c r="BL57" i="3"/>
  <c r="G62" i="3"/>
  <c r="BL62" i="3"/>
  <c r="AZ62" i="3" s="1"/>
  <c r="BL63" i="3"/>
  <c r="BL68" i="3"/>
  <c r="BA69" i="3"/>
  <c r="AZ69" i="3" s="1"/>
  <c r="BA73" i="3"/>
  <c r="BA80" i="3"/>
  <c r="BA90" i="3"/>
  <c r="AZ100" i="3"/>
  <c r="AB29" i="39"/>
  <c r="U29" i="39"/>
  <c r="C25" i="40"/>
  <c r="B88" i="43"/>
  <c r="D67" i="71"/>
  <c r="C66" i="71"/>
  <c r="O67" i="71"/>
  <c r="B27" i="71"/>
  <c r="B26" i="71" s="1"/>
  <c r="S28" i="71"/>
  <c r="AA30" i="71"/>
  <c r="C60" i="71"/>
  <c r="D59" i="71"/>
  <c r="B63" i="71"/>
  <c r="B64" i="71" s="1"/>
  <c r="S64" i="71" s="1"/>
  <c r="V76" i="71"/>
  <c r="F75" i="71"/>
  <c r="F74" i="71" s="1"/>
  <c r="V24" i="71"/>
  <c r="E23" i="71"/>
  <c r="E22" i="71" s="1"/>
  <c r="E21" i="71" s="1"/>
  <c r="E20" i="71" s="1"/>
  <c r="BL73" i="3"/>
  <c r="BA74" i="3"/>
  <c r="AZ74" i="3" s="1"/>
  <c r="BA75" i="3"/>
  <c r="AZ75" i="3" s="1"/>
  <c r="G81" i="3"/>
  <c r="G85" i="3"/>
  <c r="BL85" i="3"/>
  <c r="BA86" i="3"/>
  <c r="AZ86" i="3" s="1"/>
  <c r="BA87" i="3"/>
  <c r="BA91" i="3"/>
  <c r="AZ91" i="3" s="1"/>
  <c r="G96" i="3"/>
  <c r="BL97" i="3"/>
  <c r="AZ97" i="3" s="1"/>
  <c r="BL101" i="3"/>
  <c r="BL102" i="3"/>
  <c r="AZ102" i="3" s="1"/>
  <c r="G104" i="3"/>
  <c r="G105" i="3"/>
  <c r="BL106" i="3"/>
  <c r="BA108" i="3"/>
  <c r="BA110" i="3"/>
  <c r="AZ110" i="3" s="1"/>
  <c r="F3" i="35"/>
  <c r="B77" i="43"/>
  <c r="AA28" i="71"/>
  <c r="E75" i="71"/>
  <c r="E74" i="71" s="1"/>
  <c r="AB25" i="71"/>
  <c r="Y25" i="71"/>
  <c r="Z25" i="71" s="1"/>
  <c r="X38" i="71"/>
  <c r="Y29" i="71"/>
  <c r="Z29" i="71" s="1"/>
  <c r="AB32" i="71"/>
  <c r="X33" i="71"/>
  <c r="AB37" i="71"/>
  <c r="BA103" i="3"/>
  <c r="AZ103" i="3" s="1"/>
  <c r="BA104" i="3"/>
  <c r="BA106" i="3"/>
  <c r="BL108" i="3"/>
  <c r="BL111" i="3"/>
  <c r="AZ111" i="3" s="1"/>
  <c r="P66" i="71"/>
  <c r="AA27" i="71"/>
  <c r="C83" i="71"/>
  <c r="C79" i="71"/>
  <c r="C71" i="71"/>
  <c r="C39" i="71"/>
  <c r="Y28" i="71"/>
  <c r="Z28" i="71" s="1"/>
  <c r="X28" i="71"/>
  <c r="X32" i="71"/>
  <c r="F40" i="71"/>
  <c r="V40" i="71" s="1"/>
  <c r="AB38" i="71"/>
  <c r="B79" i="71"/>
  <c r="B78" i="71" s="1"/>
  <c r="G60" i="3"/>
  <c r="BA60" i="3"/>
  <c r="BA63" i="3"/>
  <c r="AZ63" i="3" s="1"/>
  <c r="BA66" i="3"/>
  <c r="BA71" i="3"/>
  <c r="AZ71" i="3" s="1"/>
  <c r="G76" i="3"/>
  <c r="BL77" i="3"/>
  <c r="AZ77" i="3" s="1"/>
  <c r="BA79" i="3"/>
  <c r="AZ79" i="3" s="1"/>
  <c r="G82" i="3"/>
  <c r="G83" i="3"/>
  <c r="BA84" i="3"/>
  <c r="AZ84" i="3" s="1"/>
  <c r="BL88" i="3"/>
  <c r="AZ88" i="3" s="1"/>
  <c r="G90" i="3"/>
  <c r="BL90" i="3"/>
  <c r="BL92" i="3"/>
  <c r="G101" i="3"/>
  <c r="BA101" i="3"/>
  <c r="AZ101" i="3" s="1"/>
  <c r="G108" i="3"/>
  <c r="G109" i="3"/>
  <c r="BL112" i="3"/>
  <c r="AB21" i="33"/>
  <c r="AA34" i="71"/>
  <c r="E51" i="71"/>
  <c r="E52" i="71" s="1"/>
  <c r="U52"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D36" i="71"/>
  <c r="T36" i="7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51" i="67"/>
  <c r="F65" i="67"/>
  <c r="M7" i="15"/>
  <c r="J6" i="15" s="1"/>
  <c r="F50" i="15"/>
  <c r="F51" i="15"/>
  <c r="F71" i="15"/>
  <c r="C6" i="15"/>
  <c r="F66" i="67"/>
  <c r="L59" i="15"/>
  <c r="N59" i="15"/>
  <c r="L58" i="15"/>
  <c r="M59" i="15"/>
  <c r="F66" i="15"/>
  <c r="Q71" i="67"/>
  <c r="F64" i="15"/>
  <c r="C27" i="67"/>
  <c r="C27" i="15"/>
  <c r="F65" i="15"/>
  <c r="N59" i="67"/>
  <c r="L59" i="67"/>
  <c r="M59" i="67"/>
  <c r="B13" i="70"/>
  <c r="F68" i="67"/>
  <c r="F64" i="67"/>
  <c r="F68" i="15"/>
  <c r="C36" i="68"/>
  <c r="D9" i="69"/>
  <c r="D9" i="68"/>
  <c r="D7" i="73"/>
  <c r="C16" i="15"/>
  <c r="F7" i="67"/>
  <c r="M29" i="67"/>
  <c r="D4" i="73"/>
  <c r="L48" i="67"/>
  <c r="D3" i="73"/>
  <c r="D5" i="73"/>
  <c r="F43" i="67"/>
  <c r="J7" i="36" l="1"/>
  <c r="M7" i="67"/>
  <c r="J6" i="67" s="1"/>
  <c r="J18" i="67" s="1"/>
  <c r="F50" i="67"/>
  <c r="C49" i="67" s="1"/>
  <c r="C6" i="67"/>
  <c r="C32" i="67" s="1"/>
  <c r="F71" i="67"/>
  <c r="L56" i="67"/>
  <c r="I54" i="67"/>
  <c r="J53" i="67"/>
  <c r="F1" i="67" s="1"/>
  <c r="L58" i="67"/>
  <c r="Q60" i="67" s="1"/>
  <c r="J57" i="67"/>
  <c r="J55" i="67" s="1"/>
  <c r="J58" i="67" s="1"/>
  <c r="Q50" i="67" s="1"/>
  <c r="N370" i="46"/>
  <c r="G26" i="43"/>
  <c r="J33" i="33"/>
  <c r="H33" i="33"/>
  <c r="F33" i="33"/>
  <c r="AP6" i="1"/>
  <c r="C36" i="69" s="1"/>
  <c r="P6" i="1"/>
  <c r="C13" i="12" s="1"/>
  <c r="K16" i="1"/>
  <c r="J26" i="43"/>
  <c r="N94" i="46"/>
  <c r="F26" i="43"/>
  <c r="D26" i="43" s="1"/>
  <c r="C25" i="43" s="1"/>
  <c r="E26" i="43"/>
  <c r="G5" i="3"/>
  <c r="B3" i="3" s="1"/>
  <c r="E170" i="3" s="1"/>
  <c r="D83" i="71"/>
  <c r="C82" i="71"/>
  <c r="D82" i="71" s="1"/>
  <c r="AZ108" i="3"/>
  <c r="O65" i="71"/>
  <c r="O66" i="71"/>
  <c r="D66" i="71"/>
  <c r="N67" i="71"/>
  <c r="B66" i="71"/>
  <c r="U39" i="40"/>
  <c r="AB39" i="40"/>
  <c r="AC31" i="39"/>
  <c r="W31" i="39"/>
  <c r="AZ432" i="3"/>
  <c r="AZ417" i="3"/>
  <c r="AB12" i="34"/>
  <c r="U12" i="34"/>
  <c r="U33" i="36"/>
  <c r="AB33" i="36"/>
  <c r="AC9" i="34"/>
  <c r="W9" i="34"/>
  <c r="AC44" i="21"/>
  <c r="W44" i="21"/>
  <c r="AA44" i="21"/>
  <c r="S44" i="21"/>
  <c r="G16" i="1"/>
  <c r="F10" i="39" s="1"/>
  <c r="S10" i="39" s="1"/>
  <c r="D39" i="71"/>
  <c r="C40" i="71"/>
  <c r="AZ39" i="3"/>
  <c r="AZ21" i="3"/>
  <c r="AZ121" i="3"/>
  <c r="AZ274" i="3"/>
  <c r="AZ182" i="3"/>
  <c r="AZ137" i="3"/>
  <c r="AZ453" i="3"/>
  <c r="T44" i="71"/>
  <c r="D44" i="71"/>
  <c r="AC23" i="36"/>
  <c r="W23" i="36"/>
  <c r="AA37" i="39"/>
  <c r="S37" i="39"/>
  <c r="AA25" i="37"/>
  <c r="S25" i="37"/>
  <c r="W12" i="34"/>
  <c r="AC12" i="34"/>
  <c r="AA33" i="36"/>
  <c r="S33" i="36"/>
  <c r="AC9" i="35"/>
  <c r="W9" i="35"/>
  <c r="AB44" i="21"/>
  <c r="U44" i="21"/>
  <c r="D71" i="71"/>
  <c r="C70" i="71"/>
  <c r="D70" i="71" s="1"/>
  <c r="AZ52" i="3"/>
  <c r="AZ150" i="3"/>
  <c r="AZ51" i="3"/>
  <c r="AZ194" i="3"/>
  <c r="AZ368" i="3"/>
  <c r="AZ471" i="3"/>
  <c r="D55" i="71"/>
  <c r="C56" i="71"/>
  <c r="AZ241" i="3"/>
  <c r="AZ210" i="3"/>
  <c r="AZ405" i="3"/>
  <c r="AZ435" i="3"/>
  <c r="AZ425" i="3"/>
  <c r="U23" i="35"/>
  <c r="AB23" i="35"/>
  <c r="U25" i="37"/>
  <c r="AB25" i="37"/>
  <c r="AZ66" i="3"/>
  <c r="D79" i="71"/>
  <c r="C78" i="71"/>
  <c r="D78" i="71" s="1"/>
  <c r="T60" i="71"/>
  <c r="D60" i="71"/>
  <c r="AZ58" i="3"/>
  <c r="AZ49" i="3"/>
  <c r="AZ162" i="3"/>
  <c r="F66" i="71"/>
  <c r="Q67" i="71"/>
  <c r="AZ491" i="3"/>
  <c r="AZ404" i="3"/>
  <c r="AZ441" i="3"/>
  <c r="AZ415" i="3"/>
  <c r="AZ454" i="3"/>
  <c r="AB9" i="34"/>
  <c r="U9" i="34"/>
  <c r="J7" i="37"/>
  <c r="AC7" i="37" s="1"/>
  <c r="K1" i="73"/>
  <c r="E376" i="3"/>
  <c r="E421" i="3"/>
  <c r="E98" i="3"/>
  <c r="E168" i="3"/>
  <c r="E547" i="3"/>
  <c r="E328" i="3"/>
  <c r="E418" i="3"/>
  <c r="E221" i="3"/>
  <c r="E344" i="3"/>
  <c r="E203" i="3"/>
  <c r="E32" i="3"/>
  <c r="E480" i="3"/>
  <c r="E151" i="3"/>
  <c r="E407" i="3"/>
  <c r="E117" i="3"/>
  <c r="E518" i="3"/>
  <c r="E583" i="3"/>
  <c r="E45" i="3"/>
  <c r="E193" i="3"/>
  <c r="E527" i="3"/>
  <c r="E433" i="3"/>
  <c r="E111" i="3"/>
  <c r="E318" i="3"/>
  <c r="E567" i="3"/>
  <c r="E107" i="3"/>
  <c r="E515" i="3"/>
  <c r="AS6" i="3"/>
  <c r="E27" i="3"/>
  <c r="E162" i="3"/>
  <c r="E44" i="3"/>
  <c r="E175" i="3"/>
  <c r="E508" i="3"/>
  <c r="E337" i="3"/>
  <c r="E270" i="3"/>
  <c r="E561" i="3"/>
  <c r="E216" i="3"/>
  <c r="E261" i="3"/>
  <c r="E528" i="3"/>
  <c r="E91" i="3"/>
  <c r="E350" i="3"/>
  <c r="E124" i="3"/>
  <c r="E568" i="3"/>
  <c r="E228" i="3"/>
  <c r="E277" i="3"/>
  <c r="E406" i="3"/>
  <c r="E587" i="3"/>
  <c r="E468" i="3"/>
  <c r="E315" i="3"/>
  <c r="E362" i="3"/>
  <c r="E368" i="3"/>
  <c r="E204" i="3"/>
  <c r="AO6" i="3"/>
  <c r="E485" i="3"/>
  <c r="E531" i="3"/>
  <c r="E28" i="3"/>
  <c r="E70" i="3"/>
  <c r="E377" i="3"/>
  <c r="E572" i="3"/>
  <c r="E526" i="3"/>
  <c r="AJ6" i="3"/>
  <c r="E579" i="3"/>
  <c r="E247" i="3"/>
  <c r="E570" i="3"/>
  <c r="M6" i="3"/>
  <c r="AB6" i="3"/>
  <c r="E189" i="3"/>
  <c r="E278" i="3"/>
  <c r="E172" i="3"/>
  <c r="E161" i="3"/>
  <c r="E263" i="3"/>
  <c r="E423" i="3"/>
  <c r="X6" i="3"/>
  <c r="E100" i="3"/>
  <c r="E148" i="3"/>
  <c r="E275" i="3"/>
  <c r="E242" i="3"/>
  <c r="AA26" i="37"/>
  <c r="S26" i="37"/>
  <c r="BA5" i="3"/>
  <c r="E27" i="6" s="1"/>
  <c r="K26" i="6" s="1"/>
  <c r="M26" i="6" s="1"/>
  <c r="I26" i="6" s="1"/>
  <c r="S26" i="6" s="1"/>
  <c r="C19" i="71"/>
  <c r="T20" i="71"/>
  <c r="D20" i="71"/>
  <c r="U20" i="71" s="1"/>
  <c r="AZ5" i="3"/>
  <c r="AY6" i="3" s="1"/>
  <c r="E219" i="3"/>
  <c r="W40" i="40"/>
  <c r="AC40" i="40"/>
  <c r="AC12" i="21"/>
  <c r="W12" i="21"/>
  <c r="AB12" i="21"/>
  <c r="U12" i="21"/>
  <c r="AA27" i="34"/>
  <c r="S27" i="34"/>
  <c r="AC26" i="37"/>
  <c r="W26" i="37"/>
  <c r="BL5" i="3"/>
  <c r="B15" i="71"/>
  <c r="B14" i="71" s="1"/>
  <c r="B13" i="71" s="1"/>
  <c r="B12" i="71" s="1"/>
  <c r="S16" i="71"/>
  <c r="F7" i="36"/>
  <c r="AA7" i="36" s="1"/>
  <c r="R36" i="36" s="1"/>
  <c r="H7" i="36"/>
  <c r="E94" i="3"/>
  <c r="E131" i="3"/>
  <c r="E248"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F59" i="67"/>
  <c r="H7" i="37"/>
  <c r="AB7" i="37" s="1"/>
  <c r="T42" i="37" s="1"/>
  <c r="G42" i="37" s="1"/>
  <c r="H7" i="33"/>
  <c r="J7" i="33"/>
  <c r="D65" i="40"/>
  <c r="E63" i="40"/>
  <c r="F48" i="35"/>
  <c r="S7" i="36"/>
  <c r="AB7" i="36"/>
  <c r="T36" i="36" s="1"/>
  <c r="G36" i="36" s="1"/>
  <c r="U7" i="36"/>
  <c r="F7" i="33"/>
  <c r="E58" i="21"/>
  <c r="AC7" i="36"/>
  <c r="V36" i="36" s="1"/>
  <c r="I36" i="36" s="1"/>
  <c r="W7" i="36"/>
  <c r="F7" i="37"/>
  <c r="M17" i="67"/>
  <c r="M17" i="15"/>
  <c r="F59" i="15"/>
  <c r="P28" i="43"/>
  <c r="B66" i="40" s="1"/>
  <c r="P25" i="43"/>
  <c r="P29" i="43"/>
  <c r="P27" i="43"/>
  <c r="B70" i="39" s="1"/>
  <c r="C49" i="15"/>
  <c r="J18" i="15"/>
  <c r="M11" i="67"/>
  <c r="J10" i="67" s="1"/>
  <c r="J5" i="67" s="1"/>
  <c r="F11" i="15"/>
  <c r="M11" i="15"/>
  <c r="J10" i="15" s="1"/>
  <c r="J5" i="15" s="1"/>
  <c r="J24" i="15" s="1"/>
  <c r="F11" i="67"/>
  <c r="F1" i="15"/>
  <c r="Q52" i="15"/>
  <c r="C32" i="15"/>
  <c r="Q60" i="15"/>
  <c r="Q73" i="15"/>
  <c r="Q61" i="67"/>
  <c r="Q74" i="67"/>
  <c r="Q74" i="15"/>
  <c r="Q61" i="15"/>
  <c r="AE11" i="1"/>
  <c r="AE9" i="1"/>
  <c r="F27" i="68"/>
  <c r="AE7" i="1"/>
  <c r="AE8" i="1"/>
  <c r="AE12" i="1"/>
  <c r="AE10" i="1"/>
  <c r="AE6" i="1"/>
  <c r="F41" i="67" s="1"/>
  <c r="C16" i="67"/>
  <c r="G1" i="73"/>
  <c r="Q52" i="67" l="1"/>
  <c r="Q73" i="67"/>
  <c r="E378" i="3"/>
  <c r="E142" i="3"/>
  <c r="E132" i="3"/>
  <c r="AI6" i="3"/>
  <c r="E535" i="3"/>
  <c r="E215" i="3"/>
  <c r="E201" i="3"/>
  <c r="E268" i="3"/>
  <c r="E273" i="3"/>
  <c r="E345" i="3"/>
  <c r="E89" i="3"/>
  <c r="E146" i="3"/>
  <c r="E133" i="3"/>
  <c r="E347" i="3"/>
  <c r="E180" i="3"/>
  <c r="E538" i="3"/>
  <c r="E388" i="3"/>
  <c r="E384" i="3"/>
  <c r="E414" i="3"/>
  <c r="E31" i="3"/>
  <c r="E571" i="3"/>
  <c r="E253" i="3"/>
  <c r="E415" i="3"/>
  <c r="E166" i="3"/>
  <c r="AN6" i="3"/>
  <c r="E126" i="3"/>
  <c r="E341" i="3"/>
  <c r="E288" i="3"/>
  <c r="E297" i="3"/>
  <c r="E470" i="3"/>
  <c r="E139" i="3"/>
  <c r="E369" i="3"/>
  <c r="E240" i="3"/>
  <c r="E483" i="3"/>
  <c r="E119" i="3"/>
  <c r="E246" i="3"/>
  <c r="E135" i="3"/>
  <c r="E563" i="3"/>
  <c r="E335" i="3"/>
  <c r="E311" i="3"/>
  <c r="E509" i="3"/>
  <c r="E217" i="3"/>
  <c r="E182" i="3"/>
  <c r="E557" i="3"/>
  <c r="Z6" i="3"/>
  <c r="E74" i="3"/>
  <c r="E106" i="3"/>
  <c r="E472" i="3"/>
  <c r="E181" i="3"/>
  <c r="E586" i="3"/>
  <c r="E503" i="3"/>
  <c r="E380" i="3"/>
  <c r="E143" i="3"/>
  <c r="E343" i="3"/>
  <c r="E186" i="3"/>
  <c r="E505" i="3"/>
  <c r="E271" i="3"/>
  <c r="E150" i="3"/>
  <c r="E457" i="3"/>
  <c r="E511" i="3"/>
  <c r="E290" i="3"/>
  <c r="V6" i="3"/>
  <c r="E581" i="3"/>
  <c r="E434" i="3"/>
  <c r="E97" i="3"/>
  <c r="E379" i="3"/>
  <c r="E154" i="3"/>
  <c r="E155" i="3"/>
  <c r="AC33" i="33"/>
  <c r="W33" i="33"/>
  <c r="E313" i="3"/>
  <c r="AD6" i="3"/>
  <c r="E19" i="3"/>
  <c r="E176" i="3"/>
  <c r="AA33" i="33"/>
  <c r="S33" i="33"/>
  <c r="E118" i="3"/>
  <c r="E487" i="3"/>
  <c r="E296" i="3"/>
  <c r="E200" i="3"/>
  <c r="E385" i="3"/>
  <c r="E191" i="3"/>
  <c r="E445" i="3"/>
  <c r="E69" i="3"/>
  <c r="E387" i="3"/>
  <c r="E514" i="3"/>
  <c r="E431" i="3"/>
  <c r="E322" i="3"/>
  <c r="E109" i="3"/>
  <c r="E211" i="3"/>
  <c r="E489" i="3"/>
  <c r="E400" i="3"/>
  <c r="E327" i="3"/>
  <c r="E227" i="3"/>
  <c r="E171" i="3"/>
  <c r="E577" i="3"/>
  <c r="E560" i="3"/>
  <c r="E545" i="3"/>
  <c r="E399" i="3"/>
  <c r="E301" i="3"/>
  <c r="E183" i="3"/>
  <c r="E231" i="3"/>
  <c r="AR6" i="3"/>
  <c r="E555" i="3"/>
  <c r="E530" i="3"/>
  <c r="E331" i="3"/>
  <c r="E476" i="3"/>
  <c r="E478" i="3"/>
  <c r="E269" i="3"/>
  <c r="E279" i="3"/>
  <c r="E450" i="3"/>
  <c r="E458" i="3"/>
  <c r="E85" i="3"/>
  <c r="E578" i="3"/>
  <c r="E130" i="3"/>
  <c r="E239" i="3"/>
  <c r="E576" i="3"/>
  <c r="E330" i="3"/>
  <c r="E304" i="3"/>
  <c r="E29" i="3"/>
  <c r="E93" i="3"/>
  <c r="E136" i="3"/>
  <c r="E259" i="3"/>
  <c r="E138" i="3"/>
  <c r="AB33" i="33"/>
  <c r="U33" i="33"/>
  <c r="AA10" i="39"/>
  <c r="J10" i="39"/>
  <c r="W10" i="39" s="1"/>
  <c r="F10" i="40"/>
  <c r="S10" i="40" s="1"/>
  <c r="H10" i="39"/>
  <c r="U10" i="39" s="1"/>
  <c r="H10" i="40"/>
  <c r="AB10" i="40" s="1"/>
  <c r="J10" i="40"/>
  <c r="AC10" i="40" s="1"/>
  <c r="E510" i="3"/>
  <c r="E140" i="3"/>
  <c r="E35" i="3"/>
  <c r="E463" i="3"/>
  <c r="E15" i="3"/>
  <c r="E123" i="3"/>
  <c r="E552" i="3"/>
  <c r="E521" i="3"/>
  <c r="E312"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9" i="3"/>
  <c r="E282" i="3"/>
  <c r="E30" i="3"/>
  <c r="E121" i="3"/>
  <c r="E443" i="3"/>
  <c r="E164" i="3"/>
  <c r="E580" i="3"/>
  <c r="E55" i="3"/>
  <c r="E424" i="3"/>
  <c r="E177" i="3"/>
  <c r="E156" i="3"/>
  <c r="E402" i="3"/>
  <c r="E302" i="3"/>
  <c r="E169" i="3"/>
  <c r="E506" i="3"/>
  <c r="E285" i="3"/>
  <c r="E153" i="3"/>
  <c r="AM6" i="3"/>
  <c r="E92" i="3"/>
  <c r="E432" i="3"/>
  <c r="E145" i="3"/>
  <c r="E14" i="3"/>
  <c r="E475" i="3"/>
  <c r="E438" i="3"/>
  <c r="E224" i="3"/>
  <c r="E122" i="3"/>
  <c r="E504" i="3"/>
  <c r="E87" i="3"/>
  <c r="Y6" i="3"/>
  <c r="E39" i="3"/>
  <c r="E584" i="3"/>
  <c r="E582" i="3"/>
  <c r="E284" i="3"/>
  <c r="E446" i="3"/>
  <c r="E51" i="3"/>
  <c r="E90" i="3"/>
  <c r="E364" i="3"/>
  <c r="E60" i="3"/>
  <c r="E564" i="3"/>
  <c r="E512" i="3"/>
  <c r="E382" i="3"/>
  <c r="E260" i="3"/>
  <c r="E230" i="3"/>
  <c r="E551" i="3"/>
  <c r="E569" i="3"/>
  <c r="E553" i="3"/>
  <c r="E334" i="3"/>
  <c r="E404" i="3"/>
  <c r="P6" i="3"/>
  <c r="E252" i="3"/>
  <c r="E274" i="3"/>
  <c r="E496" i="3"/>
  <c r="E481" i="3"/>
  <c r="E262" i="3"/>
  <c r="AA6" i="3"/>
  <c r="E303" i="3"/>
  <c r="E213" i="3"/>
  <c r="E298" i="3"/>
  <c r="E523" i="3"/>
  <c r="E574" i="3"/>
  <c r="E501" i="3"/>
  <c r="E317" i="3"/>
  <c r="E546" i="3"/>
  <c r="E548" i="3"/>
  <c r="E207" i="3"/>
  <c r="E257" i="3"/>
  <c r="E471" i="3"/>
  <c r="E474" i="3"/>
  <c r="E306" i="3"/>
  <c r="E82" i="3"/>
  <c r="E187" i="3"/>
  <c r="E488" i="3"/>
  <c r="E66" i="3"/>
  <c r="E374" i="3"/>
  <c r="E47" i="3"/>
  <c r="E464" i="3"/>
  <c r="E48" i="3"/>
  <c r="E57" i="3"/>
  <c r="E250" i="3"/>
  <c r="E398" i="3"/>
  <c r="AQ6" i="3"/>
  <c r="E346" i="3"/>
  <c r="E329" i="3"/>
  <c r="E198" i="3"/>
  <c r="E519" i="3"/>
  <c r="E314" i="3"/>
  <c r="E336" i="3"/>
  <c r="E61" i="3"/>
  <c r="E395" i="3"/>
  <c r="E294" i="3"/>
  <c r="E358" i="3"/>
  <c r="E516" i="3"/>
  <c r="E366" i="3"/>
  <c r="E295" i="3"/>
  <c r="E444" i="3"/>
  <c r="E448" i="3"/>
  <c r="I6" i="3"/>
  <c r="E256" i="3"/>
  <c r="E429" i="3"/>
  <c r="Q6" i="3"/>
  <c r="E128" i="3"/>
  <c r="E280" i="3"/>
  <c r="E254" i="3"/>
  <c r="E565" i="3"/>
  <c r="E321" i="3"/>
  <c r="E390" i="3"/>
  <c r="O6" i="3"/>
  <c r="E319" i="3"/>
  <c r="E272" i="3"/>
  <c r="E403" i="3"/>
  <c r="E411" i="3"/>
  <c r="E397" i="3"/>
  <c r="E208" i="3"/>
  <c r="E537" i="3"/>
  <c r="E532" i="3"/>
  <c r="E352" i="3"/>
  <c r="E127" i="3"/>
  <c r="E167" i="3"/>
  <c r="E459" i="3"/>
  <c r="E163" i="3"/>
  <c r="E373" i="3"/>
  <c r="E375" i="3"/>
  <c r="E149" i="3"/>
  <c r="E209" i="3"/>
  <c r="E520" i="3"/>
  <c r="E65" i="3"/>
  <c r="E524" i="3"/>
  <c r="E299" i="3"/>
  <c r="E178" i="3"/>
  <c r="E356" i="3"/>
  <c r="E409" i="3"/>
  <c r="E416" i="3"/>
  <c r="E222" i="3"/>
  <c r="E386" i="3"/>
  <c r="E348" i="3"/>
  <c r="E566" i="3"/>
  <c r="E165" i="3"/>
  <c r="E265" i="3"/>
  <c r="E20" i="3"/>
  <c r="E289" i="3"/>
  <c r="E36" i="3"/>
  <c r="E325" i="3"/>
  <c r="E194" i="3"/>
  <c r="E79" i="3"/>
  <c r="E540" i="3"/>
  <c r="E372" i="3"/>
  <c r="E226" i="3"/>
  <c r="E25" i="3"/>
  <c r="E419" i="3"/>
  <c r="E507" i="3"/>
  <c r="E116" i="3"/>
  <c r="E80" i="3"/>
  <c r="E190" i="3"/>
  <c r="E41" i="3"/>
  <c r="E556" i="3"/>
  <c r="T6" i="3"/>
  <c r="E34" i="3"/>
  <c r="E67" i="3"/>
  <c r="E417" i="3"/>
  <c r="E101" i="3"/>
  <c r="E218" i="3"/>
  <c r="E50" i="3"/>
  <c r="E147" i="3"/>
  <c r="E52" i="3"/>
  <c r="E339" i="3"/>
  <c r="E137" i="3"/>
  <c r="E455" i="3"/>
  <c r="E43" i="3"/>
  <c r="E333" i="3"/>
  <c r="E202" i="3"/>
  <c r="E40" i="3"/>
  <c r="E498" i="3"/>
  <c r="E486" i="3"/>
  <c r="E223" i="3"/>
  <c r="E370" i="3"/>
  <c r="E78" i="3"/>
  <c r="E104" i="3"/>
  <c r="E360" i="3"/>
  <c r="E534" i="3"/>
  <c r="E96" i="3"/>
  <c r="E249" i="3"/>
  <c r="E255" i="3"/>
  <c r="E500" i="3"/>
  <c r="E244" i="3"/>
  <c r="E24" i="3"/>
  <c r="E58" i="3"/>
  <c r="E460" i="3"/>
  <c r="E141" i="3"/>
  <c r="E365" i="3"/>
  <c r="E62" i="3"/>
  <c r="E340" i="3"/>
  <c r="E112" i="3"/>
  <c r="E392" i="3"/>
  <c r="E234" i="3"/>
  <c r="E38" i="3"/>
  <c r="E473" i="3"/>
  <c r="L6" i="3"/>
  <c r="E276" i="3"/>
  <c r="E108" i="3"/>
  <c r="E401" i="3"/>
  <c r="E490" i="3"/>
  <c r="E493" i="3"/>
  <c r="E83" i="3"/>
  <c r="E342" i="3"/>
  <c r="E243" i="3"/>
  <c r="E452" i="3"/>
  <c r="E469" i="3"/>
  <c r="E308" i="3"/>
  <c r="E81" i="3"/>
  <c r="E292" i="3"/>
  <c r="E287" i="3"/>
  <c r="E18" i="3"/>
  <c r="E63" i="3"/>
  <c r="E267" i="3"/>
  <c r="E241" i="3"/>
  <c r="E449" i="3"/>
  <c r="E197" i="3"/>
  <c r="E206" i="3"/>
  <c r="E281" i="3"/>
  <c r="E33" i="3"/>
  <c r="E484" i="3"/>
  <c r="E479" i="3"/>
  <c r="E499" i="3"/>
  <c r="E575" i="3"/>
  <c r="J6" i="3"/>
  <c r="E440" i="3"/>
  <c r="E427" i="3"/>
  <c r="E393" i="3"/>
  <c r="E188" i="3"/>
  <c r="E326" i="3"/>
  <c r="E232" i="3"/>
  <c r="E324" i="3"/>
  <c r="E412" i="3"/>
  <c r="E225" i="3"/>
  <c r="E26" i="3"/>
  <c r="E13" i="3"/>
  <c r="E451" i="3"/>
  <c r="E456" i="3"/>
  <c r="E525" i="3"/>
  <c r="E205" i="3"/>
  <c r="E113" i="3"/>
  <c r="E383" i="3"/>
  <c r="E42" i="3"/>
  <c r="E513" i="3"/>
  <c r="E355" i="3"/>
  <c r="E492" i="3"/>
  <c r="E46" i="3"/>
  <c r="E544" i="3"/>
  <c r="E152" i="3"/>
  <c r="E517" i="3"/>
  <c r="E466" i="3"/>
  <c r="E212" i="3"/>
  <c r="AH6" i="3"/>
  <c r="E422" i="3"/>
  <c r="E543" i="3"/>
  <c r="E105" i="3"/>
  <c r="E16" i="3"/>
  <c r="E158" i="3"/>
  <c r="E49" i="3"/>
  <c r="E220" i="3"/>
  <c r="E428" i="3"/>
  <c r="E115" i="3"/>
  <c r="E420" i="3"/>
  <c r="E497" i="3"/>
  <c r="E408" i="3"/>
  <c r="E405" i="3"/>
  <c r="E173" i="3"/>
  <c r="E22" i="3"/>
  <c r="E102" i="3"/>
  <c r="E235" i="3"/>
  <c r="AL6" i="3"/>
  <c r="E309" i="3"/>
  <c r="E233" i="3"/>
  <c r="E310" i="3"/>
  <c r="E64" i="3"/>
  <c r="E389" i="3"/>
  <c r="E95" i="3"/>
  <c r="E554" i="3"/>
  <c r="E442" i="3"/>
  <c r="E536" i="3"/>
  <c r="E3" i="6"/>
  <c r="D3" i="21" s="1"/>
  <c r="W7" i="37"/>
  <c r="T40" i="71"/>
  <c r="D40" i="71"/>
  <c r="AF6" i="3"/>
  <c r="E86" i="3"/>
  <c r="E174" i="3"/>
  <c r="E482" i="3"/>
  <c r="E391" i="3"/>
  <c r="E494" i="3"/>
  <c r="E283" i="3"/>
  <c r="E68" i="3"/>
  <c r="E184" i="3"/>
  <c r="E84" i="3"/>
  <c r="E371" i="3"/>
  <c r="E160" i="3"/>
  <c r="E467" i="3"/>
  <c r="E59" i="3"/>
  <c r="E349" i="3"/>
  <c r="E258" i="3"/>
  <c r="E37" i="3"/>
  <c r="E491" i="3"/>
  <c r="AP6" i="3"/>
  <c r="E430" i="3"/>
  <c r="E502" i="3"/>
  <c r="E286" i="3"/>
  <c r="E539" i="3"/>
  <c r="Q65" i="71"/>
  <c r="Q66" i="71"/>
  <c r="E251" i="3"/>
  <c r="E522" i="3"/>
  <c r="E129" i="3"/>
  <c r="E75" i="3"/>
  <c r="E332" i="3"/>
  <c r="E21" i="3"/>
  <c r="E264" i="3"/>
  <c r="E381" i="3"/>
  <c r="E144" i="3"/>
  <c r="E23" i="3"/>
  <c r="E300" i="3"/>
  <c r="E103" i="3"/>
  <c r="E425" i="3"/>
  <c r="E76" i="3"/>
  <c r="E363" i="3"/>
  <c r="E192" i="3"/>
  <c r="E56" i="3"/>
  <c r="E435" i="3"/>
  <c r="I3" i="6"/>
  <c r="E541" i="3"/>
  <c r="R6" i="3"/>
  <c r="E199" i="3"/>
  <c r="D56" i="71"/>
  <c r="T56" i="71"/>
  <c r="N65" i="71"/>
  <c r="N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14" i="12"/>
  <c r="L18" i="9"/>
  <c r="C39" i="43"/>
  <c r="C42" i="43"/>
  <c r="E42" i="43" s="1"/>
  <c r="C38" i="43"/>
  <c r="AA10" i="40"/>
  <c r="U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F41" i="15"/>
  <c r="M27" i="67"/>
  <c r="M27" i="15"/>
  <c r="AC10" i="39" l="1"/>
  <c r="AC6" i="3"/>
  <c r="W10" i="40"/>
  <c r="H6" i="3"/>
  <c r="E6" i="3" s="1"/>
  <c r="F25" i="12"/>
  <c r="C26" i="12" s="1"/>
  <c r="D25" i="12" s="1"/>
  <c r="AB10" i="39"/>
  <c r="D3" i="37"/>
  <c r="D19" i="11"/>
  <c r="C19" i="11" s="1"/>
  <c r="C20" i="11" s="1"/>
  <c r="C28" i="11" s="1"/>
  <c r="C27" i="11" s="1"/>
  <c r="D37" i="11"/>
  <c r="E6" i="6"/>
  <c r="D10" i="11" s="1"/>
  <c r="C10" i="11" s="1"/>
  <c r="D3" i="33"/>
  <c r="D3" i="34"/>
  <c r="C17" i="4"/>
  <c r="B4" i="52" s="1"/>
  <c r="B43" i="72" s="1"/>
  <c r="M18" i="9"/>
  <c r="B118" i="9" s="1"/>
  <c r="B1" i="74" s="1"/>
  <c r="D116" i="43"/>
  <c r="F22" i="69"/>
  <c r="F41" i="69" s="1"/>
  <c r="F24" i="15"/>
  <c r="C24" i="15" s="1"/>
  <c r="F22" i="68"/>
  <c r="F41" i="68" s="1"/>
  <c r="F22" i="11"/>
  <c r="C44" i="11" s="1"/>
  <c r="D41" i="11" s="1"/>
  <c r="F24" i="67"/>
  <c r="C24" i="67" s="1"/>
  <c r="I53" i="34"/>
  <c r="J53" i="34" s="1"/>
  <c r="I46" i="37"/>
  <c r="J46" i="37" s="1"/>
  <c r="E49" i="34"/>
  <c r="E54" i="34" s="1"/>
  <c r="F54"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25" i="6"/>
  <c r="D15" i="6"/>
  <c r="D22" i="6"/>
  <c r="D21" i="6"/>
  <c r="D24" i="6"/>
  <c r="D20" i="6"/>
  <c r="M19" i="9"/>
  <c r="C118" i="9" s="1"/>
  <c r="B2" i="74" s="1"/>
  <c r="D26" i="6"/>
  <c r="D8" i="6"/>
  <c r="D14" i="6"/>
  <c r="D9" i="6"/>
  <c r="D10" i="6"/>
  <c r="L19" i="9"/>
  <c r="D29" i="6"/>
  <c r="H25" i="6"/>
  <c r="H22"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34" i="69"/>
  <c r="C17" i="15"/>
  <c r="C17" i="67"/>
  <c r="C14" i="67"/>
  <c r="H21" i="6" l="1"/>
  <c r="D30" i="6"/>
  <c r="C44" i="69"/>
  <c r="D41" i="69" s="1"/>
  <c r="C26" i="69"/>
  <c r="D22" i="69" s="1"/>
  <c r="H24" i="6"/>
  <c r="D20" i="12"/>
  <c r="C20" i="12" s="1"/>
  <c r="C18" i="12" s="1"/>
  <c r="D10" i="68"/>
  <c r="D19" i="68" s="1"/>
  <c r="D10" i="69"/>
  <c r="C10" i="69" s="1"/>
  <c r="C8" i="69" s="1"/>
  <c r="C5" i="69" s="1"/>
  <c r="D6" i="6"/>
  <c r="C23" i="68"/>
  <c r="C26" i="68"/>
  <c r="D22" i="68" s="1"/>
  <c r="C44" i="68"/>
  <c r="D41" i="68" s="1"/>
  <c r="C25" i="11"/>
  <c r="C23" i="11"/>
  <c r="C24" i="11"/>
  <c r="C26" i="11"/>
  <c r="D22" i="11" s="1"/>
  <c r="C16" i="7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F50" i="69"/>
  <c r="F50" i="11"/>
  <c r="F50" i="68"/>
  <c r="C4" i="52"/>
  <c r="B45" i="72" s="1"/>
  <c r="A10" i="51"/>
  <c r="B9" i="72" s="1"/>
  <c r="A7" i="51"/>
  <c r="B7" i="72" s="1"/>
  <c r="R25" i="6"/>
  <c r="R12" i="1"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10" i="68" l="1"/>
  <c r="D19" i="69"/>
  <c r="C19" i="69" s="1"/>
  <c r="C24" i="69" s="1"/>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I5" i="6"/>
  <c r="I6" i="6"/>
  <c r="C23" i="69"/>
  <c r="E2" i="76"/>
  <c r="B2" i="76"/>
  <c r="I69" i="39"/>
  <c r="J67" i="39"/>
  <c r="I63" i="40"/>
  <c r="H65" i="40"/>
  <c r="I58" i="21"/>
  <c r="J58" i="21" s="1"/>
  <c r="K58" i="21" s="1"/>
  <c r="L58" i="21" s="1"/>
  <c r="M58" i="21" s="1"/>
  <c r="N58" i="21" s="1"/>
  <c r="O58" i="21" s="1"/>
  <c r="H7" i="21" s="1"/>
  <c r="J48" i="35"/>
  <c r="D37" i="69" l="1"/>
  <c r="C37" i="69" s="1"/>
  <c r="C33" i="69" s="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15"/>
  <c r="F35" i="67"/>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C19" i="9"/>
  <c r="D2" i="37"/>
  <c r="D19" i="9"/>
  <c r="D2" i="36"/>
  <c r="D2" i="34"/>
  <c r="L51" i="15"/>
  <c r="C102" i="9" l="1"/>
  <c r="C21" i="9"/>
  <c r="B3" i="33"/>
  <c r="D22" i="9"/>
  <c r="G19" i="9"/>
  <c r="G21" i="9" s="1"/>
  <c r="D102" i="9"/>
  <c r="D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6" i="1"/>
  <c r="AO7" i="1"/>
  <c r="D20" i="9"/>
  <c r="AO8" i="1"/>
  <c r="AO10" i="1"/>
  <c r="AO12" i="1"/>
  <c r="AO9" i="1"/>
  <c r="C20" i="9"/>
  <c r="C103" i="9" l="1"/>
  <c r="G20" i="9"/>
  <c r="C32" i="9" s="1"/>
  <c r="D103"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D9" i="52" l="1"/>
  <c r="D123" i="9"/>
  <c r="C73" i="9"/>
  <c r="C78" i="9"/>
  <c r="M55" i="9"/>
  <c r="D59" i="9"/>
  <c r="B47" i="72"/>
  <c r="D4" i="52"/>
  <c r="M54" i="9"/>
  <c r="C97" i="9"/>
  <c r="D58" i="9"/>
  <c r="D56" i="9"/>
  <c r="M67" i="9"/>
  <c r="L67" i="9"/>
  <c r="M64" i="9"/>
  <c r="L64" i="9"/>
  <c r="C86" i="9"/>
  <c r="C93" i="9"/>
  <c r="B48" i="72"/>
  <c r="E4" i="52"/>
  <c r="D122" i="9"/>
  <c r="D8" i="52"/>
  <c r="C64" i="9"/>
  <c r="C63" i="9"/>
  <c r="C67" i="9"/>
  <c r="C68" i="9"/>
  <c r="D54" i="9"/>
  <c r="C5" i="74"/>
  <c r="B52" i="72"/>
  <c r="G4" i="52"/>
  <c r="H102" i="9"/>
  <c r="D7" i="53"/>
  <c r="B21" i="72"/>
  <c r="I4" i="52"/>
  <c r="C105" i="9"/>
  <c r="N69" i="9"/>
  <c r="M69" i="9"/>
  <c r="M63" i="9"/>
  <c r="L63" i="9"/>
  <c r="M68" i="9"/>
  <c r="L68" i="9"/>
  <c r="C81" i="9"/>
  <c r="B32" i="72"/>
  <c r="D14" i="53"/>
  <c r="B49" i="72"/>
  <c r="D5" i="52"/>
  <c r="E118" i="9"/>
  <c r="D118" i="9"/>
  <c r="D119" i="9"/>
  <c r="C6" i="74"/>
  <c r="B22" i="72"/>
  <c r="D6" i="53"/>
  <c r="C85" i="9"/>
  <c r="C95" i="9"/>
  <c r="C96" i="9"/>
  <c r="E96" i="9"/>
  <c r="E97" i="9"/>
  <c r="H4" i="52"/>
  <c r="C104" i="9"/>
  <c r="M48" i="9"/>
  <c r="F119" i="9"/>
  <c r="F5" i="52"/>
  <c r="B53" i="72"/>
  <c r="H108" i="9"/>
  <c r="D15" i="53"/>
  <c r="B31" i="72"/>
  <c r="M65" i="9"/>
  <c r="L65" i="9"/>
  <c r="C72" i="9"/>
  <c r="C79" i="9"/>
  <c r="C80" i="9"/>
  <c r="E80" i="9"/>
  <c r="E81" i="9"/>
  <c r="M66" i="9"/>
  <c r="L66" i="9"/>
  <c r="H119" i="9"/>
  <c r="H5" i="52"/>
  <c r="B51" i="72"/>
  <c r="G118" i="9"/>
  <c r="F118" i="9"/>
  <c r="F4" i="52"/>
  <c r="D52" i="9"/>
  <c r="D53" i="9"/>
  <c r="N60" i="9"/>
  <c r="M49" i="9"/>
  <c r="N59" i="9"/>
  <c r="N61" i="9"/>
  <c r="H107" i="9"/>
  <c r="D13" i="53"/>
  <c r="B30" i="72"/>
  <c r="P57" i="9"/>
  <c r="D45" i="9"/>
  <c r="D55" i="9"/>
  <c r="M53" i="9"/>
  <c r="N57" i="9"/>
  <c r="N58"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<sst xmlns="http://schemas.openxmlformats.org/spreadsheetml/2006/main" count="7871" uniqueCount="3477">
  <si>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</si>
  <si>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</si>
  <si>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</si>
  <si>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</si>
  <si>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</si>
  <si>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</si>
  <si>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</si>
  <si>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</si>
  <si>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</si>
  <si>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</si>
  <si>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</si>
  <si>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</si>
  <si>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</si>
  <si>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</si>
  <si>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</si>
  <si>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</si>
  <si>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</si>
  <si>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</si>
  <si>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</si>
  <si>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</si>
  <si>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</si>
  <si>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</si>
  <si>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</si>
  <si>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</si>
  <si>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</si>
  <si>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</si>
  <si>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</si>
  <si>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</si>
  <si>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</si>
  <si>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</si>
  <si>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</si>
  <si>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</si>
  <si>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</si>
  <si>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</si>
  <si>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</si>
  <si>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</si>
  <si>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</si>
  <si>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</si>
  <si>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</si>
  <si>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</si>
  <si>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</si>
  <si>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</si>
  <si>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</si>
  <si>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</si>
  <si>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</si>
  <si>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</si>
  <si>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</si>
  <si>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</si>
  <si>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</si>
  <si>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</si>
  <si>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</si>
  <si>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</si>
  <si>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</si>
  <si>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</si>
  <si>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</si>
  <si>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</si>
  <si>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</si>
  <si>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</si>
  <si>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</si>
  <si>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</si>
  <si>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</si>
  <si>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</si>
  <si>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</si>
  <si>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</si>
  <si>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</si>
  <si>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</si>
  <si>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</si>
  <si>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</si>
  <si>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</si>
  <si>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</si>
  <si>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</si>
  <si>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</si>
  <si>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</si>
  <si>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</si>
  <si>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</si>
  <si>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</si>
  <si>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</si>
  <si>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</si>
  <si>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</si>
  <si>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</si>
  <si>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</si>
  <si>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</si>
  <si>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</si>
  <si>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</si>
  <si>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</si>
  <si>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</si>
  <si>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</si>
  <si>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</si>
  <si>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</si>
  <si>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</si>
  <si>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</si>
  <si>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</si>
  <si>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</si>
  <si>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</si>
  <si>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</si>
  <si>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</si>
  <si>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</si>
  <si>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</si>
  <si>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</si>
  <si>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</si>
  <si>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</si>
  <si>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</si>
  <si>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</si>
  <si>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</si>
  <si>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</si>
  <si>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</si>
  <si>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</si>
  <si>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</si>
  <si>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</si>
  <si>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</si>
  <si>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</si>
  <si>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</si>
  <si>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</si>
  <si>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</si>
  <si>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</si>
  <si>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</si>
  <si>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</si>
  <si>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</si>
  <si>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</si>
  <si>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</si>
  <si>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</si>
  <si>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</si>
  <si>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</si>
  <si>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</si>
  <si>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</si>
  <si>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</si>
  <si>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</si>
  <si>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</si>
  <si>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</si>
  <si>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</si>
  <si>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</si>
  <si>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</si>
  <si>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</si>
  <si>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</si>
  <si>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</si>
  <si>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</si>
  <si>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</si>
  <si>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</si>
  <si>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</si>
  <si>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</si>
  <si>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</si>
  <si>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</si>
  <si>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</si>
  <si>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</si>
  <si>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</si>
  <si>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</si>
  <si>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</si>
  <si>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</si>
  <si>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</si>
  <si>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</si>
  <si>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</si>
  <si>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</si>
  <si>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</si>
  <si>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</si>
  <si>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</si>
  <si>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</si>
  <si>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</si>
  <si>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</si>
  <si>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</si>
  <si>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</si>
  <si>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</si>
  <si>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</si>
  <si>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</si>
  <si>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</si>
  <si>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</si>
  <si>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</si>
  <si>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</si>
  <si>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</si>
  <si>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</si>
  <si>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</si>
  <si>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</si>
  <si>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</si>
  <si>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</si>
  <si>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</si>
  <si>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</si>
  <si>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</si>
  <si>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</si>
  <si>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</si>
  <si>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</si>
  <si>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</si>
  <si>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</si>
  <si>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</si>
  <si>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</si>
  <si>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</si>
  <si>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</si>
  <si>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</si>
  <si>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</si>
  <si>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</si>
  <si>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</si>
  <si>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</si>
  <si>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</si>
  <si>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</si>
  <si>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</si>
  <si>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</si>
  <si>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</si>
  <si>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</si>
  <si>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</si>
  <si>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</si>
  <si>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</si>
  <si>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</si>
  <si>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</si>
  <si>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</si>
  <si>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</si>
  <si>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</si>
  <si>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</si>
  <si>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</si>
  <si>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</si>
  <si>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</si>
  <si>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</si>
  <si>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</si>
  <si>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</si>
  <si>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</si>
  <si>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</si>
  <si>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</si>
  <si>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</si>
  <si>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</si>
  <si>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</si>
  <si>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</si>
  <si>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</si>
  <si>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</si>
  <si>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</si>
  <si>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</si>
  <si>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</si>
  <si>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</si>
  <si>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</si>
  <si>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</si>
  <si>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</si>
  <si>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</si>
  <si>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</si>
  <si>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</si>
  <si>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</si>
  <si>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</si>
  <si>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</si>
  <si>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</si>
  <si>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</si>
  <si>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</si>
  <si>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</si>
  <si>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</si>
  <si>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</si>
  <si>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</si>
  <si>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</si>
  <si>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</si>
  <si>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</si>
  <si>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</si>
  <si>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</si>
  <si>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</si>
  <si>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</si>
  <si>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</si>
  <si>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</si>
  <si>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</si>
  <si>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</si>
  <si>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</si>
  <si>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</si>
  <si>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</si>
  <si>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</si>
  <si>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</si>
  <si>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</si>
  <si>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</si>
  <si>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</si>
  <si>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</si>
  <si>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</si>
  <si>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</si>
  <si>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</si>
  <si>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</si>
  <si>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</si>
  <si>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</si>
  <si>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</si>
  <si>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</si>
  <si>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</si>
  <si>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</si>
  <si>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</si>
  <si>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</si>
  <si>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</si>
  <si>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</si>
  <si>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</si>
  <si>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</si>
  <si>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</si>
  <si>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</si>
  <si>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</si>
  <si>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</si>
  <si>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</si>
  <si>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</si>
  <si>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</si>
  <si>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</si>
  <si>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</si>
  <si>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</si>
  <si>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</si>
  <si>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</si>
  <si>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</si>
  <si>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</si>
  <si>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</si>
  <si>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</si>
  <si>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</si>
  <si>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</si>
  <si>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</si>
  <si>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</si>
  <si>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</si>
  <si>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</si>
  <si>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</si>
  <si>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</si>
  <si>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</si>
  <si>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</si>
  <si>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</si>
  <si>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</si>
  <si>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</si>
  <si>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</si>
  <si>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</si>
  <si>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</si>
  <si>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</si>
  <si>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</si>
  <si>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</si>
  <si>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</si>
  <si>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</si>
  <si>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</si>
  <si>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</si>
  <si>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</si>
  <si>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</si>
  <si>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</si>
  <si>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</si>
  <si>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</si>
  <si>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</si>
  <si>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</si>
  <si>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</si>
  <si>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</si>
  <si>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</si>
  <si>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</si>
  <si>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</si>
  <si>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</si>
  <si>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</si>
  <si>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</si>
  <si>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</si>
  <si>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</si>
  <si>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</si>
  <si>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</si>
  <si>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</si>
  <si>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</si>
  <si>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</si>
  <si>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</si>
  <si>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</si>
  <si>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</si>
  <si>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</si>
  <si>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</si>
  <si>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</si>
  <si>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</si>
  <si>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</si>
  <si>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</si>
  <si>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</si>
  <si>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</si>
  <si>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</si>
  <si>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</si>
  <si>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</si>
  <si>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</si>
  <si>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</si>
  <si>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</si>
  <si>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</si>
  <si>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</si>
  <si>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</si>
  <si>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</si>
  <si>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</si>
  <si>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</si>
  <si>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</si>
  <si>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</si>
  <si>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</si>
  <si>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</si>
  <si>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</si>
  <si>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</si>
  <si>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</si>
  <si>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</si>
  <si>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</si>
  <si>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</si>
  <si>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</si>
  <si>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</si>
  <si>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</si>
  <si>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</si>
  <si>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</si>
  <si>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</si>
  <si>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</si>
  <si>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</si>
  <si>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</si>
  <si>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</si>
  <si>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</si>
  <si>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</si>
  <si>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</si>
  <si>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</si>
  <si>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</si>
  <si>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</si>
  <si>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</si>
  <si>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</si>
  <si>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</si>
  <si>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</si>
  <si>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</si>
  <si>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</si>
  <si>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</si>
  <si>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</si>
  <si>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</si>
  <si>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</si>
  <si>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</si>
  <si>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</si>
  <si>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</si>
  <si>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</si>
  <si>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</si>
  <si>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</si>
  <si>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</si>
  <si>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</si>
  <si>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</si>
  <si>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</si>
  <si>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</si>
  <si>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</si>
  <si>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</si>
  <si>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</si>
  <si>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</si>
  <si>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</si>
  <si>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</si>
  <si>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</si>
  <si>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</si>
  <si>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</si>
  <si>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</si>
  <si>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</si>
  <si>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</si>
  <si>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</si>
  <si>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</si>
  <si>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</si>
  <si>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</si>
  <si>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</si>
  <si>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</si>
  <si>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</si>
  <si>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</si>
  <si>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</si>
  <si>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</si>
  <si>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</si>
  <si>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</si>
  <si>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</si>
  <si>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</si>
  <si>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</si>
  <si>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</si>
  <si>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</si>
  <si>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</si>
  <si>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</si>
  <si>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</si>
  <si>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</si>
  <si>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</si>
  <si>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</si>
  <si>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</si>
  <si>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</si>
  <si>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</si>
  <si>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</si>
  <si>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</si>
  <si>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</si>
  <si>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</si>
  <si>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</si>
  <si>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</si>
  <si>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</si>
  <si>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</si>
  <si>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</si>
  <si>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</si>
  <si>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</si>
  <si>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</si>
  <si>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</si>
  <si>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</si>
  <si>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</si>
  <si>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</si>
  <si>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</si>
  <si>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</si>
  <si>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</si>
  <si>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</si>
  <si>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</si>
  <si>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</si>
  <si>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</si>
  <si>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</si>
  <si>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</si>
  <si>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</si>
  <si>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</si>
  <si>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</si>
  <si>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</si>
  <si>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</si>
  <si>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</si>
  <si>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</si>
  <si>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</si>
  <si>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</si>
  <si>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</si>
  <si>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</si>
  <si>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</si>
  <si>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</si>
  <si>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</si>
  <si>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</si>
  <si>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</si>
  <si>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</si>
  <si>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</si>
  <si>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</si>
  <si>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</si>
  <si>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</si>
  <si>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</si>
  <si>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</si>
  <si>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</si>
  <si>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</si>
  <si>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</si>
  <si>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</si>
  <si>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</si>
  <si>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</si>
  <si>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</si>
  <si>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</si>
  <si>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</si>
  <si>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</si>
  <si>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</si>
  <si>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</si>
  <si>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</si>
  <si>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</si>
  <si>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</si>
  <si>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</si>
  <si>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</si>
  <si>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</si>
  <si>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</si>
  <si>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</si>
  <si>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</si>
  <si>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</si>
  <si>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</si>
  <si>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</si>
  <si>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</si>
  <si>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</si>
  <si>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</si>
  <si>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</si>
  <si>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</si>
  <si>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</si>
  <si>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</si>
  <si>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</si>
  <si>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</si>
  <si>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</si>
  <si>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</si>
  <si>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</si>
  <si>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</si>
  <si>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</si>
  <si>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</si>
  <si>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</si>
  <si>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</si>
  <si>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</si>
  <si>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</si>
  <si>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</si>
  <si>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</si>
  <si>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</si>
  <si>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</si>
  <si>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</si>
  <si>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</si>
  <si>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</si>
  <si>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</si>
  <si>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</si>
  <si>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</si>
  <si>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</si>
  <si>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</si>
  <si>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</si>
  <si>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</si>
  <si>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</si>
  <si>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</si>
  <si>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</si>
  <si>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</si>
  <si>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</si>
  <si>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</si>
  <si>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</si>
  <si>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</si>
  <si>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</si>
  <si>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</si>
  <si>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</si>
  <si>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</si>
  <si>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</si>
  <si>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</si>
  <si>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</si>
  <si>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</si>
  <si>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</si>
  <si>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</si>
  <si>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</si>
  <si>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</si>
  <si>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</si>
  <si>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</si>
  <si>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</si>
  <si>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</si>
  <si>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</si>
  <si>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</si>
  <si>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</si>
  <si>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</si>
  <si>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</si>
  <si>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</si>
  <si>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</si>
  <si>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</si>
  <si>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</si>
  <si>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</si>
  <si>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</si>
  <si>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</si>
  <si>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</si>
  <si>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</si>
  <si>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</si>
  <si>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</si>
  <si>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</si>
  <si>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</si>
  <si>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</si>
  <si>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</si>
  <si>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</si>
  <si>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</si>
  <si>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</si>
  <si>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</si>
  <si>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</si>
  <si>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</si>
  <si>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</si>
  <si>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</si>
  <si>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</si>
  <si>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</si>
  <si>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</si>
  <si>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</si>
  <si>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</si>
  <si>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</si>
  <si>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</si>
  <si>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</si>
  <si>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</si>
  <si>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</si>
  <si>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</si>
  <si>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</si>
  <si>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</si>
  <si>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</si>
  <si>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</si>
  <si>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</si>
  <si>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</si>
  <si>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</si>
  <si>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</si>
  <si>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</si>
  <si>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</si>
  <si>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</si>
  <si>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</si>
  <si>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</si>
  <si>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</si>
  <si>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</si>
  <si>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</si>
  <si>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</si>
  <si>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</si>
  <si>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</si>
  <si>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</si>
  <si>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</si>
  <si>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</si>
  <si>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</si>
  <si>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</si>
  <si>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</si>
  <si>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</si>
  <si>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</si>
  <si>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</si>
  <si>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</si>
  <si>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</si>
  <si>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</si>
  <si>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</si>
  <si>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</si>
  <si>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</si>
  <si>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</si>
  <si>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</si>
  <si>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</si>
  <si>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</si>
  <si>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</si>
  <si>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</si>
  <si>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</si>
  <si>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</si>
  <si>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</si>
  <si>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</si>
  <si>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</si>
  <si>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</si>
  <si>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</si>
  <si>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</si>
  <si>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</si>
  <si>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</si>
  <si>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</si>
  <si>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</si>
  <si>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</si>
  <si>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</si>
  <si>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</si>
  <si>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</si>
  <si>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</si>
  <si>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</si>
  <si>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</si>
  <si>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</si>
  <si>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</si>
  <si>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</si>
  <si>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</si>
  <si>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</si>
  <si>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</si>
  <si>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</si>
  <si>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</si>
  <si>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</si>
  <si>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</si>
  <si>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</si>
  <si>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</si>
  <si>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</si>
  <si>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</si>
  <si>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</si>
  <si>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</si>
  <si>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</si>
  <si>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</si>
  <si>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</si>
  <si>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</si>
  <si>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</si>
  <si>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</si>
  <si>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</si>
  <si>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</si>
  <si>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</si>
  <si>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</si>
  <si>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</si>
  <si>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</si>
  <si>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</si>
  <si>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</si>
  <si>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</si>
  <si>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</si>
  <si>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</si>
  <si>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</si>
  <si>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</si>
  <si>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</si>
  <si>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</si>
  <si>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</si>
  <si>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</si>
  <si>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</si>
  <si>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</si>
  <si>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</si>
  <si>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</si>
  <si>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</si>
  <si>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</si>
  <si>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</si>
  <si>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</si>
  <si>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</si>
  <si>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</si>
  <si>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</si>
  <si>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</si>
  <si>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</si>
  <si>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</si>
  <si>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</si>
  <si>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</si>
  <si>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</si>
  <si>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</si>
  <si>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</si>
  <si>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</si>
  <si>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</si>
  <si>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</si>
  <si>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</si>
  <si>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</si>
  <si>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</si>
  <si>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</si>
  <si>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</si>
  <si>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</si>
  <si>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</si>
  <si>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</si>
  <si>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</si>
  <si>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</si>
  <si>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</si>
  <si>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</si>
  <si>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</si>
  <si>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</si>
  <si>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</si>
  <si>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</si>
  <si>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</si>
  <si>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</si>
  <si>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</si>
  <si>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</si>
  <si>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</si>
  <si>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</si>
  <si>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</si>
  <si>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</si>
  <si>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</si>
  <si>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</si>
  <si>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</si>
  <si>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</si>
  <si>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</si>
  <si>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</si>
  <si>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</si>
  <si>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</si>
  <si>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</si>
  <si>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</si>
  <si>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</si>
  <si>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</si>
  <si>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</si>
  <si>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</si>
  <si>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</si>
  <si>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</si>
  <si>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</si>
  <si>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</si>
  <si>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</si>
  <si>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</si>
  <si>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</si>
  <si>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</si>
  <si>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</si>
  <si>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</si>
  <si>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</si>
  <si>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</si>
  <si>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</si>
  <si>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</si>
  <si>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</si>
  <si>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</si>
  <si>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</si>
  <si>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</si>
  <si>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</si>
  <si>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</si>
  <si>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</si>
  <si>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</si>
  <si>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</si>
  <si>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</si>
  <si>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</si>
  <si>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</si>
  <si>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</si>
  <si>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</si>
  <si>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</si>
  <si>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</si>
  <si>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</si>
  <si>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</si>
  <si>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</si>
  <si>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</si>
  <si>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</si>
  <si>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</si>
  <si>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</si>
  <si>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</si>
  <si>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</si>
  <si>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</si>
  <si>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</si>
  <si>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</si>
  <si>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</si>
  <si>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</si>
  <si>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</si>
  <si>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</si>
  <si>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</si>
  <si>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</si>
  <si>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</si>
  <si>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</si>
  <si>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</si>
  <si>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</si>
  <si>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</si>
  <si>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</si>
  <si>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</si>
  <si>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</si>
  <si>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</si>
  <si>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</si>
  <si>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</si>
  <si>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</si>
  <si>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</si>
  <si>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</si>
  <si>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</si>
  <si>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</si>
  <si>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</si>
  <si>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</si>
  <si>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</si>
  <si>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</si>
  <si>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</si>
  <si>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</si>
  <si>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</si>
  <si>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</si>
  <si>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</si>
  <si>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</si>
  <si>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</si>
  <si>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</si>
  <si>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</si>
  <si>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</si>
  <si>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</si>
  <si>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</si>
  <si>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</si>
  <si>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</si>
  <si>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</si>
  <si>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</si>
  <si>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</si>
  <si>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</si>
  <si>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</si>
  <si>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</si>
  <si>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</si>
  <si>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</si>
  <si>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</si>
  <si>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</si>
  <si>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</si>
  <si>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</si>
  <si>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</si>
  <si>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</si>
  <si>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</si>
  <si>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</si>
  <si>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</si>
  <si>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</si>
  <si>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</si>
  <si>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</si>
  <si>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</si>
  <si>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</si>
  <si>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</si>
  <si>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</si>
  <si>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</si>
  <si>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</si>
  <si>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</si>
  <si>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</si>
  <si>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</si>
  <si>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</si>
  <si>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</si>
  <si>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</si>
  <si>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</si>
  <si>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</si>
  <si>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</si>
  <si>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</si>
  <si>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</si>
  <si>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</si>
  <si>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</si>
  <si>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</si>
  <si>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</si>
  <si>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</si>
  <si>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</si>
  <si>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</si>
  <si>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</si>
  <si>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</si>
  <si>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</si>
  <si>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</si>
  <si>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</si>
  <si>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</si>
  <si>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</si>
  <si>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</si>
  <si>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</si>
  <si>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</si>
  <si>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</si>
  <si>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</si>
  <si>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</si>
  <si>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</si>
  <si>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</si>
  <si>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</si>
  <si>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</si>
  <si>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</si>
  <si>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</si>
  <si>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</si>
  <si>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</si>
  <si>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</si>
  <si>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</si>
  <si>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</si>
  <si>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</si>
  <si>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</si>
  <si>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</si>
  <si>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</si>
  <si>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</si>
  <si>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</si>
  <si>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</si>
  <si>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</si>
  <si>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</si>
  <si>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</si>
  <si>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</si>
  <si>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</si>
  <si>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</si>
  <si>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</si>
  <si>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</si>
  <si>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</si>
  <si>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</si>
  <si>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</si>
  <si>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</si>
  <si>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</si>
  <si>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</si>
  <si>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</si>
  <si>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</si>
  <si>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</si>
  <si>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</si>
  <si>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</si>
  <si>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</si>
  <si>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</si>
  <si>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</si>
  <si>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</si>
  <si>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</si>
  <si>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</si>
  <si>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</si>
  <si>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</si>
  <si>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</si>
  <si>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</si>
  <si>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</si>
  <si>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</si>
  <si>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</si>
  <si>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</si>
  <si>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</si>
  <si>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</si>
  <si>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</si>
  <si>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</si>
  <si>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</si>
  <si>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</si>
  <si>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</si>
  <si>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</si>
  <si>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</si>
  <si>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</si>
  <si>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</si>
  <si>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</si>
  <si>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</si>
  <si>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</si>
  <si>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</si>
  <si>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</si>
  <si>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</si>
  <si>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</si>
  <si>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</si>
  <si>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</si>
  <si>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</si>
  <si>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</si>
  <si>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</si>
  <si>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</si>
  <si>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</si>
  <si>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</si>
  <si>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</si>
  <si>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</si>
  <si>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</si>
  <si>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</si>
  <si>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</si>
  <si>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</si>
  <si>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</si>
  <si>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</si>
  <si>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</si>
  <si>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</si>
  <si>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</si>
  <si>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</si>
  <si>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</si>
  <si>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</si>
  <si>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</si>
  <si>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</si>
  <si>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</si>
  <si>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</si>
  <si>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</si>
  <si>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</si>
  <si>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</si>
  <si>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</si>
  <si>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</si>
  <si>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</si>
  <si>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</si>
  <si>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</si>
  <si>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</si>
  <si>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</si>
  <si>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</si>
  <si>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</si>
  <si>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</si>
  <si>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</si>
  <si>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</si>
  <si>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</si>
  <si>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</si>
  <si>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</si>
  <si>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</si>
  <si>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</si>
  <si>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</si>
  <si>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</si>
  <si>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</si>
  <si>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</si>
  <si>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</si>
  <si>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</si>
  <si>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</si>
  <si>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</si>
  <si>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</si>
  <si>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</si>
  <si>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</si>
  <si>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</si>
  <si>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</si>
  <si>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</si>
  <si>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</si>
  <si>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</si>
  <si>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</si>
  <si>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</si>
  <si>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</si>
  <si>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</si>
  <si>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</si>
  <si>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</si>
  <si>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</si>
  <si>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</si>
  <si>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</si>
  <si>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</si>
  <si>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</si>
  <si>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</si>
  <si>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</si>
  <si>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</si>
  <si>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</si>
  <si>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</si>
  <si>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</si>
  <si>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</si>
  <si>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</si>
  <si>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</si>
  <si>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</si>
  <si>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</si>
  <si>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</si>
  <si>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</si>
  <si>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</si>
  <si>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</si>
  <si>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</si>
  <si>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</si>
  <si>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</si>
  <si>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</si>
  <si>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</si>
  <si>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</si>
  <si>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</si>
  <si>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</si>
  <si>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</si>
  <si>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</si>
  <si>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</si>
  <si>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</si>
  <si>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</si>
  <si>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</si>
  <si>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</si>
  <si>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</si>
  <si>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</si>
  <si>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</si>
  <si>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</si>
  <si>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</si>
  <si>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</si>
  <si>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</si>
  <si>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</si>
  <si>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</si>
  <si>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</si>
  <si>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</si>
  <si>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</si>
  <si>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</si>
  <si>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</si>
  <si>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</si>
  <si>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</si>
  <si>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</si>
  <si>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</si>
  <si>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</si>
  <si>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</si>
  <si>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</si>
  <si>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</si>
  <si>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</si>
  <si>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</si>
  <si>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</si>
  <si>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</si>
  <si>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</si>
  <si>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</si>
  <si>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</si>
  <si>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</si>
  <si>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</si>
  <si>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</si>
  <si>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</si>
  <si>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</si>
  <si>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</si>
  <si>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</si>
  <si>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</si>
  <si>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</si>
  <si>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</si>
  <si>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</si>
  <si>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</si>
  <si>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</si>
  <si>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</si>
  <si>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</si>
  <si>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</si>
  <si>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</si>
  <si>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</si>
  <si>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</si>
  <si>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</si>
  <si>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</si>
  <si>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</si>
  <si>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</si>
  <si>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</si>
  <si>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</si>
  <si>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</si>
  <si>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</si>
  <si>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</si>
  <si>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</si>
  <si>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</si>
  <si>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</si>
  <si>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</si>
  <si>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</si>
  <si>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</si>
  <si>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</si>
  <si>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</si>
  <si>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</si>
  <si>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</si>
  <si>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</si>
  <si>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</si>
  <si>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</si>
  <si>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</si>
  <si>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</si>
  <si>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</si>
  <si>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</si>
  <si>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</si>
  <si>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</si>
  <si>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</si>
  <si>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</si>
  <si>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</si>
  <si>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</si>
  <si>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</si>
  <si>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</si>
  <si>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</si>
  <si>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</si>
  <si>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</si>
  <si>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</si>
  <si>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</si>
  <si>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</si>
  <si>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</si>
  <si>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</si>
  <si>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</si>
  <si>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</si>
  <si>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</si>
  <si>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</si>
  <si>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</si>
  <si>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</si>
  <si>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</si>
  <si>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</si>
  <si>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</si>
  <si>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</si>
  <si>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</si>
  <si>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</si>
  <si>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</si>
  <si>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</si>
  <si>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</si>
  <si>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</si>
  <si>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</si>
  <si>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</si>
  <si>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</si>
  <si>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</si>
  <si>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</si>
  <si>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</si>
  <si>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</si>
  <si>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</si>
  <si>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</si>
  <si>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</si>
  <si>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</si>
  <si>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</si>
  <si>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</si>
  <si>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</si>
  <si>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</si>
  <si>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</si>
  <si>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</si>
  <si>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</si>
  <si>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</si>
  <si>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</si>
  <si>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</si>
  <si>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</si>
  <si>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</si>
  <si>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</si>
  <si>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</si>
  <si>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</si>
  <si>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</si>
  <si>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</si>
  <si>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</si>
  <si>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</si>
  <si>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</si>
  <si>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</si>
  <si>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</si>
  <si>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</si>
  <si>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</si>
  <si>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</si>
  <si>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</si>
  <si>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</si>
  <si>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</si>
  <si>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</si>
  <si>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</si>
  <si>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</si>
  <si>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</si>
  <si>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</si>
  <si>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</si>
  <si>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</si>
  <si>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</si>
  <si>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</si>
  <si>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</si>
  <si>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</si>
  <si>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</si>
  <si>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</si>
  <si>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</si>
  <si>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</si>
  <si>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</si>
  <si>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</si>
  <si>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</si>
  <si>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</si>
  <si>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</si>
  <si>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</si>
  <si>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</si>
  <si>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</si>
  <si>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</si>
  <si>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</si>
  <si>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</si>
  <si>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</si>
  <si>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</si>
  <si>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</si>
  <si>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</si>
  <si>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</si>
  <si>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</si>
  <si>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</si>
  <si>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</si>
  <si>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</si>
  <si>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</si>
  <si>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</si>
  <si>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</si>
  <si>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</si>
  <si>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</si>
  <si>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</si>
  <si>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</si>
  <si>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</si>
  <si>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</si>
  <si>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</si>
  <si>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</si>
  <si>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</si>
  <si>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</si>
  <si>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</si>
  <si>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</si>
  <si>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</si>
  <si>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</si>
  <si>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</si>
  <si>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</si>
  <si>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</si>
  <si>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</si>
  <si>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</si>
  <si>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</si>
  <si>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</si>
  <si>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</si>
  <si>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</si>
  <si>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</si>
  <si>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</si>
  <si>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</si>
  <si>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</si>
  <si>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</si>
  <si>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</si>
  <si>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</si>
  <si>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</si>
  <si>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</si>
  <si>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</si>
  <si>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</si>
  <si>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</si>
  <si>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</si>
  <si>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</si>
  <si>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</si>
  <si>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</si>
  <si>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</si>
  <si>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</si>
  <si>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</si>
  <si>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</si>
  <si>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</si>
  <si>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</si>
  <si>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</si>
  <si>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</si>
  <si>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</si>
  <si>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</si>
  <si>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</si>
  <si>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</si>
  <si>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</si>
  <si>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</si>
  <si>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</si>
  <si>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</si>
  <si>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</si>
  <si>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</si>
  <si>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</si>
  <si>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</si>
  <si>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</si>
  <si>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</si>
  <si>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</si>
  <si>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</si>
  <si>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</si>
  <si>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</si>
  <si>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</si>
  <si>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</si>
  <si>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</si>
  <si>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</si>
  <si>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</si>
  <si>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</si>
  <si>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</si>
  <si>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</si>
  <si>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</si>
  <si>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</si>
  <si>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</si>
  <si>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</si>
  <si>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</si>
  <si>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</si>
  <si>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</si>
  <si>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</si>
  <si>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</si>
  <si>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</si>
  <si>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</si>
  <si>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</si>
  <si>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</si>
  <si>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</si>
  <si>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</si>
  <si>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</si>
  <si>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</si>
  <si>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</si>
  <si>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</si>
  <si>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</si>
  <si>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</si>
  <si>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</si>
  <si>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</si>
  <si>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</si>
  <si>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</si>
  <si>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</si>
  <si>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</si>
  <si>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</si>
  <si>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</si>
  <si>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</si>
  <si>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</si>
  <si>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</si>
  <si>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</si>
  <si>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</si>
  <si>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</si>
  <si>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</si>
  <si>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</si>
  <si>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</si>
  <si>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</si>
  <si>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</si>
  <si>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</si>
  <si>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</si>
  <si>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</si>
  <si>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</si>
  <si>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</si>
  <si>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</si>
  <si>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</si>
  <si>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</si>
  <si>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</si>
  <si>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</si>
  <si>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</si>
  <si>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</si>
  <si>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</si>
  <si>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</si>
  <si>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</si>
  <si>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</si>
  <si>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</si>
  <si>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</si>
  <si>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</si>
  <si>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</si>
  <si>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</si>
  <si>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</si>
  <si>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</si>
  <si>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</si>
  <si>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</si>
  <si>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</si>
  <si>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</si>
  <si>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</si>
  <si>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</si>
  <si>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</si>
  <si>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</si>
  <si>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</si>
  <si>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</si>
  <si>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</si>
  <si>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</si>
  <si>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</si>
  <si>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</si>
  <si>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</si>
  <si>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</si>
  <si>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</si>
  <si>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</si>
  <si>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</si>
  <si>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</si>
  <si>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</si>
  <si>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</si>
  <si>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</si>
  <si>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</si>
  <si>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</si>
  <si>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</si>
  <si>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</si>
  <si>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</si>
  <si>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</si>
  <si>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</si>
  <si>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</si>
  <si>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</si>
  <si>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</si>
  <si>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</si>
  <si>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</si>
  <si>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</si>
  <si>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</si>
  <si>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</si>
  <si>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</si>
  <si>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</si>
  <si>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</si>
  <si>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</si>
  <si>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</si>
  <si>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</si>
  <si>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</si>
  <si>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</si>
  <si>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</si>
  <si>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</si>
  <si>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</si>
  <si>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</si>
  <si>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</si>
  <si>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</si>
  <si>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</si>
  <si>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</si>
  <si>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</si>
  <si>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</si>
  <si>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</si>
  <si>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</si>
  <si>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</si>
  <si>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</si>
  <si>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</si>
  <si>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</si>
  <si>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</si>
  <si>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</si>
  <si>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</si>
  <si>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</si>
  <si>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</si>
  <si>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</si>
  <si>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</si>
  <si>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</si>
  <si>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</si>
  <si>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</si>
  <si>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</si>
  <si>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</si>
  <si>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</si>
  <si>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</si>
  <si>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</si>
  <si>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</si>
  <si>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</si>
  <si>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</si>
  <si>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</si>
  <si>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</si>
  <si>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</si>
  <si>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</si>
  <si>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</si>
  <si>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</si>
  <si>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</si>
  <si>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</si>
  <si>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</si>
  <si>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</si>
  <si>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</si>
  <si>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</si>
  <si>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</si>
  <si>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</si>
  <si>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</si>
  <si>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</si>
  <si>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</si>
  <si>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</si>
  <si>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</si>
  <si>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</si>
  <si>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</si>
  <si>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</si>
  <si>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</si>
  <si>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</si>
  <si>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</si>
  <si>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</si>
  <si>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</si>
  <si>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</si>
  <si>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</si>
  <si>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</si>
  <si>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</si>
  <si>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</si>
  <si>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</si>
  <si>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</si>
  <si>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</si>
  <si>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</si>
  <si>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</si>
  <si>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</si>
  <si>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</si>
  <si>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</si>
  <si>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</si>
  <si>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</si>
  <si>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</si>
  <si>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</si>
  <si>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</si>
  <si>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</si>
  <si>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</si>
  <si>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</si>
  <si>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</si>
  <si>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</si>
  <si>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</si>
  <si>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</si>
  <si>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</si>
  <si>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</si>
  <si>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</si>
  <si>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</si>
  <si>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</si>
  <si>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</si>
  <si>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</si>
  <si>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</si>
  <si>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</si>
  <si>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</si>
  <si>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</si>
  <si>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</si>
  <si>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</si>
  <si>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</si>
  <si>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</si>
  <si>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</si>
  <si>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</si>
  <si>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</si>
  <si>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</si>
  <si>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</si>
  <si>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</si>
  <si>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</si>
  <si>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</si>
  <si>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</si>
  <si>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</si>
  <si>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</si>
  <si>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</si>
  <si>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</si>
  <si>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</si>
  <si>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</si>
  <si>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</si>
  <si>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</si>
  <si>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</si>
  <si>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</si>
  <si>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</si>
  <si>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</si>
  <si>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</si>
  <si>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</si>
  <si>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</si>
  <si>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</si>
  <si>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</si>
  <si>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</si>
  <si>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</si>
  <si>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</si>
  <si>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</si>
  <si>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</si>
  <si>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</si>
  <si>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</si>
  <si>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</si>
  <si>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</si>
  <si>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</si>
  <si>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</si>
  <si>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</si>
  <si>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</si>
  <si>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</si>
  <si>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</si>
  <si>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</si>
  <si>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</si>
  <si>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</si>
  <si>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</si>
  <si>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</si>
  <si>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</si>
  <si>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</si>
  <si>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</si>
  <si>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</si>
  <si>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</si>
  <si>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</si>
  <si>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</si>
  <si>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</si>
  <si>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</si>
  <si>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</si>
  <si>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</si>
  <si>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</si>
  <si>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</si>
  <si>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</si>
  <si>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</si>
  <si>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</si>
  <si>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</si>
  <si>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</si>
  <si>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</si>
  <si>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</si>
  <si>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</si>
  <si>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</si>
  <si>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</si>
  <si>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</si>
  <si>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</si>
  <si>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</si>
  <si>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</si>
  <si>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</si>
  <si>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</si>
  <si>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</si>
  <si>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</si>
  <si>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</si>
  <si>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</si>
  <si>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</si>
  <si>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</si>
  <si>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</si>
  <si>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</si>
  <si>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</si>
  <si>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</si>
  <si>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</si>
  <si>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</si>
  <si>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</si>
  <si>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</si>
  <si>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</si>
  <si>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</si>
  <si>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</si>
  <si>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</si>
  <si>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</si>
  <si>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</si>
  <si>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</si>
  <si>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</si>
  <si>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</si>
  <si>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</si>
  <si>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</si>
  <si>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</si>
  <si>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</si>
  <si>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</si>
  <si>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</si>
  <si>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</si>
  <si>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</si>
  <si>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</si>
  <si>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</si>
  <si>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</si>
  <si>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</si>
  <si>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</si>
  <si>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</si>
  <si>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</si>
  <si>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</si>
  <si>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</si>
  <si>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</si>
  <si>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</si>
  <si>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</si>
  <si>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</si>
  <si>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</si>
  <si>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</si>
  <si>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</si>
  <si>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</si>
  <si>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</si>
  <si>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</si>
  <si>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</si>
  <si>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</si>
  <si>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</si>
  <si>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</si>
  <si>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</si>
  <si>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</si>
  <si>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</si>
  <si>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</si>
  <si>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</si>
  <si>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</si>
  <si>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</si>
  <si>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</si>
  <si>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</si>
  <si>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</si>
  <si>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</si>
  <si>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</si>
  <si>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</si>
  <si>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</si>
  <si>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</si>
  <si>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</si>
  <si>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</si>
  <si>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</si>
  <si>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</si>
  <si>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</si>
  <si>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</si>
  <si>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</si>
  <si>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</si>
  <si>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</si>
  <si>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</si>
  <si>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</si>
  <si>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</si>
  <si>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</si>
  <si>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</si>
  <si>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</si>
  <si>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</si>
  <si>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</si>
  <si>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</si>
  <si>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</si>
  <si>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</si>
  <si>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</si>
  <si>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</si>
  <si>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</si>
  <si>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</si>
  <si>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</si>
  <si>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</si>
  <si>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</si>
  <si>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</si>
  <si>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</si>
  <si>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</si>
  <si>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</si>
  <si>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</si>
  <si>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</si>
  <si>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</si>
  <si>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</si>
  <si>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</si>
  <si>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</si>
  <si>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</si>
  <si>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</si>
  <si>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</si>
  <si>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</si>
  <si>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</si>
  <si>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</si>
  <si>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</si>
  <si>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</si>
  <si>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</si>
  <si>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</si>
  <si>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</si>
  <si>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</si>
  <si>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</si>
  <si>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</si>
  <si>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</si>
  <si>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</si>
  <si>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</si>
  <si>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</si>
  <si>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</si>
  <si>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</si>
  <si>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</si>
  <si>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</si>
  <si>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</si>
  <si>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</si>
  <si>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</si>
  <si>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</si>
  <si>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</si>
  <si>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</si>
  <si>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</si>
  <si>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</si>
  <si>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</si>
  <si>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</si>
  <si>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</si>
  <si>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</si>
  <si>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</si>
  <si>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</si>
  <si>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</si>
  <si>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</si>
  <si>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</si>
  <si>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</si>
  <si>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</si>
  <si>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</si>
  <si>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</si>
  <si>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</si>
  <si>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</si>
  <si>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</si>
  <si>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</si>
  <si>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</si>
  <si>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</si>
  <si>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</si>
  <si>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</si>
  <si>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</si>
  <si>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</si>
  <si>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</si>
  <si>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</si>
  <si>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</si>
  <si>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</si>
  <si>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</si>
  <si>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</si>
  <si>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</si>
  <si>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</si>
  <si>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</si>
  <si>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</si>
  <si>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</si>
  <si>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</si>
  <si>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</si>
  <si>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</si>
  <si>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</si>
  <si>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</si>
  <si>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</si>
  <si>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</si>
  <si>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</si>
  <si>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</si>
  <si>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</si>
  <si>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</si>
  <si>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</si>
  <si>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</si>
  <si>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</si>
  <si>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</si>
  <si>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</si>
  <si>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</si>
  <si>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</si>
  <si>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</si>
  <si>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</si>
  <si>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</si>
  <si>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</si>
  <si>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</si>
  <si>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</si>
  <si>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</si>
  <si>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</si>
  <si>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</si>
  <si>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</si>
  <si>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</si>
  <si>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</si>
  <si>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</si>
  <si>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</si>
  <si>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</si>
  <si>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</si>
  <si>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</si>
  <si>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</si>
  <si>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</si>
  <si>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</si>
  <si>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</si>
  <si>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</si>
  <si>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</si>
  <si>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</si>
  <si>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</si>
  <si>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</si>
  <si>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</si>
  <si>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</si>
  <si>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</si>
  <si>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</si>
  <si>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</si>
  <si>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</si>
  <si>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</si>
  <si>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</si>
  <si>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</si>
  <si>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</si>
  <si>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</si>
  <si>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</si>
  <si>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</si>
  <si>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</si>
  <si>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</si>
  <si>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</si>
  <si>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</si>
  <si>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</si>
  <si>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</si>
  <si>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</si>
  <si>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</si>
  <si>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</si>
  <si>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</si>
  <si>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</si>
  <si>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</si>
  <si>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</si>
  <si>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</si>
  <si>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</si>
  <si>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</si>
  <si>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</si>
  <si>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</si>
  <si>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</si>
  <si>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</si>
  <si>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</si>
  <si>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</si>
  <si>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</si>
  <si>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</si>
  <si>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</si>
  <si>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</si>
  <si>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</si>
  <si>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</si>
  <si>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</si>
  <si>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</si>
  <si>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</si>
  <si>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</si>
  <si>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</si>
  <si>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</si>
  <si>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</si>
  <si>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</si>
  <si>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</si>
  <si>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</si>
  <si>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</si>
  <si>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</si>
  <si>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</si>
  <si>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</si>
  <si>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</si>
  <si>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</si>
  <si>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</si>
  <si>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</si>
  <si>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</si>
  <si>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</si>
  <si>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</si>
  <si>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</si>
  <si>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</si>
  <si>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</si>
  <si>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</si>
  <si>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</si>
  <si>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</si>
  <si>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</si>
  <si>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</si>
  <si>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</si>
  <si>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</si>
  <si>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</si>
  <si>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</si>
  <si>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</si>
  <si>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</si>
  <si>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</si>
  <si>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</si>
  <si>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</si>
  <si>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</si>
  <si>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</si>
  <si>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</si>
  <si>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</si>
  <si>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</si>
  <si>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</si>
  <si>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</si>
  <si>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</si>
  <si>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</si>
  <si>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</si>
  <si>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</si>
  <si>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</si>
  <si>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</si>
  <si>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</si>
  <si>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</si>
  <si>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</si>
  <si>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</si>
  <si>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</si>
  <si>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</si>
  <si>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</si>
  <si>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</si>
  <si>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</si>
  <si>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</si>
  <si>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</si>
  <si>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</si>
  <si>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</si>
  <si>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</si>
  <si>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</si>
  <si>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</si>
  <si>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</si>
  <si>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</si>
  <si>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</si>
  <si>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</si>
  <si>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</si>
  <si>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</si>
  <si>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</si>
  <si>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</si>
  <si>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</si>
  <si>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</si>
  <si>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</si>
  <si>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</si>
  <si>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</si>
  <si>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</si>
  <si>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</si>
  <si>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</si>
  <si>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</si>
  <si>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</si>
  <si>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</si>
  <si>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</si>
  <si>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</si>
  <si>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</si>
  <si>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</si>
  <si>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</si>
  <si>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</si>
  <si>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</si>
  <si>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</si>
  <si>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</si>
  <si>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</si>
  <si>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</si>
  <si>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</si>
  <si>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</si>
  <si>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</si>
  <si>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</si>
  <si>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</si>
  <si>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</si>
  <si>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</si>
  <si>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</si>
  <si>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</si>
  <si>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</si>
  <si>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</si>
  <si>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</si>
  <si>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</si>
  <si>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</si>
  <si>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</si>
  <si>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</si>
  <si>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</si>
  <si>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</si>
  <si>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</si>
  <si>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</si>
  <si>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</si>
  <si>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</si>
  <si>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</si>
  <si>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</si>
  <si>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</si>
  <si>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</si>
  <si>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</si>
  <si>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</si>
  <si>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</si>
  <si>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</si>
  <si>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</si>
  <si>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</si>
  <si>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</si>
  <si>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</si>
  <si>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</si>
  <si>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</si>
  <si>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</si>
  <si>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</si>
  <si>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</si>
  <si>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</si>
  <si>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</si>
  <si>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</si>
  <si>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</si>
  <si>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</si>
  <si>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</si>
  <si>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</si>
  <si>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</si>
  <si>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</si>
  <si>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</si>
  <si>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</si>
  <si>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</si>
  <si>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</si>
  <si>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</si>
  <si>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</si>
  <si>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</si>
  <si>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</si>
  <si>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</si>
  <si>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</si>
  <si>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</si>
  <si>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</si>
  <si>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</si>
  <si>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</si>
  <si>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</si>
  <si>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</si>
  <si>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</si>
  <si>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</si>
  <si>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</si>
  <si>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</si>
  <si>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</si>
  <si>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</si>
  <si>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</si>
  <si>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</si>
  <si>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</si>
  <si>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</si>
  <si>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</si>
  <si>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</si>
  <si>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</si>
  <si>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</si>
  <si>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</si>
  <si>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</si>
  <si>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</si>
  <si>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</si>
  <si>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</si>
  <si>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</si>
  <si>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</si>
  <si>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</si>
  <si>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</si>
  <si>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</si>
  <si>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</si>
  <si>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</si>
  <si>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</si>
  <si>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</si>
  <si>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</si>
  <si>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</si>
  <si>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</si>
  <si>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</si>
  <si>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</si>
  <si>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</si>
  <si>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</si>
  <si>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</si>
  <si>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</si>
  <si>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</si>
  <si>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</si>
  <si>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</si>
  <si>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</si>
  <si>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</si>
  <si>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</si>
  <si>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</si>
  <si>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</si>
  <si>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</si>
  <si>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</si>
  <si>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</si>
  <si>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</si>
  <si>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</si>
  <si>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</si>
  <si>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</si>
  <si>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</si>
  <si>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</si>
  <si>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</si>
  <si>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</si>
  <si>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</si>
  <si>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</si>
  <si>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</si>
  <si>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</si>
  <si>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</si>
  <si>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</si>
  <si>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</si>
  <si>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</si>
  <si>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</si>
  <si>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</si>
  <si>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</si>
  <si>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</si>
  <si>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</si>
  <si>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</si>
  <si>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</si>
  <si>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</si>
  <si>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</si>
  <si>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</si>
  <si>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</si>
  <si>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</si>
  <si>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</si>
  <si>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</si>
  <si>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</si>
  <si>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</si>
  <si>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</si>
  <si>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</si>
  <si>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</si>
  <si>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</si>
  <si>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</si>
  <si>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</si>
  <si>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</si>
  <si>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</si>
  <si>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</si>
  <si>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</si>
  <si>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</si>
  <si>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</si>
  <si>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</si>
  <si>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</si>
  <si>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</si>
  <si>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</si>
  <si>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</si>
  <si>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</si>
  <si>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</si>
  <si>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</si>
  <si>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</si>
  <si>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</si>
  <si>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</si>
  <si>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</si>
  <si>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</si>
  <si>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</si>
  <si>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</si>
  <si>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</si>
  <si>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</si>
  <si>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</si>
  <si>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</si>
  <si>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</si>
  <si>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</si>
  <si>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</si>
  <si>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</si>
  <si>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</si>
  <si>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</si>
  <si>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</si>
  <si>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</si>
  <si>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</si>
  <si>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</si>
  <si>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</si>
  <si>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</si>
  <si>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</si>
  <si>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</si>
  <si>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</si>
  <si>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</si>
  <si>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</si>
  <si>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</si>
  <si>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</si>
  <si>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</si>
  <si>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</si>
  <si>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</si>
  <si>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</si>
  <si>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</si>
  <si>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</si>
  <si>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</si>
  <si>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</si>
  <si>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</si>
  <si>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</si>
  <si>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</si>
  <si>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</si>
  <si>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</si>
  <si>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</si>
  <si>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</si>
  <si>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</si>
  <si>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</si>
  <si>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</si>
  <si>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</si>
  <si>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</si>
  <si>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</si>
  <si>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</si>
  <si>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</si>
  <si>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</si>
  <si>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</si>
  <si>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</si>
  <si>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</si>
  <si>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</si>
  <si>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</si>
  <si>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</si>
  <si>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</si>
  <si>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</si>
  <si>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</si>
  <si>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</si>
  <si>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</si>
  <si>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</si>
  <si>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</si>
  <si>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</si>
  <si>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</si>
  <si>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</si>
  <si>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</si>
  <si>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</si>
  <si>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</si>
  <si>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</si>
  <si>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</si>
  <si>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</si>
  <si>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</si>
  <si>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</si>
  <si>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</si>
  <si>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</si>
  <si>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</si>
  <si>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</si>
  <si>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</si>
  <si>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</si>
  <si>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</si>
  <si>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</si>
  <si>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</si>
  <si>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</si>
  <si>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</si>
  <si>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</si>
  <si>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</si>
  <si>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</si>
  <si>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</si>
  <si>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</si>
  <si>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</si>
  <si>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</si>
  <si>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</si>
  <si>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</si>
  <si>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</si>
  <si>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</si>
  <si>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</si>
  <si>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</si>
  <si>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</si>
  <si>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</si>
  <si>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</si>
  <si>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</si>
  <si>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</si>
  <si>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</si>
  <si>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</si>
  <si>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</si>
  <si>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</si>
  <si>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</si>
  <si>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</si>
  <si>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</si>
  <si>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</si>
  <si>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</si>
  <si>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</si>
  <si>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</si>
  <si>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</si>
  <si>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</si>
  <si>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</si>
  <si>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</si>
  <si>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</si>
  <si>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</si>
  <si>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</si>
  <si>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</si>
  <si>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</si>
  <si>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</si>
  <si>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</si>
  <si>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</si>
  <si>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</si>
  <si>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</si>
  <si>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</si>
  <si>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</si>
  <si>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</si>
  <si>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</si>
  <si>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</si>
  <si>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</si>
  <si>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</si>
  <si>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</si>
  <si>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</si>
  <si>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</si>
  <si>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</si>
  <si>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</si>
  <si>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</si>
  <si>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</si>
  <si>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</si>
  <si>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</si>
  <si>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</si>
  <si>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</si>
  <si>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</si>
  <si>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</si>
  <si>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</si>
  <si>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</si>
  <si>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</si>
  <si>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</si>
  <si>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</si>
  <si>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</si>
  <si>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</si>
  <si>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</si>
  <si>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</si>
  <si>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</si>
  <si>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</si>
  <si>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</si>
  <si>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</si>
  <si>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</si>
  <si>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</si>
  <si>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</si>
  <si>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</si>
  <si>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</si>
  <si>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</si>
  <si>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</si>
  <si>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</si>
  <si>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</si>
  <si>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</si>
  <si>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</si>
  <si>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</si>
  <si>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</si>
  <si>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</si>
  <si>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</si>
  <si>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</si>
  <si>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</si>
  <si>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</si>
  <si>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</si>
  <si>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</si>
  <si>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</si>
  <si>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</si>
  <si>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</si>
  <si>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</si>
  <si>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</si>
  <si>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</si>
  <si>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</si>
  <si>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</si>
  <si>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</si>
  <si>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</si>
  <si>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</si>
  <si>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</si>
  <si>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</si>
  <si>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</si>
  <si>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</si>
  <si>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</si>
  <si>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</si>
  <si>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</si>
  <si>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</si>
  <si>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</si>
  <si>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</si>
  <si>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</si>
  <si>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</si>
  <si>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</si>
  <si>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</si>
  <si>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</si>
  <si>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</si>
  <si>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</si>
  <si>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</si>
  <si>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</si>
  <si>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</si>
  <si>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</si>
  <si>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</si>
  <si>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</si>
  <si>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</si>
  <si>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</si>
  <si>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</si>
  <si>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</si>
  <si>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</si>
  <si>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</si>
  <si>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</si>
  <si>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</si>
  <si>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</si>
  <si>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</si>
  <si>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</si>
  <si>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</si>
  <si>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</si>
  <si>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</si>
  <si>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</si>
  <si>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</si>
  <si>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</si>
  <si>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</si>
  <si>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</si>
  <si>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</si>
  <si>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</si>
  <si>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</si>
  <si>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</si>
  <si>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</si>
  <si>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</si>
  <si>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</si>
  <si>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</si>
  <si>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</si>
  <si>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</si>
  <si>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</si>
  <si>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</si>
  <si>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</si>
  <si>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</si>
  <si>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</si>
  <si>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</si>
  <si>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</si>
  <si>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</si>
  <si>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</si>
  <si>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</si>
  <si>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</si>
  <si>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</si>
  <si>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</si>
  <si>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</si>
  <si>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</si>
  <si>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</si>
  <si>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</si>
  <si>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</si>
  <si>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</si>
  <si>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</si>
  <si>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</si>
  <si>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</si>
  <si>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</si>
  <si>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</si>
  <si>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</si>
  <si>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</si>
  <si>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</si>
  <si>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</si>
  <si>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</si>
  <si>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</si>
  <si>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</si>
  <si>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</si>
  <si>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</si>
  <si>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</si>
  <si>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</si>
  <si>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</si>
  <si>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</si>
  <si>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</si>
  <si>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</si>
  <si>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</si>
  <si>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</si>
  <si>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</si>
  <si>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</si>
  <si>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</si>
  <si>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</si>
  <si>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</si>
  <si>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</si>
  <si>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</si>
  <si>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</si>
  <si>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</si>
  <si>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</si>
  <si>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</si>
  <si>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</si>
  <si>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</si>
  <si>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</si>
  <si>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</si>
  <si>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</si>
  <si>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</si>
  <si>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</si>
  <si>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</si>
  <si>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</si>
  <si>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</si>
  <si>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</si>
  <si>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</si>
  <si>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</si>
  <si>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</si>
  <si>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</si>
  <si>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</si>
  <si>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</si>
  <si>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</si>
  <si>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</si>
  <si>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</si>
  <si>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</si>
  <si>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</si>
  <si>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</si>
  <si>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</si>
  <si>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</si>
  <si>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</si>
  <si>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</si>
  <si>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</si>
  <si>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</si>
  <si>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</si>
  <si>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</si>
  <si>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</si>
  <si>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</si>
  <si>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</si>
  <si>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</si>
  <si>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</si>
  <si>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</si>
  <si>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</si>
  <si>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</si>
  <si>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</si>
  <si>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</si>
  <si>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</si>
  <si>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</si>
  <si>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</si>
  <si>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</si>
  <si>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</si>
  <si>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</si>
  <si>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</si>
  <si>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</si>
  <si>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</si>
  <si>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</si>
  <si>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</si>
  <si>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</si>
  <si>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</si>
  <si>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</si>
  <si>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</si>
  <si>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</si>
  <si>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</si>
  <si>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</si>
  <si>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</si>
  <si>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</si>
  <si>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</si>
  <si>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</si>
  <si>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</si>
  <si>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</si>
  <si>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</si>
  <si>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</si>
  <si>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</si>
  <si>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</si>
  <si>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</si>
  <si>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</si>
  <si>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</si>
  <si>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</si>
  <si>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</si>
  <si>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</si>
  <si>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</si>
  <si>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</si>
  <si>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</si>
  <si>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</si>
  <si>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</si>
  <si>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</si>
  <si>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</si>
  <si>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</si>
  <si>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</si>
  <si>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</si>
  <si>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</si>
  <si>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</si>
  <si>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</si>
  <si>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</si>
  <si>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</si>
  <si>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</si>
  <si>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</si>
  <si>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</si>
  <si>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</si>
  <si>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</si>
  <si>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</si>
  <si>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</si>
  <si>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</si>
  <si>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</si>
  <si>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</si>
  <si>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</si>
  <si>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</si>
  <si>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</si>
  <si>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</si>
  <si>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</si>
  <si>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</si>
  <si>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</si>
  <si>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</si>
  <si>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</si>
  <si>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</si>
  <si>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</si>
  <si>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</si>
  <si>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</si>
  <si>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</si>
  <si>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</si>
  <si>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</si>
  <si>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</si>
  <si>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</si>
  <si>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</si>
  <si>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</si>
  <si>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</si>
  <si>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</si>
  <si>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</si>
  <si>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</si>
  <si>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</si>
  <si>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</si>
  <si>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</si>
  <si>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</si>
  <si>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</si>
  <si>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</si>
  <si>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</si>
  <si>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</si>
  <si>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</si>
  <si>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</si>
  <si>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</si>
  <si>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</si>
  <si>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</si>
  <si>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</si>
  <si>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</si>
  <si>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</si>
  <si>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</si>
  <si>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</si>
  <si>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</si>
  <si>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</si>
  <si>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</si>
  <si>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</si>
  <si>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</si>
  <si>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</si>
  <si>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</si>
  <si>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</si>
  <si>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</si>
  <si>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</si>
  <si>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</si>
  <si>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</si>
  <si>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</si>
  <si>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</si>
  <si>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</si>
  <si>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</si>
  <si>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</si>
  <si>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</si>
  <si>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</si>
  <si>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</si>
  <si>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</si>
  <si>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</si>
  <si>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</si>
  <si>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</si>
  <si>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</si>
  <si>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</si>
  <si>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</si>
  <si>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</si>
  <si>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</si>
  <si>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</si>
  <si>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</si>
  <si>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</si>
  <si>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</si>
  <si>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</si>
  <si>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</si>
  <si>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</si>
  <si>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</si>
  <si>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</si>
  <si>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</si>
  <si>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</si>
  <si>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</si>
  <si>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</si>
  <si>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</si>
  <si>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</si>
  <si>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</si>
  <si>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</si>
  <si>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</si>
  <si>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</si>
  <si>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</si>
  <si>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</si>
  <si>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</si>
  <si>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</si>
  <si>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</si>
  <si>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</si>
  <si>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</si>
  <si>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</si>
  <si>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</si>
  <si>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</si>
  <si>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</si>
  <si>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</si>
  <si>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</si>
  <si>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</si>
  <si>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</si>
  <si>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</si>
  <si>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</si>
  <si>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</si>
  <si>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</si>
  <si>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</si>
  <si>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</si>
  <si>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</si>
  <si>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</si>
  <si>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</si>
  <si>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</si>
  <si>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</si>
  <si>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</si>
  <si>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</si>
  <si>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</si>
  <si>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</si>
  <si>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</si>
  <si>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</si>
  <si>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</si>
  <si>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</si>
  <si>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</si>
  <si>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</si>
  <si>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</si>
  <si>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</si>
  <si>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</si>
  <si>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</si>
  <si>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</si>
  <si>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</si>
  <si>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</si>
  <si>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</si>
  <si>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</si>
  <si>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</si>
  <si>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</si>
  <si>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</si>
  <si>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</si>
  <si>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</si>
  <si>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</si>
  <si>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</si>
  <si>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</si>
  <si>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</si>
  <si>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</si>
  <si>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</si>
  <si>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</si>
  <si>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</si>
  <si>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</si>
  <si>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</si>
  <si>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</si>
  <si>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</si>
  <si>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</si>
  <si>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</si>
  <si>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</si>
  <si>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</si>
  <si>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</si>
  <si>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</si>
  <si>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</si>
  <si>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</si>
  <si>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</si>
  <si>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</si>
  <si>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</si>
  <si>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</si>
  <si>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</si>
  <si>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</si>
  <si>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</si>
  <si>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</si>
  <si>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</si>
  <si>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</si>
  <si>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</si>
  <si>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</si>
  <si>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</si>
  <si>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</si>
  <si>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</si>
  <si>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</si>
  <si>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</si>
  <si>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</si>
  <si>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</si>
  <si>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</si>
  <si>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</si>
  <si>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</si>
  <si>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</si>
  <si>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</si>
  <si>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</si>
  <si>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</si>
  <si>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</si>
  <si>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</si>
  <si>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</si>
  <si>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</si>
  <si>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</si>
  <si>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</si>
  <si>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</si>
  <si>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</si>
  <si>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</si>
  <si>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</si>
  <si>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</si>
  <si>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</si>
  <si>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</si>
  <si>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</si>
  <si>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</si>
  <si>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</si>
  <si>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</si>
  <si>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</si>
  <si>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</si>
  <si>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</si>
  <si>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</si>
  <si>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</si>
  <si>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</si>
  <si>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</si>
  <si>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</si>
  <si>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</si>
  <si>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</si>
  <si>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</si>
  <si>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</si>
  <si>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</si>
  <si>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</si>
  <si>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</si>
  <si>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</si>
  <si>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</si>
  <si>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</si>
  <si>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</si>
  <si>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</si>
  <si>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</si>
  <si>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</si>
  <si>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</si>
  <si>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</si>
  <si>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</si>
  <si>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</si>
  <si>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</si>
  <si>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</si>
  <si>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</si>
  <si>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</si>
  <si>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</si>
  <si>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</si>
  <si>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</si>
  <si>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</si>
  <si>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</si>
  <si>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</si>
  <si>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</si>
  <si>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</si>
  <si>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</si>
  <si>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</si>
  <si>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</si>
  <si>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</si>
  <si>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</si>
  <si>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</si>
  <si>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</si>
  <si>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</si>
  <si>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</si>
  <si>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</si>
  <si>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</si>
  <si>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</si>
  <si>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</si>
  <si>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</si>
  <si>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</si>
  <si>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</si>
  <si>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</si>
  <si>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</si>
  <si>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</si>
  <si>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</si>
  <si>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</si>
  <si>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</si>
  <si>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</si>
  <si>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</si>
  <si>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</si>
  <si>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</si>
  <si>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</si>
  <si>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</si>
  <si>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</si>
  <si>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</si>
  <si>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</si>
  <si>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</si>
  <si>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</si>
  <si>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</si>
  <si>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</si>
  <si>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</si>
  <si>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</si>
  <si>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</si>
  <si>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</si>
  <si>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</si>
  <si>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</si>
  <si>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</si>
  <si>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</si>
  <si>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</si>
  <si>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</si>
  <si>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</si>
  <si>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</si>
  <si>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</si>
  <si>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</si>
  <si>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</si>
  <si>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</si>
  <si>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</si>
  <si>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</si>
  <si>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</si>
  <si>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</si>
  <si>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</si>
  <si>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</si>
  <si>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</si>
  <si>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</si>
  <si>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</si>
  <si>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</si>
  <si>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</si>
  <si>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</si>
  <si>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</si>
  <si>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</si>
  <si>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</si>
  <si>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</si>
  <si>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</si>
  <si>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</si>
  <si>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</si>
  <si>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</si>
  <si>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</si>
  <si>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</si>
  <si>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</si>
  <si>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</si>
  <si>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</si>
  <si>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</si>
  <si>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</si>
  <si>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</si>
  <si>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</si>
  <si>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</si>
  <si>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</si>
  <si>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</si>
  <si>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</si>
  <si>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</si>
  <si>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</si>
  <si>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</si>
  <si>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</si>
  <si>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</si>
  <si>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</si>
  <si>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</si>
  <si>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</si>
  <si>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</si>
  <si>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</si>
  <si>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</si>
  <si>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</si>
  <si>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</si>
  <si>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</si>
  <si>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</si>
  <si>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</si>
  <si>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</si>
  <si>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</si>
  <si>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</si>
  <si>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</si>
  <si>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</si>
  <si>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</si>
  <si>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</si>
  <si>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</si>
  <si>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</si>
  <si>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</si>
  <si>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</si>
  <si>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</si>
  <si>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</si>
  <si>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</si>
  <si>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</si>
  <si>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</si>
  <si>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</si>
  <si>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</si>
  <si>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</si>
  <si>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</si>
  <si>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</si>
  <si>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</si>
  <si>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</si>
  <si>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</si>
  <si>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</si>
  <si>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</si>
  <si>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</si>
  <si>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</si>
  <si>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</si>
  <si>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</si>
  <si>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</si>
  <si>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</si>
  <si>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</si>
  <si>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</si>
  <si>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</si>
  <si>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</si>
  <si>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</si>
  <si>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</si>
  <si>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</si>
  <si>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</si>
  <si>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</si>
  <si>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</si>
  <si>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</si>
  <si>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</si>
  <si>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</si>
  <si>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</si>
  <si>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</si>
  <si>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</si>
  <si>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</si>
  <si>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</si>
  <si>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</si>
  <si>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</si>
  <si>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</si>
  <si>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</si>
  <si>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</si>
  <si>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</si>
  <si>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</si>
  <si>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</si>
  <si>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</si>
  <si>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</si>
  <si>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</si>
  <si>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</si>
  <si>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</si>
  <si>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</si>
  <si>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</si>
  <si>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</si>
  <si>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</si>
  <si>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</si>
  <si>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</si>
  <si>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</si>
  <si>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</si>
  <si>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</si>
  <si>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</si>
  <si>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</si>
  <si>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</si>
  <si>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</si>
  <si>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</si>
  <si>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</si>
  <si>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</si>
  <si>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</si>
  <si>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</si>
  <si>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</si>
  <si>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</si>
  <si>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</si>
  <si>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</si>
  <si>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</si>
  <si>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</si>
  <si>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</si>
  <si>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</si>
  <si>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</si>
  <si>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</si>
  <si>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</si>
  <si>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</si>
  <si>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</si>
  <si>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</si>
  <si>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</si>
  <si>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</si>
  <si>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</si>
  <si>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</si>
  <si>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</si>
  <si>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</si>
  <si>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</si>
  <si>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</si>
  <si>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</si>
  <si>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</si>
  <si>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</si>
  <si>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</si>
  <si>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</si>
  <si>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</si>
  <si>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</si>
  <si>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</si>
  <si>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</si>
  <si>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</si>
  <si>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</si>
  <si>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</si>
  <si>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</si>
  <si>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</si>
  <si>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</si>
  <si>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</si>
  <si>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</si>
  <si>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</si>
  <si>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</si>
  <si>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</si>
  <si>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</si>
  <si>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</si>
  <si>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</si>
  <si>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</si>
  <si>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</si>
  <si>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</si>
  <si>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</si>
  <si>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</si>
  <si>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</si>
  <si>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</si>
  <si>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</si>
  <si>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</si>
  <si>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</si>
  <si>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</si>
  <si>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</si>
  <si>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</si>
  <si>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</si>
  <si>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</si>
  <si>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</si>
  <si>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</si>
  <si>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</si>
  <si>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</si>
  <si>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</si>
  <si>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</si>
  <si>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</si>
  <si>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</si>
  <si>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</si>
  <si>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</si>
  <si>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</si>
  <si>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</si>
  <si>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</si>
  <si>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</si>
  <si>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</si>
  <si>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</si>
  <si>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</si>
  <si>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</si>
  <si>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</si>
  <si>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</si>
  <si>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</si>
  <si>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</si>
  <si>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</si>
  <si>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</si>
  <si>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</si>
  <si>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</si>
  <si>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</si>
  <si>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</si>
  <si>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</si>
  <si>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</si>
  <si>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</si>
  <si>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</si>
  <si>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</si>
  <si>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</si>
  <si>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</si>
  <si>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</si>
  <si>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</si>
  <si>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</si>
  <si>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</si>
  <si>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</si>
  <si>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</si>
  <si>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</si>
  <si>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</si>
  <si>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</si>
  <si>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</si>
  <si>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</si>
  <si>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</si>
  <si>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</si>
  <si>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</si>
  <si>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</si>
  <si>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</si>
  <si>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</si>
  <si>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</si>
  <si>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</si>
  <si>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</si>
  <si>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</si>
  <si>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</si>
  <si>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</si>
  <si>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</si>
  <si>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</si>
  <si>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</si>
  <si>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</si>
  <si>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</si>
  <si>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</si>
  <si>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</si>
  <si>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</si>
  <si>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</si>
  <si>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</si>
  <si>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</si>
  <si>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</si>
  <si>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</si>
  <si>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</si>
  <si>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</si>
  <si>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</si>
  <si>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</si>
  <si>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</si>
  <si>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</si>
  <si>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</si>
  <si>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</si>
  <si>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</si>
  <si>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</si>
  <si>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</si>
  <si>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</si>
  <si>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</si>
  <si>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</si>
  <si>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</si>
  <si>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</si>
  <si>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</si>
  <si>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</si>
  <si>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</si>
  <si>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</si>
  <si>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</si>
  <si>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</si>
  <si>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</si>
  <si>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</si>
  <si>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</si>
  <si>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</si>
  <si>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</si>
  <si>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</si>
  <si>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</si>
  <si>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</si>
  <si>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</si>
  <si>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</si>
  <si>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</si>
  <si>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</si>
  <si>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</si>
  <si>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</si>
  <si>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</si>
  <si>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</si>
  <si>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</si>
  <si>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</si>
  <si>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</si>
  <si>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</si>
  <si>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</si>
  <si>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</si>
  <si>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</si>
  <si>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</si>
  <si>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</si>
  <si>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</si>
  <si>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</si>
  <si>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</si>
  <si>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</si>
  <si>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</si>
  <si>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</si>
  <si>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</si>
  <si>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</si>
  <si>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</si>
  <si>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</si>
  <si>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</si>
  <si>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</si>
  <si>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</si>
  <si>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</si>
  <si>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</si>
  <si>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</si>
  <si>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</si>
  <si>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</si>
  <si>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</si>
  <si>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</si>
  <si>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</si>
  <si>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</si>
  <si>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</si>
  <si>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</si>
  <si>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</si>
  <si>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</si>
  <si>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</si>
  <si>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</si>
  <si>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</si>
  <si>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</si>
  <si>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</si>
  <si>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</si>
  <si>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</si>
  <si>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</si>
  <si>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</si>
  <si>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</si>
  <si>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</si>
  <si>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</si>
  <si>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</si>
  <si>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</si>
  <si>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</si>
  <si>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</si>
  <si>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</si>
  <si>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</si>
  <si>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</si>
  <si>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</si>
  <si>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</si>
  <si>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</si>
  <si>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</si>
  <si>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</si>
  <si>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</si>
  <si>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</si>
  <si>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</si>
  <si>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</si>
  <si>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</si>
  <si>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</si>
  <si>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</si>
  <si>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</si>
  <si>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</si>
  <si>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</si>
  <si>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</si>
  <si>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</si>
  <si>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</si>
  <si>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</si>
  <si>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</si>
  <si>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</si>
  <si>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</si>
  <si>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</si>
  <si>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</si>
  <si>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</si>
  <si>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</si>
  <si>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</si>
  <si>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</si>
  <si>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</si>
  <si>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</si>
  <si>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</si>
  <si>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</si>
  <si>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</si>
  <si>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</si>
  <si>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</si>
  <si>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</si>
  <si>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</si>
  <si>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</si>
  <si>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</si>
  <si>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</si>
  <si>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</si>
  <si>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</si>
  <si>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</si>
  <si>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</si>
  <si>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</si>
  <si>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</si>
  <si>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</si>
  <si>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</si>
  <si>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</si>
  <si>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</si>
  <si>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</si>
  <si>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</si>
  <si>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</si>
  <si>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</si>
  <si>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</si>
  <si>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</si>
  <si>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</si>
  <si>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</si>
  <si>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</si>
  <si>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</si>
  <si>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</si>
  <si>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</si>
  <si>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</si>
  <si>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</si>
  <si>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</si>
  <si>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</si>
  <si>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</si>
  <si>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</si>
  <si>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</si>
  <si>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</si>
  <si>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</si>
  <si>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</si>
  <si>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</si>
  <si>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</si>
  <si>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</si>
  <si>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</si>
  <si>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</si>
  <si>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</si>
  <si>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</si>
  <si>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</si>
  <si>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</si>
  <si>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</si>
  <si>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</si>
  <si>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</si>
  <si>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</si>
  <si>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</si>
  <si>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</si>
  <si>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</si>
  <si>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</si>
  <si>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</si>
  <si>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</si>
  <si>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</si>
  <si>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</si>
  <si>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</si>
  <si>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</si>
  <si>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</si>
  <si>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</si>
  <si>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</si>
  <si>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</si>
  <si>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</si>
  <si>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</si>
  <si>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</si>
  <si>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</si>
  <si>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</si>
  <si>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</si>
  <si>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</si>
  <si>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</si>
  <si>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</si>
  <si>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</si>
  <si>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</si>
  <si>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</si>
  <si>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</si>
  <si>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</si>
  <si>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</si>
  <si>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</si>
  <si>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</si>
  <si>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</si>
  <si>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</si>
  <si>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</si>
  <si>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</si>
  <si>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</si>
  <si>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</si>
  <si>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</si>
  <si>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</si>
  <si>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</si>
  <si>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</si>
  <si>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</si>
  <si>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</si>
  <si>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</si>
  <si>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</si>
  <si>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</si>
  <si>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</si>
  <si>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</si>
  <si>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</si>
  <si>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</si>
  <si>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</si>
  <si>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</si>
  <si>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</si>
  <si>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</si>
  <si>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</si>
  <si>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</si>
  <si>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</si>
  <si>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</si>
  <si>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</si>
  <si>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</si>
  <si>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</si>
  <si>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</si>
  <si>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</si>
  <si>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</si>
  <si>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</si>
  <si>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</si>
  <si>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</si>
  <si>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</si>
  <si>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</si>
  <si>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</si>
  <si>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</si>
  <si>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</si>
  <si>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</si>
  <si>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</si>
  <si>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</si>
  <si>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</si>
  <si>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</si>
  <si>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</si>
  <si>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</si>
  <si>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</si>
  <si>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</si>
  <si>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</si>
  <si>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</si>
  <si>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</si>
  <si>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</si>
  <si>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</si>
  <si>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</si>
  <si>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</si>
  <si>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</si>
  <si>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</si>
  <si>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</si>
  <si>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</si>
  <si>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</si>
  <si>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</si>
  <si>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</si>
  <si>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</si>
  <si>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</si>
  <si>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</si>
  <si>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</si>
  <si>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</si>
  <si>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</si>
  <si>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</si>
  <si>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</si>
  <si>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</si>
  <si>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</si>
  <si>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</si>
  <si>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</si>
  <si>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</si>
  <si>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</si>
  <si>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</si>
  <si>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</si>
  <si>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</si>
  <si>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</si>
  <si>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</si>
  <si>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</si>
  <si>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</si>
  <si>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</si>
  <si>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</si>
  <si>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</si>
  <si>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</si>
  <si>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</si>
  <si>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</si>
  <si>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</si>
  <si>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</si>
  <si>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</si>
  <si>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</si>
  <si>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</si>
  <si>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</si>
  <si>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</si>
  <si>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</si>
  <si>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</si>
  <si>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</si>
  <si>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</si>
  <si>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</si>
  <si>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</si>
  <si>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</si>
  <si>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房地产抵押价值</t>
  </si>
  <si>
    <t>抵押</t>
  </si>
  <si>
    <t>中行复估</t>
    <phoneticPr fontId="6" type="noConversion"/>
  </si>
  <si>
    <t>北京市</t>
  </si>
  <si>
    <t>企业</t>
  </si>
  <si>
    <t>不动产权号</t>
    <phoneticPr fontId="134" type="noConversion"/>
  </si>
  <si>
    <t>权利人</t>
    <phoneticPr fontId="134" type="noConversion"/>
  </si>
  <si>
    <t>坐落</t>
    <phoneticPr fontId="134" type="noConversion"/>
  </si>
  <si>
    <t>建筑面积</t>
    <phoneticPr fontId="134" type="noConversion"/>
  </si>
  <si>
    <t>结构</t>
    <phoneticPr fontId="134" type="noConversion"/>
  </si>
  <si>
    <t>总层数</t>
    <phoneticPr fontId="134" type="noConversion"/>
  </si>
  <si>
    <t>所在层</t>
    <phoneticPr fontId="134" type="noConversion"/>
  </si>
  <si>
    <t>竣工时间</t>
    <phoneticPr fontId="134" type="noConversion"/>
  </si>
  <si>
    <r>
      <t>京</t>
    </r>
    <r>
      <rPr>
        <sz val="11"/>
        <color theme="1"/>
        <rFont val="宋体"/>
        <family val="3"/>
        <charset val="134"/>
        <scheme val="minor"/>
      </rPr>
      <t>(</t>
    </r>
    <r>
      <rPr>
        <sz val="11"/>
        <color theme="1"/>
        <rFont val="宋体"/>
        <family val="3"/>
        <charset val="134"/>
        <scheme val="minor"/>
      </rPr>
      <t>2</t>
    </r>
    <r>
      <rPr>
        <sz val="11"/>
        <color theme="1"/>
        <rFont val="宋体"/>
        <family val="3"/>
        <charset val="134"/>
        <scheme val="minor"/>
      </rPr>
      <t>025)朝不动产权第0010829号</t>
    </r>
    <phoneticPr fontId="134" type="noConversion"/>
  </si>
  <si>
    <t>北京久恒钰悦商业运营管理有限公司</t>
    <phoneticPr fontId="134" type="noConversion"/>
  </si>
  <si>
    <r>
      <t>朝阳区天溪园2</t>
    </r>
    <r>
      <rPr>
        <sz val="11"/>
        <color theme="1"/>
        <rFont val="宋体"/>
        <family val="3"/>
        <charset val="134"/>
        <scheme val="minor"/>
      </rPr>
      <t>0号楼1层商业3</t>
    </r>
    <phoneticPr fontId="134" type="noConversion"/>
  </si>
  <si>
    <t>配套商业</t>
    <phoneticPr fontId="134" type="noConversion"/>
  </si>
  <si>
    <t>钢混</t>
  </si>
  <si>
    <t>钢混</t>
    <phoneticPr fontId="134" type="noConversion"/>
  </si>
  <si>
    <r>
      <t>2（</t>
    </r>
    <r>
      <rPr>
        <sz val="11"/>
        <color theme="1"/>
        <rFont val="宋体"/>
        <family val="3"/>
        <charset val="134"/>
        <scheme val="minor"/>
      </rPr>
      <t>-02）</t>
    </r>
    <phoneticPr fontId="134" type="noConversion"/>
  </si>
  <si>
    <t>楼号或幢号</t>
    <phoneticPr fontId="134" type="noConversion"/>
  </si>
  <si>
    <t>20号楼</t>
    <phoneticPr fontId="134" type="noConversion"/>
  </si>
  <si>
    <r>
      <t>京(</t>
    </r>
    <r>
      <rPr>
        <sz val="11"/>
        <color theme="1"/>
        <rFont val="宋体"/>
        <family val="3"/>
        <charset val="134"/>
        <scheme val="minor"/>
      </rPr>
      <t>2</t>
    </r>
    <r>
      <rPr>
        <sz val="11"/>
        <color theme="1"/>
        <rFont val="宋体"/>
        <family val="3"/>
        <charset val="134"/>
        <scheme val="minor"/>
      </rPr>
      <t>025)朝不动产权第0010853号</t>
    </r>
    <phoneticPr fontId="134" type="noConversion"/>
  </si>
  <si>
    <t>朝阳区天溪园20号楼1层商业5</t>
    <phoneticPr fontId="134" type="noConversion"/>
  </si>
  <si>
    <t>房号</t>
    <phoneticPr fontId="134" type="noConversion"/>
  </si>
  <si>
    <t>商业3</t>
  </si>
  <si>
    <t>商业3</t>
    <phoneticPr fontId="134" type="noConversion"/>
  </si>
  <si>
    <t>商业5</t>
    <phoneticPr fontId="134" type="noConversion"/>
  </si>
  <si>
    <r>
      <t>京(</t>
    </r>
    <r>
      <rPr>
        <sz val="11"/>
        <color theme="1"/>
        <rFont val="宋体"/>
        <family val="3"/>
        <charset val="134"/>
        <scheme val="minor"/>
      </rPr>
      <t>2</t>
    </r>
    <r>
      <rPr>
        <sz val="11"/>
        <color theme="1"/>
        <rFont val="宋体"/>
        <family val="3"/>
        <charset val="134"/>
        <scheme val="minor"/>
      </rPr>
      <t>025)朝不动产权第0010427号</t>
    </r>
    <phoneticPr fontId="134" type="noConversion"/>
  </si>
  <si>
    <t>朝阳区天溪园20号楼1层商业4</t>
    <phoneticPr fontId="134" type="noConversion"/>
  </si>
  <si>
    <t>商业4</t>
    <phoneticPr fontId="134" type="noConversion"/>
  </si>
  <si>
    <r>
      <t>京(</t>
    </r>
    <r>
      <rPr>
        <sz val="11"/>
        <color theme="1"/>
        <rFont val="宋体"/>
        <family val="3"/>
        <charset val="134"/>
        <scheme val="minor"/>
      </rPr>
      <t>2</t>
    </r>
    <r>
      <rPr>
        <sz val="11"/>
        <color theme="1"/>
        <rFont val="宋体"/>
        <family val="3"/>
        <charset val="134"/>
        <scheme val="minor"/>
      </rPr>
      <t>025)朝不动产权第0012603号</t>
    </r>
    <phoneticPr fontId="134" type="noConversion"/>
  </si>
  <si>
    <t>朝阳区天溪园20号楼1层商业6</t>
    <phoneticPr fontId="134" type="noConversion"/>
  </si>
  <si>
    <t>商业6</t>
    <phoneticPr fontId="134" type="noConversion"/>
  </si>
  <si>
    <r>
      <t>京(</t>
    </r>
    <r>
      <rPr>
        <sz val="11"/>
        <color theme="1"/>
        <rFont val="宋体"/>
        <family val="3"/>
        <charset val="134"/>
        <scheme val="minor"/>
      </rPr>
      <t>2</t>
    </r>
    <r>
      <rPr>
        <sz val="11"/>
        <color theme="1"/>
        <rFont val="宋体"/>
        <family val="3"/>
        <charset val="134"/>
        <scheme val="minor"/>
      </rPr>
      <t>025)朝不动产权第0010785号</t>
    </r>
    <phoneticPr fontId="134" type="noConversion"/>
  </si>
  <si>
    <t>商业35</t>
    <phoneticPr fontId="134" type="noConversion"/>
  </si>
  <si>
    <r>
      <t>京(</t>
    </r>
    <r>
      <rPr>
        <sz val="11"/>
        <color theme="1"/>
        <rFont val="宋体"/>
        <family val="3"/>
        <charset val="134"/>
        <scheme val="minor"/>
      </rPr>
      <t>2</t>
    </r>
    <r>
      <rPr>
        <sz val="11"/>
        <color theme="1"/>
        <rFont val="宋体"/>
        <family val="3"/>
        <charset val="134"/>
        <scheme val="minor"/>
      </rPr>
      <t>025)朝不动产权第0010796号</t>
    </r>
    <phoneticPr fontId="134" type="noConversion"/>
  </si>
  <si>
    <t>商业42</t>
    <phoneticPr fontId="134" type="noConversion"/>
  </si>
  <si>
    <t>商业45</t>
    <phoneticPr fontId="134" type="noConversion"/>
  </si>
  <si>
    <t>朝阳区天溪园20号楼2层商业35</t>
    <phoneticPr fontId="134" type="noConversion"/>
  </si>
  <si>
    <t>朝阳区天溪园20号楼2层商业42</t>
    <phoneticPr fontId="134" type="noConversion"/>
  </si>
  <si>
    <t>朝阳区天溪园20号楼2层商业45</t>
    <phoneticPr fontId="134" type="noConversion"/>
  </si>
  <si>
    <r>
      <t>京(</t>
    </r>
    <r>
      <rPr>
        <sz val="11"/>
        <color theme="1"/>
        <rFont val="宋体"/>
        <family val="3"/>
        <charset val="134"/>
        <scheme val="minor"/>
      </rPr>
      <t>2</t>
    </r>
    <r>
      <rPr>
        <sz val="11"/>
        <color theme="1"/>
        <rFont val="宋体"/>
        <family val="3"/>
        <charset val="134"/>
        <scheme val="minor"/>
      </rPr>
      <t>025)朝不动产权第0010827号</t>
    </r>
    <phoneticPr fontId="134" type="noConversion"/>
  </si>
  <si>
    <r>
      <t>京(</t>
    </r>
    <r>
      <rPr>
        <sz val="11"/>
        <color theme="1"/>
        <rFont val="宋体"/>
        <family val="3"/>
        <charset val="134"/>
        <scheme val="minor"/>
      </rPr>
      <t>2</t>
    </r>
    <r>
      <rPr>
        <sz val="11"/>
        <color theme="1"/>
        <rFont val="宋体"/>
        <family val="3"/>
        <charset val="134"/>
        <scheme val="minor"/>
      </rPr>
      <t>025)朝不动产权第0008980号</t>
    </r>
    <phoneticPr fontId="134" type="noConversion"/>
  </si>
  <si>
    <t>朝阳区天溪园20号楼2层商业46</t>
    <phoneticPr fontId="134" type="noConversion"/>
  </si>
  <si>
    <t>商业46</t>
    <phoneticPr fontId="134" type="noConversion"/>
  </si>
  <si>
    <t>建设用地使用权</t>
    <phoneticPr fontId="134" type="noConversion"/>
  </si>
  <si>
    <t>是</t>
  </si>
  <si>
    <t>现房</t>
  </si>
  <si>
    <t>地上</t>
  </si>
  <si>
    <t>挂牌价</t>
  </si>
  <si>
    <t>挂牌价</t>
    <phoneticPr fontId="30" type="noConversion"/>
  </si>
  <si>
    <t>正常</t>
  </si>
  <si>
    <t>单套模式</t>
  </si>
  <si>
    <t>售价</t>
  </si>
  <si>
    <t>押一</t>
  </si>
  <si>
    <t>非生产用房</t>
  </si>
  <si>
    <t>成新度</t>
  </si>
  <si>
    <t>竣工时间</t>
    <phoneticPr fontId="3" type="noConversion"/>
  </si>
  <si>
    <t>收益法 (元)</t>
  </si>
  <si>
    <t>年租金</t>
    <phoneticPr fontId="134" type="noConversion"/>
  </si>
  <si>
    <t>左右</t>
    <phoneticPr fontId="134" type="noConversion"/>
  </si>
  <si>
    <t>售价</t>
    <phoneticPr fontId="134" type="noConversion"/>
  </si>
  <si>
    <t>否</t>
  </si>
  <si>
    <t>比较法-商业</t>
  </si>
  <si>
    <t>总价</t>
    <phoneticPr fontId="134" type="noConversion"/>
  </si>
  <si>
    <t>复估单价</t>
    <phoneticPr fontId="134" type="noConversion"/>
  </si>
  <si>
    <t>仁达单价</t>
    <phoneticPr fontId="134" type="noConversion"/>
  </si>
  <si>
    <t>仁达总价</t>
    <phoneticPr fontId="134" type="noConversion"/>
  </si>
  <si>
    <t>下浮5%单价</t>
    <phoneticPr fontId="134" type="noConversion"/>
  </si>
  <si>
    <t>链家中介王东东</t>
    <phoneticPr fontId="134" type="noConversion"/>
  </si>
  <si>
    <t>不含物业取暖等费用</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</si>
</sst>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77" fillId="7" borderId="5" xfId="0" applyFont="1" applyFill="1" applyBorder="1" applyAlignment="1" applyProtection="1">
      <alignment vertical="center" wrapText="1"/>
      <protection locked="0"/>
    </xf>
    <xf numFmtId="14" fontId="0" fillId="0" borderId="0" xfId="0" applyNumberFormat="1">
      <alignment vertical="center"/>
    </xf>
    <xf numFmtId="0" fontId="95" fillId="0" borderId="0" xfId="0" applyFont="1" applyAlignment="1">
      <alignment vertical="center" wrapText="1"/>
    </xf>
    <xf numFmtId="0" fontId="128" fillId="0" borderId="2"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0" fontId="95" fillId="0" borderId="1" xfId="0" applyFont="1" applyBorder="1" applyAlignment="1">
      <alignment vertical="center" wrapText="1"/>
    </xf>
    <xf numFmtId="0" fontId="95" fillId="0" borderId="1" xfId="0" applyFont="1" applyBorder="1">
      <alignment vertical="center"/>
    </xf>
    <xf numFmtId="0" fontId="0" fillId="0" borderId="1" xfId="0" applyBorder="1" applyAlignment="1">
      <alignment vertical="center" wrapText="1"/>
    </xf>
    <xf numFmtId="0" fontId="0" fillId="0" borderId="1" xfId="0" applyBorder="1">
      <alignment vertical="center"/>
    </xf>
    <xf numFmtId="14" fontId="0" fillId="0" borderId="1" xfId="0" applyNumberFormat="1" applyBorder="1">
      <alignment vertical="center"/>
    </xf>
    <xf numFmtId="0" fontId="95" fillId="5" borderId="1" xfId="0" applyFont="1" applyFill="1" applyBorder="1">
      <alignment vertical="center"/>
    </xf>
    <xf numFmtId="0" fontId="0" fillId="5" borderId="1" xfId="0" applyFill="1" applyBorder="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95" fillId="0" borderId="1" xfId="0" applyFont="1" applyBorder="1" applyAlignment="1">
      <alignment horizontal="center" vertical="center" wrapText="1"/>
    </xf>
    <xf numFmtId="0" fontId="0" fillId="0" borderId="1" xfId="0" applyBorder="1" applyAlignment="1">
      <alignment horizontal="center" vertical="center" wrapText="1"/>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419100</xdr:colOff>
      <xdr:row>18</xdr:row>
      <xdr:rowOff>22860</xdr:rowOff>
    </xdr:from>
    <xdr:to>
      <xdr:col>20</xdr:col>
      <xdr:colOff>471316</xdr:colOff>
      <xdr:row>41</xdr:row>
      <xdr:rowOff>159477</xdr:rowOff>
    </xdr:to>
    <xdr:pic>
      <xdr:nvPicPr>
        <xdr:cNvPr id="3" name="图片 2">
          <a:extLst>
            <a:ext uri="{FF2B5EF4-FFF2-40B4-BE49-F238E27FC236}">
              <a16:creationId xmlns:a16="http://schemas.microsoft.com/office/drawing/2014/main" id="{E51F6C50-150F-8858-9B4B-8B72943A7E1B}"/>
            </a:ext>
          </a:extLst>
        </xdr:cNvPr>
        <xdr:cNvPicPr>
          <a:picLocks noChangeAspect="1"/>
        </xdr:cNvPicPr>
      </xdr:nvPicPr>
      <xdr:blipFill>
        <a:blip xmlns:r="http://schemas.openxmlformats.org/officeDocument/2006/relationships" r:embed="rId1"/>
        <a:stretch>
          <a:fillRect/>
        </a:stretch>
      </xdr:blipFill>
      <xdr:spPr>
        <a:xfrm>
          <a:off x="6111240" y="4960620"/>
          <a:ext cx="8990476" cy="4342857"/>
        </a:xfrm>
        <a:prstGeom prst="rect">
          <a:avLst/>
        </a:prstGeom>
      </xdr:spPr>
    </xdr:pic>
    <xdr:clientData/>
  </xdr:twoCellAnchor>
  <xdr:twoCellAnchor editAs="oneCell">
    <xdr:from>
      <xdr:col>0</xdr:col>
      <xdr:colOff>152400</xdr:colOff>
      <xdr:row>19</xdr:row>
      <xdr:rowOff>106680</xdr:rowOff>
    </xdr:from>
    <xdr:to>
      <xdr:col>3</xdr:col>
      <xdr:colOff>129069</xdr:colOff>
      <xdr:row>49</xdr:row>
      <xdr:rowOff>39328</xdr:rowOff>
    </xdr:to>
    <xdr:pic>
      <xdr:nvPicPr>
        <xdr:cNvPr id="4" name="图片 3">
          <a:extLst>
            <a:ext uri="{FF2B5EF4-FFF2-40B4-BE49-F238E27FC236}">
              <a16:creationId xmlns:a16="http://schemas.microsoft.com/office/drawing/2014/main" id="{5291BE90-DE47-D309-C373-3ECC340CDA61}"/>
            </a:ext>
          </a:extLst>
        </xdr:cNvPr>
        <xdr:cNvPicPr>
          <a:picLocks noChangeAspect="1"/>
        </xdr:cNvPicPr>
      </xdr:nvPicPr>
      <xdr:blipFill>
        <a:blip xmlns:r="http://schemas.openxmlformats.org/officeDocument/2006/relationships" r:embed="rId2"/>
        <a:stretch>
          <a:fillRect/>
        </a:stretch>
      </xdr:blipFill>
      <xdr:spPr>
        <a:xfrm>
          <a:off x="152400" y="5227320"/>
          <a:ext cx="3771429" cy="5419048"/>
        </a:xfrm>
        <a:prstGeom prst="rect">
          <a:avLst/>
        </a:prstGeom>
      </xdr:spPr>
    </xdr:pic>
    <xdr:clientData/>
  </xdr:twoCellAnchor>
  <xdr:twoCellAnchor editAs="oneCell">
    <xdr:from>
      <xdr:col>0</xdr:col>
      <xdr:colOff>0</xdr:colOff>
      <xdr:row>51</xdr:row>
      <xdr:rowOff>0</xdr:rowOff>
    </xdr:from>
    <xdr:to>
      <xdr:col>6</xdr:col>
      <xdr:colOff>365003</xdr:colOff>
      <xdr:row>90</xdr:row>
      <xdr:rowOff>105775</xdr:rowOff>
    </xdr:to>
    <xdr:pic>
      <xdr:nvPicPr>
        <xdr:cNvPr id="5" name="图片 4">
          <a:extLst>
            <a:ext uri="{FF2B5EF4-FFF2-40B4-BE49-F238E27FC236}">
              <a16:creationId xmlns:a16="http://schemas.microsoft.com/office/drawing/2014/main" id="{781BE477-1115-85EE-E58A-DE8404E6A7E3}"/>
            </a:ext>
          </a:extLst>
        </xdr:cNvPr>
        <xdr:cNvPicPr>
          <a:picLocks noChangeAspect="1"/>
        </xdr:cNvPicPr>
      </xdr:nvPicPr>
      <xdr:blipFill>
        <a:blip xmlns:r="http://schemas.openxmlformats.org/officeDocument/2006/relationships" r:embed="rId3"/>
        <a:stretch>
          <a:fillRect/>
        </a:stretch>
      </xdr:blipFill>
      <xdr:spPr>
        <a:xfrm>
          <a:off x="0" y="10972800"/>
          <a:ext cx="6057143" cy="7238095"/>
        </a:xfrm>
        <a:prstGeom prst="rect">
          <a:avLst/>
        </a:prstGeom>
      </xdr:spPr>
    </xdr:pic>
    <xdr:clientData/>
  </xdr:twoCellAnchor>
  <xdr:twoCellAnchor editAs="oneCell">
    <xdr:from>
      <xdr:col>6</xdr:col>
      <xdr:colOff>30480</xdr:colOff>
      <xdr:row>50</xdr:row>
      <xdr:rowOff>60960</xdr:rowOff>
    </xdr:from>
    <xdr:to>
      <xdr:col>17</xdr:col>
      <xdr:colOff>349591</xdr:colOff>
      <xdr:row>92</xdr:row>
      <xdr:rowOff>8571</xdr:rowOff>
    </xdr:to>
    <xdr:pic>
      <xdr:nvPicPr>
        <xdr:cNvPr id="6" name="图片 5">
          <a:extLst>
            <a:ext uri="{FF2B5EF4-FFF2-40B4-BE49-F238E27FC236}">
              <a16:creationId xmlns:a16="http://schemas.microsoft.com/office/drawing/2014/main" id="{DAD81C2B-9F4E-14F9-4B0D-545D09A85F42}"/>
            </a:ext>
          </a:extLst>
        </xdr:cNvPr>
        <xdr:cNvPicPr>
          <a:picLocks noChangeAspect="1"/>
        </xdr:cNvPicPr>
      </xdr:nvPicPr>
      <xdr:blipFill>
        <a:blip xmlns:r="http://schemas.openxmlformats.org/officeDocument/2006/relationships" r:embed="rId4"/>
        <a:stretch>
          <a:fillRect/>
        </a:stretch>
      </xdr:blipFill>
      <xdr:spPr>
        <a:xfrm>
          <a:off x="5722620" y="10850880"/>
          <a:ext cx="7428571" cy="7628571"/>
        </a:xfrm>
        <a:prstGeom prst="rect">
          <a:avLst/>
        </a:prstGeom>
      </xdr:spPr>
    </xdr:pic>
    <xdr:clientData/>
  </xdr:twoCellAnchor>
  <xdr:twoCellAnchor editAs="oneCell">
    <xdr:from>
      <xdr:col>17</xdr:col>
      <xdr:colOff>434340</xdr:colOff>
      <xdr:row>50</xdr:row>
      <xdr:rowOff>137160</xdr:rowOff>
    </xdr:from>
    <xdr:to>
      <xdr:col>29</xdr:col>
      <xdr:colOff>319140</xdr:colOff>
      <xdr:row>93</xdr:row>
      <xdr:rowOff>149510</xdr:rowOff>
    </xdr:to>
    <xdr:pic>
      <xdr:nvPicPr>
        <xdr:cNvPr id="7" name="图片 6">
          <a:extLst>
            <a:ext uri="{FF2B5EF4-FFF2-40B4-BE49-F238E27FC236}">
              <a16:creationId xmlns:a16="http://schemas.microsoft.com/office/drawing/2014/main" id="{E859CB18-B792-5EEA-0D78-12F64BDEAD1E}"/>
            </a:ext>
          </a:extLst>
        </xdr:cNvPr>
        <xdr:cNvPicPr>
          <a:picLocks noChangeAspect="1"/>
        </xdr:cNvPicPr>
      </xdr:nvPicPr>
      <xdr:blipFill>
        <a:blip xmlns:r="http://schemas.openxmlformats.org/officeDocument/2006/relationships" r:embed="rId5"/>
        <a:stretch>
          <a:fillRect/>
        </a:stretch>
      </xdr:blipFill>
      <xdr:spPr>
        <a:xfrm>
          <a:off x="13235940" y="10927080"/>
          <a:ext cx="7200000" cy="7876190"/>
        </a:xfrm>
        <a:prstGeom prst="rect">
          <a:avLst/>
        </a:prstGeom>
      </xdr:spPr>
    </xdr:pic>
    <xdr:clientData/>
  </xdr:twoCellAnchor>
  <xdr:twoCellAnchor editAs="oneCell">
    <xdr:from>
      <xdr:col>28</xdr:col>
      <xdr:colOff>411480</xdr:colOff>
      <xdr:row>50</xdr:row>
      <xdr:rowOff>137160</xdr:rowOff>
    </xdr:from>
    <xdr:to>
      <xdr:col>40</xdr:col>
      <xdr:colOff>67708</xdr:colOff>
      <xdr:row>92</xdr:row>
      <xdr:rowOff>122867</xdr:rowOff>
    </xdr:to>
    <xdr:pic>
      <xdr:nvPicPr>
        <xdr:cNvPr id="8" name="图片 7">
          <a:extLst>
            <a:ext uri="{FF2B5EF4-FFF2-40B4-BE49-F238E27FC236}">
              <a16:creationId xmlns:a16="http://schemas.microsoft.com/office/drawing/2014/main" id="{DBA9992C-550A-4A99-6A39-02EEEEF2F789}"/>
            </a:ext>
          </a:extLst>
        </xdr:cNvPr>
        <xdr:cNvPicPr>
          <a:picLocks noChangeAspect="1"/>
        </xdr:cNvPicPr>
      </xdr:nvPicPr>
      <xdr:blipFill>
        <a:blip xmlns:r="http://schemas.openxmlformats.org/officeDocument/2006/relationships" r:embed="rId6"/>
        <a:stretch>
          <a:fillRect/>
        </a:stretch>
      </xdr:blipFill>
      <xdr:spPr>
        <a:xfrm>
          <a:off x="19918680" y="10927080"/>
          <a:ext cx="6971428" cy="7666667"/>
        </a:xfrm>
        <a:prstGeom prst="rect">
          <a:avLst/>
        </a:prstGeom>
      </xdr:spPr>
    </xdr:pic>
    <xdr:clientData/>
  </xdr:twoCellAnchor>
  <xdr:twoCellAnchor editAs="oneCell">
    <xdr:from>
      <xdr:col>3</xdr:col>
      <xdr:colOff>297180</xdr:colOff>
      <xdr:row>36</xdr:row>
      <xdr:rowOff>22860</xdr:rowOff>
    </xdr:from>
    <xdr:to>
      <xdr:col>5</xdr:col>
      <xdr:colOff>552257</xdr:colOff>
      <xdr:row>48</xdr:row>
      <xdr:rowOff>75919</xdr:rowOff>
    </xdr:to>
    <xdr:pic>
      <xdr:nvPicPr>
        <xdr:cNvPr id="9" name="图片 8">
          <a:extLst>
            <a:ext uri="{FF2B5EF4-FFF2-40B4-BE49-F238E27FC236}">
              <a16:creationId xmlns:a16="http://schemas.microsoft.com/office/drawing/2014/main" id="{799E2B20-111D-F966-7F75-81CB8F8FE548}"/>
            </a:ext>
          </a:extLst>
        </xdr:cNvPr>
        <xdr:cNvPicPr>
          <a:picLocks noChangeAspect="1"/>
        </xdr:cNvPicPr>
      </xdr:nvPicPr>
      <xdr:blipFill>
        <a:blip xmlns:r="http://schemas.openxmlformats.org/officeDocument/2006/relationships" r:embed="rId7"/>
        <a:stretch>
          <a:fillRect/>
        </a:stretch>
      </xdr:blipFill>
      <xdr:spPr>
        <a:xfrm>
          <a:off x="4091940" y="8252460"/>
          <a:ext cx="1542857" cy="2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估价对象为北京市房地产，为所有。根据《国有土地使用证》[]，估价对象（分摊）出让国有建设用地使用权面积为0平方米，建筑面积为166.53平方米。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估价对象为北京市房地产,属开发建设的，该项目尚在开发建设中。根据《国有土地使用证》[]，估价对象（分摊）出让国有建设用地使用权面积为0平方米，规划建筑面积为166.53平方米。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中行复估拟使用北京市房地产作为抵押担保物，向办理贷款手续。特委托北京康正宏基房地产评估有限公司对上述抵押物进行评估。本次评估为确定房地产抵押贷款额度提供参考依据而评估房地产抵押价值。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2025年3月18日</v>
      </c>
    </row>
    <row r="13" spans="1:2">
      <c r="A13" s="1119" t="s">
        <v>529</v>
      </c>
      <c r="B13" s="1120" t="str">
        <f>'预评函-1'!A18</f>
        <v>本次估价的“房地产价值”是指在正常市场情况下，在价值时点2025年3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ht="31.2">
      <c r="A42" s="1119" t="s">
        <v>590</v>
      </c>
      <c r="B42" s="1120" t="str">
        <f>'预评函-3'!B2</f>
        <v>建筑面积</v>
      </c>
    </row>
    <row r="43" spans="1:2">
      <c r="A43" s="1119" t="s">
        <v>591</v>
      </c>
      <c r="B43" s="1120">
        <f>'预评函-3'!B4</f>
        <v>166.53</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5" t="str">
        <f>项目基本情况!B1</f>
        <v>北京市房地产抵押价值预评估</v>
      </c>
      <c r="C37" s="3165"/>
      <c r="D37" s="3165"/>
      <c r="E37" s="3165"/>
      <c r="F37" s="3165"/>
      <c r="G37" s="3165"/>
      <c r="H37" s="3165"/>
      <c r="I37" s="316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估价对象为北京市房地产，为所有。根据《国有土地使用证》[]，估价对象（分摊）出让国有建设用地使用权面积为0平方米，建筑面积为166.53平方米。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估价对象为北京市房地产,属开发建设的，该项目尚在开发建设中。根据《国有土地使用证》[]，估价对象（分摊）出让国有建设用地使用权面积为0平方米，规划建筑面积为166.53平方米。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中行复估拟使用北京市房地产作为抵押担保物，向办理贷款手续。特委托北京康正宏基房地产评估有限公司对上述抵押物进行评估。本次评估为确定房地产抵押贷款额度提供参考依据而评估房地产抵押价值。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2025年3月18日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0"/>
      <c r="C2" s="3170"/>
      <c r="D2" s="3170"/>
      <c r="E2" s="3170"/>
    </row>
    <row r="3" spans="1:5" ht="17.399999999999999">
      <c r="A3" s="3171" t="str">
        <f>IF(项目基本情况!B9="房地产市场价值","估价结果一览表（市场价值不需“结果表-1”）","估价结果一览表")</f>
        <v>估价结果一览表</v>
      </c>
      <c r="B3" s="3171"/>
      <c r="C3" s="3171"/>
      <c r="D3" s="3171"/>
      <c r="E3" s="3171"/>
    </row>
    <row r="4" spans="1:5" ht="18" thickBot="1">
      <c r="A4" s="1391"/>
      <c r="B4" s="3169" t="s">
        <v>917</v>
      </c>
      <c r="C4" s="3169"/>
      <c r="D4" s="3169"/>
      <c r="E4" s="1391"/>
    </row>
    <row r="5" spans="1:5" ht="16.2" thickTop="1">
      <c r="B5" s="3167" t="s">
        <v>909</v>
      </c>
      <c r="C5" s="1392" t="s">
        <v>910</v>
      </c>
      <c r="D5" s="797" t="e">
        <f ca="1">结果表!H101</f>
        <v>#REF!</v>
      </c>
    </row>
    <row r="6" spans="1:5" ht="15.6">
      <c r="B6" s="3167"/>
      <c r="C6" s="1392" t="s">
        <v>911</v>
      </c>
      <c r="D6" s="797" t="e">
        <f ca="1">NUMBERSTRING(INT(D5*10000),2)&amp;"元整"</f>
        <v>#REF!</v>
      </c>
    </row>
    <row r="7" spans="1:5" ht="15.6">
      <c r="B7" s="3172"/>
      <c r="C7" s="1393" t="s">
        <v>912</v>
      </c>
      <c r="D7" s="798" t="e">
        <f ca="1">结果表!H102</f>
        <v>#REF!</v>
      </c>
    </row>
    <row r="8" spans="1:5" ht="15.6">
      <c r="B8" s="3173" t="str">
        <f>结果表!E103</f>
        <v>2.估价师知悉的法定优先受偿款</v>
      </c>
      <c r="C8" s="1394" t="s">
        <v>913</v>
      </c>
      <c r="D8" s="798">
        <f>结果表!H103</f>
        <v>0</v>
      </c>
    </row>
    <row r="9" spans="1:5" ht="15.6">
      <c r="B9" s="317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6" t="str">
        <f>结果表!E107</f>
        <v>3.房地产抵押价值</v>
      </c>
      <c r="C13" s="1397" t="s">
        <v>910</v>
      </c>
      <c r="D13" s="800" t="e">
        <f ca="1">结果表!H107</f>
        <v>#REF!</v>
      </c>
    </row>
    <row r="14" spans="1:5" ht="15.6">
      <c r="B14" s="3167"/>
      <c r="C14" s="1392" t="s">
        <v>911</v>
      </c>
      <c r="D14" s="797" t="e">
        <f ca="1">NUMBERSTRING(INT(D13*10000),2)&amp;"元整"</f>
        <v>#REF!</v>
      </c>
    </row>
    <row r="15" spans="1:5" ht="15.6">
      <c r="B15" s="3172"/>
      <c r="C15" s="1393" t="s">
        <v>921</v>
      </c>
      <c r="D15" s="806" t="e">
        <f ca="1">结果表!H108</f>
        <v>#REF!</v>
      </c>
    </row>
    <row r="16" spans="1:5" ht="15.6">
      <c r="B16" s="3173" t="str">
        <f>结果表!E109</f>
        <v>——</v>
      </c>
      <c r="C16" s="1397" t="s">
        <v>922</v>
      </c>
      <c r="D16" s="1398" t="str">
        <f>结果表!H109</f>
        <v>——</v>
      </c>
    </row>
    <row r="17" spans="1:5" ht="15.6">
      <c r="B17" s="3174"/>
      <c r="C17" s="1392" t="s">
        <v>923</v>
      </c>
      <c r="D17" s="797" t="e">
        <f>NUMBERSTRING(INT(D16*10000),2)&amp;"元整"</f>
        <v>#VALUE!</v>
      </c>
    </row>
    <row r="18" spans="1:5" ht="15.6">
      <c r="B18" s="3175"/>
      <c r="C18" s="1393" t="s">
        <v>912</v>
      </c>
      <c r="D18" s="806" t="str">
        <f>结果表!H110</f>
        <v>——</v>
      </c>
    </row>
    <row r="19" spans="1:5" ht="15.6">
      <c r="B19" s="3166" t="str">
        <f>结果表!E111</f>
        <v>——</v>
      </c>
      <c r="C19" s="1397" t="s">
        <v>910</v>
      </c>
      <c r="D19" s="798" t="str">
        <f>结果表!H111</f>
        <v>——</v>
      </c>
    </row>
    <row r="20" spans="1:5" ht="15.6">
      <c r="B20" s="3167"/>
      <c r="C20" s="1392" t="s">
        <v>923</v>
      </c>
      <c r="D20" s="797" t="e">
        <f>NUMBERSTRING(INT(D19*10000),2)&amp;"元整"</f>
        <v>#VALUE!</v>
      </c>
    </row>
    <row r="21" spans="1:5" ht="16.2" thickBot="1">
      <c r="B21" s="316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3" t="str">
        <f>IF(项目基本情况!B9="房地产市场价值","估价结果一览表","结果表-2")</f>
        <v>结果表-2</v>
      </c>
      <c r="B1" s="3183"/>
      <c r="C1" s="3183"/>
      <c r="D1" s="3183"/>
      <c r="E1" s="3183"/>
      <c r="F1" s="3183"/>
      <c r="G1" s="3183"/>
      <c r="H1" s="3183"/>
      <c r="I1" s="3183"/>
    </row>
    <row r="2" spans="1:9" ht="30" customHeight="1" thickTop="1">
      <c r="A2" s="3184" t="s">
        <v>928</v>
      </c>
      <c r="B2" s="3184" t="s">
        <v>929</v>
      </c>
      <c r="C2" s="3184" t="s">
        <v>930</v>
      </c>
      <c r="D2" s="3184" t="str">
        <f>结果表!D116</f>
        <v>出让国有建设用地使用权价值</v>
      </c>
      <c r="E2" s="3184"/>
      <c r="F2" s="3184" t="str">
        <f>结果表!F116</f>
        <v>在建建筑物价值</v>
      </c>
      <c r="G2" s="3184"/>
      <c r="H2" s="3184" t="str">
        <f>IF(项目基本情况!B9="房地产市场价值","房地产市场价值","房地产价值")</f>
        <v>房地产价值</v>
      </c>
      <c r="I2" s="3184"/>
    </row>
    <row r="3" spans="1:9" ht="15.6">
      <c r="A3" s="3179"/>
      <c r="B3" s="3179"/>
      <c r="C3" s="3179"/>
      <c r="D3" s="801" t="s">
        <v>925</v>
      </c>
      <c r="E3" s="801" t="s">
        <v>931</v>
      </c>
      <c r="F3" s="801" t="s">
        <v>925</v>
      </c>
      <c r="G3" s="801" t="s">
        <v>926</v>
      </c>
      <c r="H3" s="801" t="s">
        <v>925</v>
      </c>
      <c r="I3" s="801" t="s">
        <v>926</v>
      </c>
    </row>
    <row r="4" spans="1:9" ht="15">
      <c r="A4" s="1403" t="str">
        <f>项目基本情况!S2</f>
        <v>北京市房地产</v>
      </c>
      <c r="B4" s="801">
        <f>项目基本情况!C17</f>
        <v>166.53</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9" t="s">
        <v>927</v>
      </c>
      <c r="B5" s="3179"/>
      <c r="C5" s="3179"/>
      <c r="D5" s="3179" t="e">
        <f ca="1">结果表!D119</f>
        <v>#REF!</v>
      </c>
      <c r="E5" s="3179"/>
      <c r="F5" s="3179" t="e">
        <f ca="1">结果表!F119</f>
        <v>#REF!</v>
      </c>
      <c r="G5" s="3179"/>
      <c r="H5" s="3179" t="e">
        <f ca="1">结果表!H119</f>
        <v>#REF!</v>
      </c>
      <c r="I5" s="3179"/>
    </row>
    <row r="6" spans="1:9" ht="15.6">
      <c r="A6" s="3178" t="str">
        <f>结果表!A120</f>
        <v>估价师知悉的法定优先受偿款</v>
      </c>
      <c r="B6" s="3178"/>
      <c r="C6" s="3178"/>
      <c r="D6" s="3178">
        <f>结果表!D120</f>
        <v>0</v>
      </c>
      <c r="E6" s="3178"/>
      <c r="F6" s="3178"/>
      <c r="G6" s="3178"/>
      <c r="H6" s="3178"/>
      <c r="I6" s="3178"/>
    </row>
    <row r="7" spans="1:9" ht="15">
      <c r="A7" s="3179" t="s">
        <v>927</v>
      </c>
      <c r="B7" s="3179"/>
      <c r="C7" s="3179"/>
      <c r="D7" s="3180" t="str">
        <f>结果表!D121</f>
        <v>零元整</v>
      </c>
      <c r="E7" s="3181"/>
      <c r="F7" s="3181"/>
      <c r="G7" s="3181"/>
      <c r="H7" s="3181"/>
      <c r="I7" s="3182"/>
    </row>
    <row r="8" spans="1:9" ht="15.6">
      <c r="A8" s="3178" t="str">
        <f>结果表!A122</f>
        <v>房地产抵押价值</v>
      </c>
      <c r="B8" s="3178"/>
      <c r="C8" s="3178"/>
      <c r="D8" s="3178" t="e">
        <f ca="1">结果表!D122</f>
        <v>#REF!</v>
      </c>
      <c r="E8" s="3178"/>
      <c r="F8" s="3178"/>
      <c r="G8" s="3178"/>
      <c r="H8" s="3178"/>
      <c r="I8" s="3178"/>
    </row>
    <row r="9" spans="1:9" ht="15">
      <c r="A9" s="3179" t="s">
        <v>927</v>
      </c>
      <c r="B9" s="3179"/>
      <c r="C9" s="3179"/>
      <c r="D9" s="3179" t="e">
        <f ca="1">结果表!D123</f>
        <v>#REF!</v>
      </c>
      <c r="E9" s="3179"/>
      <c r="F9" s="3179"/>
      <c r="G9" s="3179"/>
      <c r="H9" s="3179"/>
      <c r="I9" s="3179"/>
    </row>
    <row r="10" spans="1:9" ht="15.6">
      <c r="A10" s="3178" t="str">
        <f>结果表!A124</f>
        <v/>
      </c>
      <c r="B10" s="3178"/>
      <c r="C10" s="3178"/>
      <c r="D10" s="3178" t="str">
        <f>结果表!D124</f>
        <v>——</v>
      </c>
      <c r="E10" s="3178"/>
      <c r="F10" s="3178"/>
      <c r="G10" s="3178"/>
      <c r="H10" s="3178"/>
      <c r="I10" s="3178"/>
    </row>
    <row r="11" spans="1:9" ht="15">
      <c r="A11" s="3179" t="s">
        <v>927</v>
      </c>
      <c r="B11" s="3179"/>
      <c r="C11" s="3179"/>
      <c r="D11" s="3179" t="e">
        <f>结果表!D125</f>
        <v>#VALUE!</v>
      </c>
      <c r="E11" s="3179"/>
      <c r="F11" s="3179"/>
      <c r="G11" s="3179"/>
      <c r="H11" s="3179"/>
      <c r="I11" s="3179"/>
    </row>
    <row r="12" spans="1:9" ht="15.6">
      <c r="A12" s="3178" t="str">
        <f>结果表!A126</f>
        <v/>
      </c>
      <c r="B12" s="3178"/>
      <c r="C12" s="3178"/>
      <c r="D12" s="3178" t="str">
        <f>结果表!D126</f>
        <v>——</v>
      </c>
      <c r="E12" s="3178"/>
      <c r="F12" s="3178"/>
      <c r="G12" s="3178"/>
      <c r="H12" s="3178"/>
      <c r="I12" s="3178"/>
    </row>
    <row r="13" spans="1:9" ht="15.6" thickBot="1">
      <c r="A13" s="3176" t="s">
        <v>927</v>
      </c>
      <c r="B13" s="3176"/>
      <c r="C13" s="3176"/>
      <c r="D13" s="3176" t="e">
        <f>结果表!D127</f>
        <v>#VALUE!</v>
      </c>
      <c r="E13" s="3176"/>
      <c r="F13" s="3176"/>
      <c r="G13" s="3176"/>
      <c r="H13" s="3176"/>
      <c r="I13" s="3176"/>
    </row>
    <row r="14" spans="1:9" ht="14.4" thickTop="1">
      <c r="A14" s="3177" t="s">
        <v>932</v>
      </c>
      <c r="B14" s="3177"/>
      <c r="C14" s="3177"/>
      <c r="D14" s="3177"/>
      <c r="E14" s="3177"/>
      <c r="F14" s="3177"/>
      <c r="G14" s="3177"/>
      <c r="H14" s="3177"/>
      <c r="I14" s="3177"/>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1" t="s">
        <v>949</v>
      </c>
      <c r="B1" s="3191"/>
      <c r="C1" s="3191"/>
      <c r="D1" s="3191"/>
    </row>
    <row r="2" spans="1:4" ht="17.399999999999999">
      <c r="A2" s="3192" t="s">
        <v>933</v>
      </c>
      <c r="B2" s="3192"/>
      <c r="C2" s="3192"/>
      <c r="D2" s="3192"/>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92" t="s">
        <v>939</v>
      </c>
      <c r="B6" s="3192"/>
      <c r="C6" s="3192"/>
      <c r="D6" s="3192"/>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3" t="s">
        <v>942</v>
      </c>
      <c r="B11" s="3185"/>
      <c r="C11" s="3185"/>
      <c r="D11" s="3185"/>
    </row>
    <row r="12" spans="1:4" ht="15.6">
      <c r="A12" s="31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0"/>
      <c r="C12" s="3190"/>
      <c r="D12" s="3190"/>
    </row>
    <row r="13" spans="1:4" ht="30" customHeight="1">
      <c r="A13" s="31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0"/>
      <c r="C13" s="3190"/>
      <c r="D13" s="3190"/>
    </row>
    <row r="14" spans="1:4" ht="15.75" customHeight="1">
      <c r="A14" s="3185" t="str">
        <f>IF(项目基本情况!B8="抵押","4.本次评估估价师所知悉的法定优先受偿款情况说明如下：","——")</f>
        <v>4.本次评估估价师所知悉的法定优先受偿款情况说明如下：</v>
      </c>
      <c r="B14" s="3190"/>
      <c r="C14" s="3190"/>
      <c r="D14" s="3190"/>
    </row>
    <row r="15" spans="1:4" ht="42" customHeight="1">
      <c r="A15" s="318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5"/>
      <c r="C15" s="3185"/>
      <c r="D15" s="3185"/>
    </row>
    <row r="16" spans="1:4" ht="30" customHeight="1">
      <c r="A16" s="3187" t="s">
        <v>943</v>
      </c>
      <c r="B16" s="3187"/>
      <c r="C16" s="3187"/>
      <c r="D16" s="3187"/>
    </row>
    <row r="17" spans="1:4" ht="144" customHeight="1">
      <c r="A17" s="3187" t="s">
        <v>944</v>
      </c>
      <c r="B17" s="3187"/>
      <c r="C17" s="3187"/>
      <c r="D17" s="3187"/>
    </row>
    <row r="18" spans="1:4" ht="15.75" customHeight="1">
      <c r="A18" s="3185" t="str">
        <f>IF(项目基本情况!B8="抵押",结果表!K120,"——")</f>
        <v>故，本次评估不存在估价师知悉的法定优先受偿款</v>
      </c>
      <c r="B18" s="3185"/>
      <c r="C18" s="3185"/>
      <c r="D18" s="3185"/>
    </row>
    <row r="19" spans="1:4" ht="46.5" customHeight="1">
      <c r="A19" s="31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5"/>
      <c r="C19" s="3185"/>
      <c r="D19" s="3185"/>
    </row>
    <row r="20" spans="1:4" ht="57.75" customHeight="1">
      <c r="A20" s="31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5"/>
      <c r="C20" s="3185"/>
      <c r="D20" s="3185"/>
    </row>
    <row r="21" spans="1:4" ht="57.75" customHeight="1">
      <c r="A21" s="31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8"/>
      <c r="C21" s="3188"/>
      <c r="D21" s="3188"/>
    </row>
    <row r="22" spans="1:4" ht="18.75" customHeight="1">
      <c r="A22" s="3189" t="s">
        <v>945</v>
      </c>
      <c r="B22" s="3189"/>
      <c r="C22" s="3189"/>
      <c r="D22" s="3189"/>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6">
        <v>42551</v>
      </c>
      <c r="D31" s="31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9" t="s">
        <v>956</v>
      </c>
      <c r="B15" s="3194" t="s">
        <v>109</v>
      </c>
      <c r="C15" s="3195"/>
    </row>
    <row r="16" spans="1:7" ht="14.4">
      <c r="A16" s="3200"/>
      <c r="B16" s="3194" t="s">
        <v>42</v>
      </c>
      <c r="C16" s="3195"/>
    </row>
    <row r="17" spans="1:3" ht="14.4">
      <c r="A17" s="3200"/>
      <c r="B17" s="3197" t="s">
        <v>957</v>
      </c>
      <c r="C17" s="1429" t="s">
        <v>956</v>
      </c>
    </row>
    <row r="18" spans="1:3" ht="14.4">
      <c r="A18" s="3200"/>
      <c r="B18" s="3197"/>
      <c r="C18" s="1429" t="s">
        <v>958</v>
      </c>
    </row>
    <row r="19" spans="1:3" ht="14.4">
      <c r="A19" s="3200"/>
      <c r="B19" s="3197"/>
      <c r="C19" s="1429" t="s">
        <v>959</v>
      </c>
    </row>
    <row r="20" spans="1:3" ht="14.4">
      <c r="A20" s="3201"/>
      <c r="B20" s="3196" t="s">
        <v>960</v>
      </c>
      <c r="C20" s="3195"/>
    </row>
    <row r="21" spans="1:3" ht="14.4">
      <c r="A21" s="1430" t="s">
        <v>961</v>
      </c>
      <c r="B21" s="1431"/>
      <c r="C21" s="1432"/>
    </row>
    <row r="22" spans="1:3" ht="14.4">
      <c r="A22" s="3198" t="s">
        <v>962</v>
      </c>
      <c r="B22" s="3196" t="s">
        <v>963</v>
      </c>
      <c r="C22" s="3195"/>
    </row>
    <row r="23" spans="1:3" ht="14.4">
      <c r="A23" s="3198"/>
      <c r="B23" s="3196" t="s">
        <v>964</v>
      </c>
      <c r="C23" s="3195"/>
    </row>
    <row r="24" spans="1:3" ht="14.4">
      <c r="A24" s="3198"/>
      <c r="B24" s="3196" t="s">
        <v>965</v>
      </c>
      <c r="C24" s="3195"/>
    </row>
    <row r="25" spans="1:3" ht="14.4">
      <c r="A25" s="3198"/>
      <c r="B25" s="3197" t="s">
        <v>966</v>
      </c>
      <c r="C25" s="1429" t="s">
        <v>967</v>
      </c>
    </row>
    <row r="26" spans="1:3" ht="14.4">
      <c r="A26" s="3198"/>
      <c r="B26" s="3197"/>
      <c r="C26" s="1429" t="s">
        <v>968</v>
      </c>
    </row>
    <row r="27" spans="1:3" ht="14.4">
      <c r="A27" s="3198"/>
      <c r="B27" s="3197"/>
      <c r="C27" s="1429" t="s">
        <v>969</v>
      </c>
    </row>
    <row r="28" spans="1:3" ht="14.4">
      <c r="A28" s="3198"/>
      <c r="B28" s="3197"/>
      <c r="C28" s="1429" t="s">
        <v>970</v>
      </c>
    </row>
    <row r="29" spans="1:3" ht="14.4">
      <c r="A29" s="3198"/>
      <c r="B29" s="3197"/>
      <c r="C29" s="1429" t="s">
        <v>971</v>
      </c>
    </row>
    <row r="30" spans="1:3" ht="14.4">
      <c r="A30" s="3198"/>
      <c r="B30" s="3197"/>
      <c r="C30" s="1429" t="s">
        <v>972</v>
      </c>
    </row>
    <row r="31" spans="1:3" ht="14.4">
      <c r="A31" s="3198"/>
      <c r="B31" s="3197"/>
      <c r="C31" s="1429" t="s">
        <v>973</v>
      </c>
    </row>
    <row r="32" spans="1:3" ht="14.4">
      <c r="A32" s="3198"/>
      <c r="B32" s="3197"/>
      <c r="C32" s="1429" t="s">
        <v>974</v>
      </c>
    </row>
    <row r="33" spans="1:3" ht="14.4">
      <c r="A33" s="3198"/>
      <c r="B33" s="319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45734</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2" t="s">
        <v>2160</v>
      </c>
      <c r="B17" s="3202"/>
      <c r="C17" s="3202"/>
      <c r="D17" s="3202"/>
      <c r="E17" s="3202"/>
      <c r="F17" s="3202"/>
      <c r="G17" s="3202"/>
      <c r="H17" s="3202"/>
    </row>
    <row r="18" spans="1:8" ht="24" customHeight="1">
      <c r="A18" s="3203" t="s">
        <v>2161</v>
      </c>
      <c r="B18" s="3203"/>
      <c r="C18" s="3203"/>
      <c r="D18" s="2160"/>
      <c r="E18" s="3204" t="s">
        <v>2162</v>
      </c>
      <c r="F18" s="3203"/>
      <c r="G18" s="320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中行复估拟使用北京市房地产作为抵押担保物，向办理贷款手续。特委托北京康正宏基房地产评估有限公司对上述抵押物进行评估。本次评估为确定房地产抵押贷款额度提供参考依据而评估房地产抵押价值。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1447" t="s">
        <v>385</v>
      </c>
      <c r="C54" s="1445" t="s">
        <v>583</v>
      </c>
    </row>
    <row r="55" spans="1:4">
      <c r="A55" s="3205"/>
      <c r="B55" s="1447" t="s">
        <v>386</v>
      </c>
      <c r="C55" s="1445" t="s">
        <v>584</v>
      </c>
    </row>
    <row r="56" spans="1:4">
      <c r="A56" s="3205"/>
      <c r="B56" s="1447" t="s">
        <v>387</v>
      </c>
      <c r="C56" s="1445" t="s">
        <v>588</v>
      </c>
    </row>
    <row r="57" spans="1:4">
      <c r="A57" s="320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06" t="s">
        <v>2580</v>
      </c>
      <c r="J2" s="3206"/>
      <c r="K2" s="3206"/>
      <c r="L2" s="3206"/>
      <c r="M2" s="3206"/>
      <c r="N2" s="3206"/>
      <c r="O2" s="3206"/>
      <c r="P2" s="3206"/>
      <c r="Q2" s="3206"/>
      <c r="R2" s="3206"/>
    </row>
    <row r="3" spans="1:18">
      <c r="A3" s="2762" t="s">
        <v>2501</v>
      </c>
      <c r="B3" s="2763">
        <f>项目基本情况!D3</f>
        <v>45734</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1.75</v>
      </c>
      <c r="D5" s="2767">
        <f>IF(ISERROR(ROUND(POWER(1+E5,A5-C5)*(POWER(1+E5,C5)-1)/(POWER(1+E5,A5)-1),3)),0,ROUND(POWER(1+E5,A5-C5)*(POWER(1+E5,C5)-1)/(POWER(1+E5,A5)-1),4))</f>
        <v>8.3799999999999999E-2</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11.76</v>
      </c>
      <c r="D6" s="2767">
        <f>IF(ISERROR(ROUND(POWER(1+E6,A6-C6)*(POWER(1+E6,C6)-1)/(POWER(1+E6,A6)-1),3)),0,ROUND(POWER(1+E6,A6-C6)*(POWER(1+E6,C6)-1)/(POWER(1+E6,A6)-1),4))</f>
        <v>0.43</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31.77</v>
      </c>
      <c r="D7" s="2767">
        <f>IF(ISERROR(ROUND(POWER(1+E7,A7-C7)*(POWER(1+E7,C7)-1)/(POWER(1+E7,A7)-1),3)),0,ROUND(POWER(1+E7,A7-C7)*(POWER(1+E7,C7)-1)/(POWER(1+E7,A7)-1),4))</f>
        <v>0.76119999999999999</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4">
      <c r="A17" s="2762" t="s">
        <v>2517</v>
      </c>
      <c r="B17" s="2770">
        <v>4810</v>
      </c>
      <c r="C17" s="2764"/>
      <c r="D17" s="2760"/>
      <c r="E17" s="2760"/>
      <c r="F17" s="2761"/>
    </row>
    <row r="18" spans="1:14" ht="15" thickBot="1">
      <c r="A18" s="2772" t="s">
        <v>2516</v>
      </c>
      <c r="B18" s="2773">
        <f>ROUND(B17*F11/F12,2)</f>
        <v>5541.87</v>
      </c>
      <c r="C18" s="2773">
        <f>ROUND(F11/F12,4)</f>
        <v>1.1521999999999999</v>
      </c>
      <c r="D18" s="2774"/>
      <c r="E18" s="2774"/>
      <c r="F18" s="2775"/>
    </row>
    <row r="19" spans="1:14" ht="15" thickBot="1"/>
    <row r="20" spans="1:14" s="2808" customFormat="1" ht="15" thickTop="1">
      <c r="A20" s="2805" t="s">
        <v>2519</v>
      </c>
      <c r="B20" s="2806"/>
      <c r="C20" s="2806"/>
      <c r="D20" s="2806"/>
      <c r="E20" s="2806"/>
      <c r="F20" s="2806"/>
      <c r="G20" s="2807"/>
      <c r="I20" s="2809" t="s">
        <v>2564</v>
      </c>
      <c r="J20" s="2809" t="s">
        <v>2569</v>
      </c>
      <c r="K20" s="2809"/>
      <c r="L20" s="2809"/>
      <c r="M20" s="2809"/>
    </row>
    <row r="21" spans="1:14">
      <c r="A21" s="2776"/>
      <c r="B21" s="2777" t="s">
        <v>2520</v>
      </c>
      <c r="C21" s="2777" t="s">
        <v>2521</v>
      </c>
      <c r="D21" s="2777" t="s">
        <v>2522</v>
      </c>
      <c r="E21" s="2777" t="s">
        <v>2523</v>
      </c>
      <c r="F21" s="2777" t="s">
        <v>2524</v>
      </c>
      <c r="G21" s="2778" t="s">
        <v>2525</v>
      </c>
      <c r="I21" s="2799">
        <v>5</v>
      </c>
      <c r="J21" s="2799">
        <v>54.2</v>
      </c>
    </row>
    <row r="22" spans="1:14">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4">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N23" s="3152" t="s">
        <v>2568</v>
      </c>
    </row>
    <row r="24" spans="1:14">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N24" s="3152">
        <v>10</v>
      </c>
    </row>
    <row r="25" spans="1:14">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N25" s="3152">
        <v>8</v>
      </c>
    </row>
    <row r="26" spans="1:14">
      <c r="A26" s="2781"/>
      <c r="B26" s="2782"/>
      <c r="C26" s="2782"/>
      <c r="D26" s="2782"/>
      <c r="E26" s="2782"/>
      <c r="F26" s="2782"/>
      <c r="G26" s="2783"/>
      <c r="I26" s="2799">
        <v>30</v>
      </c>
      <c r="J26" s="2799">
        <v>90.5</v>
      </c>
      <c r="K26" s="2799">
        <f t="shared" si="2"/>
        <v>4.2000000000000028</v>
      </c>
      <c r="L26" s="2799" t="s">
        <v>2571</v>
      </c>
      <c r="N26" s="3152">
        <v>5</v>
      </c>
    </row>
    <row r="27" spans="1:14">
      <c r="A27" s="2781" t="s">
        <v>2530</v>
      </c>
      <c r="B27" s="2782"/>
      <c r="C27" s="2782"/>
      <c r="D27" s="2782"/>
      <c r="E27" s="2782"/>
      <c r="F27" s="2782"/>
      <c r="G27" s="2783"/>
      <c r="I27" s="2799">
        <v>35</v>
      </c>
      <c r="J27" s="2799">
        <v>93.8</v>
      </c>
      <c r="K27" s="2799">
        <f t="shared" si="2"/>
        <v>3.2999999999999972</v>
      </c>
      <c r="L27" s="2799" t="s">
        <v>2572</v>
      </c>
      <c r="N27" s="3152">
        <v>3</v>
      </c>
    </row>
    <row r="28" spans="1:14">
      <c r="A28" s="2781" t="s">
        <v>2531</v>
      </c>
      <c r="B28" s="2782"/>
      <c r="C28" s="2782"/>
      <c r="D28" s="2782"/>
      <c r="E28" s="2782"/>
      <c r="F28" s="2782"/>
      <c r="G28" s="2783"/>
      <c r="I28" s="2799">
        <v>40</v>
      </c>
      <c r="J28" s="2799">
        <v>96.4</v>
      </c>
      <c r="K28" s="2799">
        <f t="shared" si="2"/>
        <v>2.6000000000000085</v>
      </c>
      <c r="L28" s="2799" t="s">
        <v>2573</v>
      </c>
      <c r="N28" s="3152">
        <v>2</v>
      </c>
    </row>
    <row r="29" spans="1:14">
      <c r="A29" s="2781" t="s">
        <v>2532</v>
      </c>
      <c r="B29" s="2782"/>
      <c r="C29" s="2782"/>
      <c r="D29" s="2782"/>
      <c r="E29" s="2782"/>
      <c r="F29" s="2782"/>
      <c r="G29" s="2783"/>
      <c r="I29" s="2799">
        <v>45</v>
      </c>
      <c r="J29" s="2799">
        <v>98.4</v>
      </c>
      <c r="K29" s="2799">
        <f t="shared" si="2"/>
        <v>2</v>
      </c>
    </row>
    <row r="30" spans="1:14">
      <c r="A30" s="2781" t="s">
        <v>2533</v>
      </c>
      <c r="B30" s="2782"/>
      <c r="C30" s="2782"/>
      <c r="D30" s="2782"/>
      <c r="E30" s="2782"/>
      <c r="F30" s="2782"/>
      <c r="G30" s="2783"/>
      <c r="I30" s="2799">
        <v>50</v>
      </c>
      <c r="J30" s="2799">
        <v>100</v>
      </c>
      <c r="K30" s="2799">
        <f t="shared" si="2"/>
        <v>1.5999999999999943</v>
      </c>
    </row>
    <row r="31" spans="1:14">
      <c r="A31" s="2781" t="s">
        <v>2534</v>
      </c>
      <c r="B31" s="2782"/>
      <c r="C31" s="2782"/>
      <c r="D31" s="2782"/>
      <c r="E31" s="2782"/>
      <c r="F31" s="2782"/>
      <c r="G31" s="2783"/>
      <c r="I31" s="2799" t="s">
        <v>2565</v>
      </c>
    </row>
    <row r="32" spans="1:14">
      <c r="A32" s="2781" t="s">
        <v>2535</v>
      </c>
      <c r="B32" s="2782"/>
      <c r="C32" s="2782"/>
      <c r="D32" s="2782"/>
      <c r="E32" s="2782"/>
      <c r="F32" s="2782"/>
      <c r="G32" s="2783"/>
    </row>
    <row r="33" spans="1:14">
      <c r="A33" s="2781" t="s">
        <v>2536</v>
      </c>
      <c r="B33" s="2782"/>
      <c r="C33" s="2782"/>
      <c r="D33" s="2782"/>
      <c r="E33" s="2782"/>
      <c r="F33" s="2782"/>
      <c r="G33" s="2783"/>
      <c r="I33" s="2799" t="s">
        <v>2564</v>
      </c>
      <c r="J33" s="2799" t="s">
        <v>2574</v>
      </c>
    </row>
    <row r="34" spans="1:14">
      <c r="A34" s="2781" t="s">
        <v>2537</v>
      </c>
      <c r="B34" s="2782"/>
      <c r="C34" s="2782"/>
      <c r="D34" s="2782"/>
      <c r="E34" s="2782"/>
      <c r="F34" s="2782"/>
      <c r="G34" s="2783"/>
      <c r="I34" s="2799">
        <v>5</v>
      </c>
      <c r="J34" s="2799">
        <v>55.1</v>
      </c>
    </row>
    <row r="35" spans="1:14">
      <c r="A35" s="2781" t="s">
        <v>2538</v>
      </c>
      <c r="B35" s="2782"/>
      <c r="C35" s="2782"/>
      <c r="D35" s="2782"/>
      <c r="E35" s="2782"/>
      <c r="F35" s="2782"/>
      <c r="G35" s="2783"/>
      <c r="I35" s="2799">
        <v>10</v>
      </c>
      <c r="J35" s="2799">
        <v>67</v>
      </c>
      <c r="K35" s="2799">
        <f>J35-J34</f>
        <v>11.899999999999999</v>
      </c>
    </row>
    <row r="36" spans="1:14">
      <c r="A36" s="2781" t="s">
        <v>2539</v>
      </c>
      <c r="B36" s="2782"/>
      <c r="C36" s="2782"/>
      <c r="D36" s="2782"/>
      <c r="E36" s="2782"/>
      <c r="F36" s="2782"/>
      <c r="G36" s="2783"/>
      <c r="I36" s="2799">
        <v>15</v>
      </c>
      <c r="J36" s="2799">
        <v>76.3</v>
      </c>
      <c r="K36" s="2799">
        <f t="shared" ref="K36:K41" si="3">J36-J35</f>
        <v>9.2999999999999972</v>
      </c>
      <c r="L36" s="2799" t="s">
        <v>2567</v>
      </c>
      <c r="N36" s="3152" t="s">
        <v>2568</v>
      </c>
    </row>
    <row r="37" spans="1:14">
      <c r="A37" s="2781" t="s">
        <v>2540</v>
      </c>
      <c r="B37" s="2782"/>
      <c r="C37" s="2782"/>
      <c r="D37" s="2782"/>
      <c r="E37" s="2782"/>
      <c r="F37" s="2782"/>
      <c r="G37" s="2783"/>
      <c r="I37" s="2799">
        <v>20</v>
      </c>
      <c r="J37" s="2799">
        <v>83.6</v>
      </c>
      <c r="K37" s="2799">
        <f t="shared" si="3"/>
        <v>7.2999999999999972</v>
      </c>
      <c r="L37" s="2799" t="s">
        <v>2566</v>
      </c>
      <c r="N37" s="3152">
        <v>10</v>
      </c>
    </row>
    <row r="38" spans="1:14">
      <c r="A38" s="2781" t="s">
        <v>2541</v>
      </c>
      <c r="B38" s="2782"/>
      <c r="C38" s="2782"/>
      <c r="D38" s="2782"/>
      <c r="E38" s="2782"/>
      <c r="F38" s="2782"/>
      <c r="G38" s="2783"/>
      <c r="I38" s="2799">
        <v>25</v>
      </c>
      <c r="J38" s="2799">
        <v>89.3</v>
      </c>
      <c r="K38" s="2799">
        <f t="shared" si="3"/>
        <v>5.7000000000000028</v>
      </c>
      <c r="L38" s="2799" t="s">
        <v>2570</v>
      </c>
      <c r="N38" s="3152">
        <v>8</v>
      </c>
    </row>
    <row r="39" spans="1:14">
      <c r="A39" s="2781"/>
      <c r="B39" s="2782"/>
      <c r="C39" s="2782"/>
      <c r="D39" s="2782"/>
      <c r="E39" s="2782"/>
      <c r="F39" s="2782"/>
      <c r="G39" s="2783"/>
      <c r="I39" s="2799">
        <v>30</v>
      </c>
      <c r="J39" s="2799">
        <v>93.8</v>
      </c>
      <c r="K39" s="2799">
        <f t="shared" si="3"/>
        <v>4.5</v>
      </c>
      <c r="L39" s="2799" t="s">
        <v>2571</v>
      </c>
      <c r="N39" s="3152">
        <v>6</v>
      </c>
    </row>
    <row r="40" spans="1:14">
      <c r="A40" s="2784" t="s">
        <v>2542</v>
      </c>
      <c r="B40" s="2785"/>
      <c r="C40" s="2785"/>
      <c r="D40" s="2785"/>
      <c r="E40" s="2785"/>
      <c r="F40" s="2785"/>
      <c r="G40" s="2786"/>
      <c r="I40" s="2799">
        <v>35</v>
      </c>
      <c r="J40" s="2799">
        <v>97.2</v>
      </c>
      <c r="K40" s="2799">
        <f t="shared" si="3"/>
        <v>3.4000000000000057</v>
      </c>
      <c r="L40" s="2799" t="s">
        <v>2572</v>
      </c>
      <c r="N40" s="3152">
        <v>3</v>
      </c>
    </row>
    <row r="41" spans="1:14">
      <c r="A41" s="2787" t="s">
        <v>2543</v>
      </c>
      <c r="B41" s="2788" t="s">
        <v>2544</v>
      </c>
      <c r="C41" s="2789" t="s">
        <v>2545</v>
      </c>
      <c r="D41" s="2789" t="s">
        <v>2546</v>
      </c>
      <c r="E41" s="2790"/>
      <c r="F41" s="2791"/>
      <c r="G41" s="2792"/>
      <c r="I41" s="2799">
        <v>40</v>
      </c>
      <c r="J41" s="2799">
        <v>100</v>
      </c>
      <c r="K41" s="2799">
        <f t="shared" si="3"/>
        <v>2.7999999999999972</v>
      </c>
    </row>
    <row r="42" spans="1:14">
      <c r="A42" s="2787" t="s">
        <v>2547</v>
      </c>
      <c r="B42" s="2788" t="s">
        <v>2548</v>
      </c>
      <c r="C42" s="2789" t="s">
        <v>2549</v>
      </c>
      <c r="D42" s="2793" t="s">
        <v>2550</v>
      </c>
      <c r="E42" s="2785" t="s">
        <v>2551</v>
      </c>
      <c r="F42" s="2785"/>
      <c r="G42" s="2786"/>
    </row>
    <row r="43" spans="1:14">
      <c r="A43" s="2787" t="s">
        <v>2552</v>
      </c>
      <c r="B43" s="2788" t="s">
        <v>2553</v>
      </c>
      <c r="C43" s="2789" t="s">
        <v>2554</v>
      </c>
      <c r="D43" s="2789" t="s">
        <v>2555</v>
      </c>
      <c r="E43" s="2790" t="s">
        <v>2556</v>
      </c>
      <c r="F43" s="2791"/>
      <c r="G43" s="2792"/>
      <c r="I43" s="2799" t="s">
        <v>2564</v>
      </c>
      <c r="J43" s="2799" t="s">
        <v>2575</v>
      </c>
    </row>
    <row r="44" spans="1:14">
      <c r="A44" s="2787" t="s">
        <v>2557</v>
      </c>
      <c r="B44" s="2788" t="s">
        <v>2558</v>
      </c>
      <c r="C44" s="2789" t="s">
        <v>2559</v>
      </c>
      <c r="D44" s="2793">
        <v>0.5</v>
      </c>
      <c r="E44" s="2790" t="s">
        <v>2560</v>
      </c>
      <c r="F44" s="2791"/>
      <c r="G44" s="2792"/>
      <c r="I44" s="2799">
        <v>30</v>
      </c>
      <c r="J44" s="2799">
        <v>81.7</v>
      </c>
    </row>
    <row r="45" spans="1:14" ht="15" thickBot="1">
      <c r="A45" s="2794" t="s">
        <v>2561</v>
      </c>
      <c r="B45" s="2795" t="s">
        <v>2548</v>
      </c>
      <c r="C45" s="2796" t="s">
        <v>2548</v>
      </c>
      <c r="D45" s="2796" t="s">
        <v>2562</v>
      </c>
      <c r="E45" s="2797" t="s">
        <v>2563</v>
      </c>
      <c r="F45" s="2797"/>
      <c r="G45" s="2798"/>
      <c r="I45" s="2799">
        <v>40</v>
      </c>
      <c r="J45" s="2799">
        <v>89.2</v>
      </c>
      <c r="K45" s="2799">
        <f>J45-J44</f>
        <v>7.5</v>
      </c>
    </row>
    <row r="46" spans="1:14">
      <c r="I46" s="2799">
        <v>50</v>
      </c>
      <c r="J46" s="2799">
        <v>94.3</v>
      </c>
      <c r="K46" s="2799">
        <f t="shared" ref="K46:K47" si="4">J46-J45</f>
        <v>5.0999999999999943</v>
      </c>
    </row>
    <row r="47" spans="1:14">
      <c r="I47" s="2799">
        <v>60</v>
      </c>
      <c r="J47" s="2799">
        <v>97.7</v>
      </c>
      <c r="K47" s="2799">
        <f t="shared" si="4"/>
        <v>3.4000000000000057</v>
      </c>
    </row>
    <row r="48" spans="1:14" ht="15" thickBot="1"/>
    <row r="49" spans="1:4">
      <c r="A49" s="2755" t="s">
        <v>3390</v>
      </c>
    </row>
    <row r="50" spans="1:4">
      <c r="A50" s="3144" t="s">
        <v>3391</v>
      </c>
      <c r="B50" s="3144" t="s">
        <v>3392</v>
      </c>
      <c r="C50" s="3144" t="s">
        <v>3393</v>
      </c>
      <c r="D50" s="3144" t="s">
        <v>3394</v>
      </c>
    </row>
    <row r="51" spans="1:4">
      <c r="A51" s="3144" t="s">
        <v>3395</v>
      </c>
      <c r="B51" s="2764">
        <f>B52+B53</f>
        <v>15000</v>
      </c>
      <c r="C51" s="3145">
        <f>D51/B51</f>
        <v>2666.6666666666665</v>
      </c>
      <c r="D51" s="2764">
        <f>D52+D53</f>
        <v>40000000</v>
      </c>
    </row>
    <row r="52" spans="1:4">
      <c r="A52" s="3146" t="s">
        <v>3396</v>
      </c>
      <c r="B52" s="3147">
        <v>10000</v>
      </c>
      <c r="C52" s="3147">
        <v>1500</v>
      </c>
      <c r="D52" s="3148">
        <f>C52*B52</f>
        <v>15000000</v>
      </c>
    </row>
    <row r="53" spans="1:4">
      <c r="A53" s="3146" t="s">
        <v>3397</v>
      </c>
      <c r="B53" s="3147">
        <v>5000</v>
      </c>
      <c r="C53" s="3147">
        <v>5000</v>
      </c>
      <c r="D53" s="3148">
        <f>C53*B53</f>
        <v>25000000</v>
      </c>
    </row>
    <row r="54" spans="1:4">
      <c r="A54" s="3144" t="s">
        <v>3398</v>
      </c>
      <c r="B54" s="2764">
        <f>B51</f>
        <v>15000</v>
      </c>
      <c r="C54" s="2770">
        <v>700</v>
      </c>
      <c r="D54" s="2764">
        <f t="shared" ref="D54:D55" si="5">C54*B54</f>
        <v>10500000</v>
      </c>
    </row>
    <row r="55" spans="1:4">
      <c r="A55" s="3144" t="s">
        <v>3399</v>
      </c>
      <c r="B55" s="2764">
        <f>B51</f>
        <v>15000</v>
      </c>
      <c r="C55" s="2770">
        <v>1500</v>
      </c>
      <c r="D55" s="2764">
        <f t="shared" si="5"/>
        <v>22500000</v>
      </c>
    </row>
    <row r="56" spans="1:4">
      <c r="A56" s="3144" t="s">
        <v>3400</v>
      </c>
      <c r="B56" s="2764">
        <f>B51</f>
        <v>15000</v>
      </c>
      <c r="C56" s="3149">
        <f>C51+C54+C55</f>
        <v>4866.6666666666661</v>
      </c>
      <c r="D56" s="2764">
        <f>D51+D54+D55</f>
        <v>73000000</v>
      </c>
    </row>
    <row r="58" spans="1:4">
      <c r="A58" s="3144" t="s">
        <v>3401</v>
      </c>
      <c r="B58" s="3150">
        <v>0.05</v>
      </c>
      <c r="C58" s="2764">
        <f>C56*(1+B58)</f>
        <v>5110</v>
      </c>
      <c r="D58" s="2764">
        <f>D56*B58</f>
        <v>3650000</v>
      </c>
    </row>
    <row r="60" spans="1:4">
      <c r="A60" s="3144" t="s">
        <v>3402</v>
      </c>
      <c r="B60" s="2770">
        <v>3500</v>
      </c>
      <c r="C60" s="2770">
        <f>C53</f>
        <v>5000</v>
      </c>
      <c r="D60" s="2764">
        <f>C60*B60</f>
        <v>17500000</v>
      </c>
    </row>
    <row r="62" spans="1:4">
      <c r="A62" s="3144" t="s">
        <v>3403</v>
      </c>
      <c r="B62" s="2770">
        <f>B51</f>
        <v>15000</v>
      </c>
      <c r="C62" s="3151">
        <f>D62/B62</f>
        <v>6276.666666666667</v>
      </c>
      <c r="D62" s="2770">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3" sqref="D3"/>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14" t="str">
        <f>IF(B10="北京市","北京市",C10)&amp;F10&amp;IF(结果表!G1="在建","出让国有建设用地使用权及在建建筑物",IF(结果表!G1="土地","出让国有建设用地使用权",))&amp;B9&amp;"预评估"</f>
        <v>北京市房地产抵押价值预评估</v>
      </c>
      <c r="C1" s="3215"/>
      <c r="D1" s="3215"/>
      <c r="E1" s="3215"/>
      <c r="F1" s="3215"/>
      <c r="G1" s="3215"/>
      <c r="H1" s="3215"/>
      <c r="I1" s="3216"/>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7"/>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c r="C3" s="2186" t="s">
        <v>2171</v>
      </c>
      <c r="D3" s="2185">
        <v>45734</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2175</v>
      </c>
      <c r="B7" s="3153" t="s">
        <v>3407</v>
      </c>
      <c r="C7" s="2196"/>
      <c r="D7" s="2197"/>
      <c r="E7" s="2440"/>
      <c r="F7" s="2441"/>
      <c r="G7" s="2441"/>
      <c r="H7" s="2441"/>
      <c r="I7" s="2441"/>
      <c r="J7" s="2244"/>
      <c r="K7" s="2401"/>
      <c r="L7" s="2398"/>
      <c r="M7" s="2398"/>
      <c r="N7" s="2244"/>
      <c r="O7" s="1670"/>
      <c r="P7" s="2244"/>
      <c r="Q7" s="2244"/>
      <c r="R7" s="2244"/>
    </row>
    <row r="8" spans="1:30">
      <c r="A8" s="2198" t="s">
        <v>2176</v>
      </c>
      <c r="B8" s="2199" t="s">
        <v>3406</v>
      </c>
      <c r="C8" s="2200"/>
      <c r="D8" s="3217" t="s">
        <v>2177</v>
      </c>
      <c r="E8" s="2201" t="s">
        <v>3405</v>
      </c>
      <c r="F8" s="2202"/>
      <c r="G8" s="2441"/>
      <c r="H8" s="2441"/>
      <c r="I8" s="2441"/>
      <c r="J8" s="2244"/>
      <c r="K8" s="2399"/>
      <c r="L8" s="2398"/>
      <c r="M8" s="2398"/>
      <c r="N8" s="2244"/>
      <c r="O8" s="1670"/>
      <c r="P8" s="2244"/>
      <c r="Q8" s="2244"/>
      <c r="R8" s="2244"/>
    </row>
    <row r="9" spans="1:30" ht="13.8" thickBot="1">
      <c r="A9" s="2203" t="s">
        <v>2178</v>
      </c>
      <c r="B9" s="2204" t="s">
        <v>3405</v>
      </c>
      <c r="C9" s="2205"/>
      <c r="D9" s="3218"/>
      <c r="E9" s="2204"/>
      <c r="F9" s="2206"/>
      <c r="G9" s="2442"/>
      <c r="H9" s="2442"/>
      <c r="I9" s="2442"/>
      <c r="J9" s="2244"/>
      <c r="K9" s="2401"/>
      <c r="L9" s="2398"/>
      <c r="M9" s="2398"/>
      <c r="N9" s="2244"/>
      <c r="O9" s="1670"/>
      <c r="P9" s="2244"/>
      <c r="Q9" s="2244"/>
      <c r="R9" s="2244"/>
    </row>
    <row r="10" spans="1:30" ht="13.8" thickTop="1">
      <c r="A10" s="2207" t="s">
        <v>2179</v>
      </c>
      <c r="B10" s="2208" t="s">
        <v>3408</v>
      </c>
      <c r="C10" s="2209"/>
      <c r="D10" s="2193"/>
      <c r="E10" s="2210" t="s">
        <v>2180</v>
      </c>
      <c r="F10" s="2443"/>
      <c r="G10" s="2444"/>
      <c r="H10" s="2445"/>
      <c r="I10" s="2446"/>
      <c r="J10" s="2244"/>
      <c r="K10" s="2401"/>
      <c r="L10" s="2398"/>
      <c r="M10" s="2398"/>
      <c r="N10" s="2244"/>
      <c r="O10" s="1670"/>
      <c r="P10" s="2244"/>
      <c r="Q10" s="2244"/>
      <c r="R10" s="2244"/>
    </row>
    <row r="11" spans="1:30">
      <c r="A11" s="2211" t="s">
        <v>2181</v>
      </c>
      <c r="B11" s="2212" t="s">
        <v>3409</v>
      </c>
      <c r="C11" s="2213"/>
      <c r="D11" s="2214"/>
      <c r="E11" s="2182"/>
      <c r="F11" s="2182"/>
      <c r="G11" s="2182"/>
      <c r="H11" s="2182"/>
      <c r="I11" s="2182"/>
      <c r="J11" s="2801"/>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2576</v>
      </c>
      <c r="J12" s="2802"/>
      <c r="K12" s="2398"/>
      <c r="L12" s="2398"/>
      <c r="M12" s="2244"/>
      <c r="N12" s="1670"/>
      <c r="O12" s="2244"/>
      <c r="P12" s="2244"/>
      <c r="Q12" s="2244"/>
      <c r="AD12" s="1618"/>
    </row>
    <row r="13" spans="1:30">
      <c r="A13" s="3121" t="s">
        <v>3332</v>
      </c>
      <c r="B13" s="2217" t="s">
        <v>2190</v>
      </c>
      <c r="C13" s="803"/>
      <c r="D13" s="803">
        <f>信息!$L$9</f>
        <v>52298</v>
      </c>
      <c r="E13" s="803"/>
      <c r="F13" s="803"/>
      <c r="G13" s="803"/>
      <c r="H13" s="803"/>
      <c r="I13" s="803"/>
      <c r="J13" s="2802"/>
      <c r="K13" s="2398"/>
      <c r="L13" s="2398"/>
      <c r="M13" s="2244"/>
      <c r="N13" s="1670"/>
      <c r="O13" s="2244"/>
      <c r="P13" s="2244"/>
      <c r="Q13" s="2244"/>
      <c r="AD13" s="1618"/>
    </row>
    <row r="14" spans="1:30">
      <c r="A14" s="1018"/>
      <c r="B14" s="2217" t="s">
        <v>2191</v>
      </c>
      <c r="C14" s="2218"/>
      <c r="D14" s="2218"/>
      <c r="E14" s="2218"/>
      <c r="F14" s="2218"/>
      <c r="G14" s="2218"/>
      <c r="H14" s="2218"/>
      <c r="I14" s="2218"/>
      <c r="J14" s="2803"/>
      <c r="K14" s="2398"/>
      <c r="L14" s="2398"/>
      <c r="M14" s="2244"/>
      <c r="N14" s="1670"/>
      <c r="O14" s="2244"/>
      <c r="P14" s="2244"/>
      <c r="Q14" s="2244"/>
      <c r="AD14" s="1618"/>
    </row>
    <row r="15" spans="1:30">
      <c r="A15" s="312"/>
      <c r="B15" s="2219" t="s">
        <v>2192</v>
      </c>
      <c r="C15" s="2220" t="str">
        <f>IF(A13="出让",IF(C13="","",ROUNDDOWN(MIN((C13-$D$3)/365,C14),2)),C14)</f>
        <v/>
      </c>
      <c r="D15" s="2220">
        <f>IF(A13="出让",IF(D13="","",ROUNDDOWN(MIN((D13-$D$3)/365,D14),2)),D14)</f>
        <v>17.98</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70"/>
      <c r="L15" s="1670"/>
      <c r="M15" s="2244"/>
      <c r="N15" s="1670"/>
      <c r="O15" s="2244"/>
      <c r="P15" s="2244"/>
      <c r="Q15" s="2244"/>
      <c r="AD15" s="1618"/>
    </row>
    <row r="16" spans="1:30">
      <c r="A16" s="2210" t="s">
        <v>2193</v>
      </c>
      <c r="B16" s="3224"/>
      <c r="C16" s="3225"/>
      <c r="D16" s="3226"/>
      <c r="E16" s="2221" t="s">
        <v>2194</v>
      </c>
      <c r="F16" s="3227"/>
      <c r="G16" s="3228"/>
      <c r="H16" s="3228"/>
      <c r="I16" s="3229"/>
      <c r="J16" s="2244"/>
      <c r="K16" s="2402"/>
      <c r="L16" s="1670"/>
      <c r="M16" s="1670"/>
      <c r="N16" s="2244"/>
      <c r="O16" s="1670"/>
      <c r="P16" s="2244"/>
      <c r="Q16" s="2244"/>
      <c r="R16" s="2244"/>
    </row>
    <row r="17" spans="1:28">
      <c r="A17" s="305" t="s">
        <v>2195</v>
      </c>
      <c r="B17" s="294" t="s">
        <v>2196</v>
      </c>
      <c r="C17" s="8">
        <f>'数据-汇总表'!E3</f>
        <v>166.53</v>
      </c>
      <c r="D17" s="1256" t="s">
        <v>2197</v>
      </c>
      <c r="E17" s="3230" t="s">
        <v>2198</v>
      </c>
      <c r="F17" s="3231"/>
      <c r="G17" s="3231"/>
      <c r="H17" s="3231"/>
      <c r="I17" s="3232"/>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33" t="s">
        <v>2202</v>
      </c>
      <c r="F18" s="3234"/>
      <c r="G18" s="3234"/>
      <c r="H18" s="3234"/>
      <c r="I18" s="3235"/>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20" t="s">
        <v>2206</v>
      </c>
      <c r="C20" s="3221"/>
      <c r="D20" s="3222" t="s">
        <v>2207</v>
      </c>
      <c r="E20" s="3223"/>
      <c r="F20" s="2429" t="s">
        <v>1056</v>
      </c>
      <c r="G20" s="2441"/>
      <c r="H20" s="2441"/>
      <c r="I20" s="2441"/>
      <c r="J20" s="2244"/>
      <c r="K20" s="321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2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21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08" t="s">
        <v>2214</v>
      </c>
      <c r="B27" s="312" t="s">
        <v>2215</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208"/>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08"/>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09"/>
      <c r="B30" s="294" t="s">
        <v>2218</v>
      </c>
      <c r="C30" s="3210"/>
      <c r="D30" s="3211"/>
      <c r="E30" s="2441"/>
      <c r="F30" s="2441"/>
      <c r="G30" s="2441"/>
      <c r="H30" s="2441"/>
      <c r="I30" s="2441"/>
      <c r="J30" s="2244"/>
      <c r="K30" s="2401"/>
      <c r="L30" s="2398"/>
      <c r="M30" s="2398"/>
      <c r="N30" s="2244"/>
      <c r="O30" s="1670"/>
      <c r="P30" s="2244"/>
      <c r="Q30" s="2244"/>
      <c r="R30" s="2244"/>
      <c r="S30" s="2244"/>
      <c r="T30" s="2244"/>
      <c r="U30" s="2244"/>
      <c r="V30" s="2244"/>
    </row>
    <row r="31" spans="1:28">
      <c r="A31" s="3212" t="s">
        <v>2219</v>
      </c>
      <c r="B31" s="2230" t="s">
        <v>3453</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13"/>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13"/>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207" t="s">
        <v>2228</v>
      </c>
      <c r="T34" s="315" t="str">
        <f>NUMBERSTRING(7-K34,1)&amp;"通"</f>
        <v>七通</v>
      </c>
      <c r="U34" s="2244"/>
      <c r="V34" s="2244"/>
    </row>
    <row r="35" spans="1:30">
      <c r="A35" s="2235"/>
      <c r="B35" s="3207" t="s">
        <v>2229</v>
      </c>
      <c r="C35" s="3207"/>
      <c r="D35" s="3207"/>
      <c r="E35" s="3207"/>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7"/>
      <c r="T35" s="138" t="str">
        <f>IF(T34="一通",L35,IF(T34="二通",M35,IF(T34="三通",N35,IF(T34="四通",O35,IF(T34="五通",P35,IF(T34="六通",Q35,R35))))))</f>
        <v>、、、、、、</v>
      </c>
      <c r="U35" s="2244"/>
      <c r="V35" s="2244"/>
    </row>
    <row r="36" spans="1:30">
      <c r="A36" s="2183"/>
      <c r="B36" s="8" t="s">
        <v>2185</v>
      </c>
      <c r="C36" s="8" t="s">
        <v>2186</v>
      </c>
      <c r="D36" s="8" t="s">
        <v>2184</v>
      </c>
      <c r="E36" s="8" t="s">
        <v>2189</v>
      </c>
      <c r="F36" s="2800" t="s">
        <v>2579</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1583.73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1583.73</v>
      </c>
      <c r="H5" s="13">
        <f t="shared" ref="H5:AT5" si="0">SUM(H13:H656)</f>
        <v>1583.73</v>
      </c>
      <c r="I5" s="13">
        <f t="shared" si="0"/>
        <v>1583.73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166.53</v>
      </c>
      <c r="BA5" s="15">
        <f t="shared" si="1"/>
        <v>166.53</v>
      </c>
      <c r="BB5" s="15">
        <f t="shared" si="1"/>
        <v>166.53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3454</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t="str">
        <f>信息!F2</f>
        <v>商业3</v>
      </c>
      <c r="D13" s="1513" t="s">
        <v>3452</v>
      </c>
      <c r="E13" s="13">
        <f>IF($C$3="是",ROUND($A$3*G13/$B$3,2),ROUND($A$3*(G13-AT13)/$B$3,2))</f>
        <v>0</v>
      </c>
      <c r="F13" s="29"/>
      <c r="G13" s="30">
        <f>H13+AC13+AT13</f>
        <v>166.53</v>
      </c>
      <c r="H13" s="17">
        <f>SUMIF(I$12:AB$12,"总值",I13:AB13)</f>
        <v>166.53</v>
      </c>
      <c r="I13" s="1514">
        <f>信息!G2</f>
        <v>166.53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商业3</v>
      </c>
      <c r="AY13" s="1260">
        <f>ROUND($AY$6*AZ13/$AZ$5,2)</f>
        <v>0</v>
      </c>
      <c r="AZ13" s="13">
        <f>BA13+BL13</f>
        <v>166.53</v>
      </c>
      <c r="BA13" s="13">
        <f>SUM(BB13:BK13)</f>
        <v>166.53</v>
      </c>
      <c r="BB13" s="13">
        <f>IF($D13="是",I13-J13,0)</f>
        <v>166.53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628" t="str">
        <f>信息!F3</f>
        <v>商业4</v>
      </c>
      <c r="D14" s="1513"/>
      <c r="E14" s="13">
        <f>IF($C$3="是",ROUND($A$3*G14/$B$3,2),ROUND($A$3*(G14-AT14)/$B$3,2))</f>
        <v>0</v>
      </c>
      <c r="F14" s="29"/>
      <c r="G14" s="30">
        <f>H14+AC14+AT14</f>
        <v>189.43</v>
      </c>
      <c r="H14" s="17">
        <f>SUMIF(I$12:AB$12,"总值",I14:AB14)</f>
        <v>189.43</v>
      </c>
      <c r="I14" s="1514">
        <f>信息!G3</f>
        <v>189.43</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商业4</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628" t="str">
        <f>信息!F4</f>
        <v>商业5</v>
      </c>
      <c r="D15" s="1513"/>
      <c r="E15" s="13">
        <f>IF($C$3="是",ROUND($A$3*G15/$B$3,2),ROUND($A$3*(G15-AT15)/$B$3,2))</f>
        <v>0</v>
      </c>
      <c r="F15" s="29"/>
      <c r="G15" s="30">
        <f>H15+AC15+AT15</f>
        <v>230.28</v>
      </c>
      <c r="H15" s="17">
        <f>SUMIF(I$12:AB$12,"总值",I15:AB15)</f>
        <v>230.28</v>
      </c>
      <c r="I15" s="1514">
        <f>信息!G4</f>
        <v>230.28</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商业5</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628" t="str">
        <f>信息!F5</f>
        <v>商业6</v>
      </c>
      <c r="D16" s="1513"/>
      <c r="E16" s="13">
        <f>IF($C$3="是",ROUND($A$3*G16/$B$3,2),ROUND($A$3*(G16-AT16)/$B$3,2))</f>
        <v>0</v>
      </c>
      <c r="F16" s="29"/>
      <c r="G16" s="30">
        <f>H16+AC16+AT16</f>
        <v>140.07</v>
      </c>
      <c r="H16" s="17">
        <f>SUMIF(I$12:AB$12,"总值",I16:AB16)</f>
        <v>140.07</v>
      </c>
      <c r="I16" s="1514">
        <f>信息!G5</f>
        <v>140.07</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商业6</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628" t="str">
        <f>信息!F6</f>
        <v>商业35</v>
      </c>
      <c r="D17" s="1513"/>
      <c r="E17" s="13">
        <f>IF($C$3="是",ROUND($A$3*G17/$B$3,2),ROUND($A$3*(G17-AT17)/$B$3,2))</f>
        <v>0</v>
      </c>
      <c r="F17" s="29"/>
      <c r="G17" s="30">
        <f>H17+AC17+AT17</f>
        <v>185.68</v>
      </c>
      <c r="H17" s="17">
        <f>SUMIF(I$12:AB$12,"总值",I17:AB17)</f>
        <v>185.68</v>
      </c>
      <c r="I17" s="1514">
        <f>信息!G6</f>
        <v>185.68</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商业35</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信息!F7</f>
        <v>商业42</v>
      </c>
      <c r="D18" s="1516"/>
      <c r="E18" s="32">
        <f t="shared" ref="E18:E112" si="7">IF($C$3="是",ROUND($A$3*G18/$B$3,2),ROUND($A$3*(G18-AT18)/$B$3,2))</f>
        <v>0</v>
      </c>
      <c r="F18" s="33"/>
      <c r="G18" s="34">
        <f t="shared" ref="G18:G109" si="8">H18+AC18+AT18</f>
        <v>228.8</v>
      </c>
      <c r="H18" s="35">
        <f t="shared" ref="H18:H109" si="9">SUMIF(I$12:AB$12,"总值",I18:AB18)</f>
        <v>228.8</v>
      </c>
      <c r="I18" s="1514">
        <f>信息!G7</f>
        <v>228.8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商业42</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信息!F8</f>
        <v>商业45</v>
      </c>
      <c r="D19" s="1516"/>
      <c r="E19" s="32">
        <f t="shared" si="7"/>
        <v>0</v>
      </c>
      <c r="F19" s="33"/>
      <c r="G19" s="34">
        <f t="shared" si="8"/>
        <v>200.67</v>
      </c>
      <c r="H19" s="35">
        <f t="shared" si="9"/>
        <v>200.67</v>
      </c>
      <c r="I19" s="1514">
        <f>信息!G8</f>
        <v>200.67</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商业45</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信息!F9</f>
        <v>商业46</v>
      </c>
      <c r="D20" s="1516"/>
      <c r="E20" s="32">
        <f t="shared" si="7"/>
        <v>0</v>
      </c>
      <c r="F20" s="33"/>
      <c r="G20" s="34">
        <f t="shared" si="8"/>
        <v>242.27</v>
      </c>
      <c r="H20" s="35">
        <f t="shared" si="9"/>
        <v>242.27</v>
      </c>
      <c r="I20" s="1514">
        <f>信息!G9</f>
        <v>242.27</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商业46</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5" t="s">
        <v>1131</v>
      </c>
      <c r="B2" s="3245"/>
      <c r="C2" s="3245"/>
      <c r="D2" s="748" t="s">
        <v>1107</v>
      </c>
      <c r="E2" s="1523" t="s">
        <v>1108</v>
      </c>
      <c r="F2" s="2438"/>
      <c r="G2" s="2431"/>
      <c r="H2" s="2432"/>
      <c r="I2" s="2146" t="s">
        <v>1132</v>
      </c>
      <c r="J2" s="2438"/>
      <c r="K2" s="2438"/>
      <c r="L2" s="2438"/>
      <c r="M2" s="2438"/>
      <c r="N2" s="2439"/>
      <c r="O2" s="2438"/>
      <c r="P2" s="2438"/>
    </row>
    <row r="3" spans="1:16" ht="15" thickBot="1">
      <c r="A3" s="3246" t="s">
        <v>1105</v>
      </c>
      <c r="B3" s="3246"/>
      <c r="C3" s="3246"/>
      <c r="D3" s="41">
        <f>'数据-基础表'!AY6</f>
        <v>0</v>
      </c>
      <c r="E3" s="41">
        <f>'数据-基础表'!AZ5</f>
        <v>166.53</v>
      </c>
      <c r="F3" s="2438"/>
      <c r="G3" s="42"/>
      <c r="H3" s="43" t="s">
        <v>1106</v>
      </c>
      <c r="I3" s="802" t="e">
        <f>ROUND('数据-基础表'!B3/'数据-基础表'!A3,2)</f>
        <v>#DIV/0!</v>
      </c>
      <c r="J3" s="2438"/>
      <c r="K3" s="2438"/>
      <c r="L3" s="2438"/>
      <c r="M3" s="2438"/>
      <c r="N3" s="2439"/>
      <c r="O3" s="2438"/>
      <c r="P3" s="2438"/>
    </row>
    <row r="4" spans="1:16" ht="14.4">
      <c r="A4" s="3247"/>
      <c r="B4" s="3248"/>
      <c r="C4" s="3249"/>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50" t="s">
        <v>1110</v>
      </c>
      <c r="C5" s="3250"/>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50" t="s">
        <v>1111</v>
      </c>
      <c r="C6" s="3250"/>
      <c r="D6" s="43">
        <f>ROUND($D$3*E6/$E$3,2)</f>
        <v>0</v>
      </c>
      <c r="E6" s="44">
        <f>E3-E5</f>
        <v>166.53</v>
      </c>
      <c r="F6" s="2438"/>
      <c r="G6" s="1529" t="s">
        <v>1112</v>
      </c>
      <c r="H6" s="45" t="s">
        <v>1113</v>
      </c>
      <c r="I6" s="2434" t="e">
        <f>ROUND(F31/D31,2)</f>
        <v>#DIV/0!</v>
      </c>
      <c r="J6" s="2438"/>
      <c r="K6" s="2438"/>
      <c r="L6" s="2438"/>
      <c r="M6" s="2438"/>
      <c r="N6" s="2438"/>
      <c r="O6" s="2438"/>
      <c r="P6" s="2438"/>
    </row>
    <row r="7" spans="1:16" ht="15" thickBot="1">
      <c r="A7" s="3242"/>
      <c r="B7" s="3243"/>
      <c r="C7" s="3244"/>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166.53</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166.53</v>
      </c>
      <c r="F16" s="2438"/>
      <c r="G16" s="2438"/>
      <c r="H16" s="1531" t="s">
        <v>1135</v>
      </c>
      <c r="I16" s="1532"/>
      <c r="J16" s="1071"/>
      <c r="K16" s="3239" t="s">
        <v>1135</v>
      </c>
      <c r="L16" s="3240"/>
      <c r="M16" s="3240"/>
      <c r="N16" s="3240"/>
      <c r="O16" s="3240"/>
      <c r="P16" s="3241"/>
    </row>
    <row r="17" spans="1:19" ht="14.4">
      <c r="A17" s="1533" t="s">
        <v>1136</v>
      </c>
      <c r="B17" s="1534" t="s">
        <v>1137</v>
      </c>
      <c r="C17" s="1535" t="s">
        <v>1138</v>
      </c>
      <c r="D17" s="1536" t="s">
        <v>1126</v>
      </c>
      <c r="E17" s="1537" t="s">
        <v>1127</v>
      </c>
      <c r="F17" s="1538"/>
      <c r="G17" s="1539"/>
      <c r="H17" s="1540" t="s">
        <v>1139</v>
      </c>
      <c r="I17" s="1541" t="s">
        <v>1124</v>
      </c>
      <c r="J17" s="1071"/>
      <c r="K17" s="3236" t="s">
        <v>1140</v>
      </c>
      <c r="L17" s="3237"/>
      <c r="M17" s="3238"/>
      <c r="N17" s="3236" t="s">
        <v>1141</v>
      </c>
      <c r="O17" s="3237"/>
      <c r="P17" s="323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5" t="str">
        <f>'数据-基础表'!C13</f>
        <v>商业3</v>
      </c>
      <c r="D19" s="43">
        <f>ROUND($D$3*E19/$E$3,2)</f>
        <v>0</v>
      </c>
      <c r="E19" s="51">
        <f t="shared" ref="E19:E26" si="1">SUM(F19:G19)</f>
        <v>166.53</v>
      </c>
      <c r="F19" s="2557">
        <f>'数据-基础表'!G13</f>
        <v>166.53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166.53</v>
      </c>
    </row>
    <row r="20" spans="1:19" ht="14.4">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166.53</v>
      </c>
      <c r="F27" s="1072">
        <f>IF(SUM(F19:F26)=E8,SUM(F19:F26),"地上面积有误")</f>
        <v>166.53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166.53</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166.53</v>
      </c>
      <c r="F31" s="644">
        <f>F27+F30</f>
        <v>166.53</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U7" sqref="U7"/>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 thickBot="1">
      <c r="A2" s="1562" t="s">
        <v>1161</v>
      </c>
      <c r="B2" s="984">
        <f>项目基本情况!D3</f>
        <v>45734</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3462</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商业3</v>
      </c>
      <c r="B6" s="1587" t="str">
        <f>IF(A6=0,"","经营性")</f>
        <v>经营性</v>
      </c>
      <c r="C6" s="1588" t="s">
        <v>673</v>
      </c>
      <c r="D6" s="805">
        <f>SUMIF(项目基本情况!C$12:I$12,C6,项目基本情况!C$14:I$14)</f>
        <v>0</v>
      </c>
      <c r="E6" s="804">
        <f>IF(B6="","",SUMIF(项目基本情况!C$12:I$12,C6,项目基本情况!C$13:I$13))</f>
        <v>52298</v>
      </c>
      <c r="F6" s="61">
        <f>SUMIF(项目基本情况!C$12:I$12,C6,项目基本情况!C$15:I$15)</f>
        <v>17.98</v>
      </c>
      <c r="G6" s="62">
        <f>IF(ISERROR(ROUND(POWER(1+H6,D6-F6)*(POWER(1+H6,F6)-1)/(POWER(1+H6,D6)-1),3)),0,ROUND(POWER(1+H6,D6-F6)*(POWER(1+H6,F6)-1)/(POWER(1+H6,D6)-1),3))</f>
        <v>0</v>
      </c>
      <c r="H6" s="691">
        <v>0.05</v>
      </c>
      <c r="I6" s="691">
        <v>5.5E-2</v>
      </c>
      <c r="J6" s="63">
        <v>7.0000000000000007E-2</v>
      </c>
      <c r="K6" s="970">
        <f>SUMIF('数据-汇总表'!C$19:C$33,A6,'数据-汇总表'!E$19:E$33)</f>
        <v>166.53</v>
      </c>
      <c r="L6" s="692">
        <v>3000</v>
      </c>
      <c r="M6" s="64">
        <f t="shared" ref="M6:M14" si="0">ROUND(K6*L6/10000,0)</f>
        <v>50</v>
      </c>
      <c r="N6" s="690">
        <f>N19</f>
        <v>0.7</v>
      </c>
      <c r="O6" s="64" t="str">
        <f>IF($N$5="成新度","——",ROUND(M6*N6,0))</f>
        <v>——</v>
      </c>
      <c r="P6" s="65" t="str">
        <f>IF($N$5="成新度","——",M6-O6)</f>
        <v>——</v>
      </c>
      <c r="Q6" s="693">
        <v>0.1</v>
      </c>
      <c r="R6" s="66">
        <f ca="1">SUMIF('数据-汇总表'!C$19:C$33,A6,'数据-汇总表'!R$19:R$27)</f>
        <v>0</v>
      </c>
      <c r="S6" s="49">
        <f>IF('数据-汇总表'!$I$17="按面积比例",SUMIF('数据-汇总表'!C$19:C$33,A6,'数据-汇总表'!K$19:K$33),SUMIF('数据-汇总表'!C$19:C$33,A6,'数据-汇总表'!N$19:N$33))</f>
        <v>0</v>
      </c>
      <c r="T6" s="1092">
        <f>ROUND($L$14*S6/10000,0)</f>
        <v>0</v>
      </c>
      <c r="U6" s="3126">
        <v>4.8</v>
      </c>
      <c r="V6" s="67">
        <v>0.02</v>
      </c>
      <c r="W6" s="67">
        <v>0.1</v>
      </c>
      <c r="X6" s="979"/>
      <c r="Y6" s="68">
        <f>Q6</f>
        <v>0.1</v>
      </c>
      <c r="Z6" s="69"/>
      <c r="AA6" s="63"/>
      <c r="AB6" s="63"/>
      <c r="AC6" s="979"/>
      <c r="AD6" s="70"/>
      <c r="AE6" s="980">
        <f ca="1">IF(AN6="",0,SUMIF(INDIRECT("'"&amp;AN6&amp;"'"&amp;"!E:E"),$AE$5,INDIRECT("'"&amp;AN6&amp;"'"&amp;"!F:F")))</f>
        <v>17.98</v>
      </c>
      <c r="AF6" s="74"/>
      <c r="AG6" s="130">
        <f>IF(AF6="",0,AE6-AF6)</f>
        <v>0</v>
      </c>
      <c r="AH6" s="71"/>
      <c r="AI6" s="73">
        <v>365</v>
      </c>
      <c r="AJ6" s="74"/>
      <c r="AK6" s="75">
        <v>0.01</v>
      </c>
      <c r="AL6" s="76">
        <v>1E-3</v>
      </c>
      <c r="AM6" s="77">
        <v>0.01</v>
      </c>
      <c r="AN6" s="1589" t="s">
        <v>3464</v>
      </c>
      <c r="AO6" s="50">
        <f ca="1">SUMIF(INDIRECT("'"&amp;AN6&amp;"'"&amp;"!A:A"),"总价",INDIRECT("'"&amp;AN6&amp;"'"&amp;"!B:B"))</f>
        <v>299.81380000000001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f>ROUND(SUMPRODUCT(H6:H13,K6:K13)/SUMPRODUCT((H6:H13&gt;0)*(K6:K13)),3)</f>
        <v>0.05</v>
      </c>
      <c r="I16" s="85"/>
      <c r="J16" s="85"/>
      <c r="K16" s="86">
        <f>SUM(K6:K15)</f>
        <v>166.53</v>
      </c>
      <c r="L16" s="87">
        <f>ROUND(M16*10000/SUM(K6:K14),0)</f>
        <v>3002</v>
      </c>
      <c r="M16" s="87">
        <f>SUM(M6:M14)</f>
        <v>50</v>
      </c>
      <c r="N16" s="88">
        <f>ROUND(SUMPRODUCT(M6:M14,N6:N14)/M16,3)</f>
        <v>0.7</v>
      </c>
      <c r="O16" s="87">
        <f>SUM(O6:O14)</f>
        <v>0</v>
      </c>
      <c r="P16" s="87">
        <f>SUM(P6:P14)</f>
        <v>0</v>
      </c>
      <c r="Q16" s="89">
        <f>ROUND(SUMPRODUCT(Q6:Q13,K6:K13)/SUMPRODUCT((Q6:Q13&gt;0)*(K6:K13)),2)</f>
        <v>0.1</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3157" t="s">
        <v>3463</v>
      </c>
      <c r="N18" s="2448">
        <f>信息!$K$2</f>
        <v>2007</v>
      </c>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6" t="s">
        <v>1211</v>
      </c>
      <c r="B19" s="97">
        <v>0</v>
      </c>
      <c r="C19" s="2560" t="s">
        <v>2302</v>
      </c>
      <c r="D19" s="2451"/>
      <c r="E19" s="2438"/>
      <c r="F19" s="2438"/>
      <c r="G19" s="2438"/>
      <c r="H19" s="2438"/>
      <c r="I19" s="2438"/>
      <c r="J19" s="2438"/>
      <c r="K19" s="2449"/>
      <c r="L19" s="2449"/>
      <c r="M19" s="2448"/>
      <c r="N19" s="2448">
        <f>ROUND(1-(1-0)*(2025-N18)/60,2)</f>
        <v>0.7</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7" t="s">
        <v>1212</v>
      </c>
      <c r="B20" s="98">
        <v>1</v>
      </c>
      <c r="C20" s="2561" t="s">
        <v>2300</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8" t="s">
        <v>1213</v>
      </c>
      <c r="B21" s="98">
        <f>B20</f>
        <v>1</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7" t="s">
        <v>1214</v>
      </c>
      <c r="B22" s="99">
        <f>B19+B20</f>
        <v>1</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8" t="s">
        <v>1215</v>
      </c>
      <c r="B23" s="99">
        <f>B19+B21</f>
        <v>1</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1" t="s">
        <v>1220</v>
      </c>
      <c r="B27" s="101">
        <v>160</v>
      </c>
      <c r="C27" s="2562" t="s">
        <v>2304</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3"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5" t="s">
        <v>1225</v>
      </c>
      <c r="B32" s="639"/>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1" t="s">
        <v>1226</v>
      </c>
      <c r="B33" s="640">
        <v>0.05</v>
      </c>
      <c r="C33" s="2564" t="s">
        <v>3386</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2" t="s">
        <v>1227</v>
      </c>
      <c r="B34" s="106">
        <v>0</v>
      </c>
      <c r="C34" s="2564" t="s">
        <v>2295</v>
      </c>
      <c r="D34" s="2459" t="s">
        <v>2301</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2" t="s">
        <v>1228</v>
      </c>
      <c r="B35" s="103">
        <v>200</v>
      </c>
      <c r="C35" s="2564" t="s">
        <v>2296</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0.02</v>
      </c>
      <c r="C36" s="2564" t="s">
        <v>3404</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4" t="s">
        <v>1230</v>
      </c>
      <c r="B37" s="108">
        <v>0.02</v>
      </c>
      <c r="C37" s="2564" t="s">
        <v>3387</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2" t="s">
        <v>1231</v>
      </c>
      <c r="B38" s="106">
        <v>0.02</v>
      </c>
      <c r="C38" s="2564" t="s">
        <v>3388</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4.4" thickBot="1">
      <c r="A40" s="2573" t="s">
        <v>2310</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1"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6"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7" t="s">
        <v>1236</v>
      </c>
      <c r="B44" s="112">
        <v>7.0000000000000007E-2</v>
      </c>
      <c r="C44" s="2564" t="s">
        <v>3389</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7" t="s">
        <v>1237</v>
      </c>
      <c r="B45" s="110">
        <v>0.03</v>
      </c>
      <c r="C45" s="2563" t="s">
        <v>2297</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7" t="s">
        <v>1238</v>
      </c>
      <c r="B46" s="110">
        <v>0.02</v>
      </c>
      <c r="C46" s="2563" t="s">
        <v>2298</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2305</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9" t="s">
        <v>1240</v>
      </c>
      <c r="B48" s="114">
        <v>0.03</v>
      </c>
      <c r="C48" s="2563" t="s">
        <v>2297</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2299</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10" t="s">
        <v>1244</v>
      </c>
      <c r="B52" s="117">
        <f>SUMIF(A54:A63,B53,B54:B63)</f>
        <v>3</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2" t="s">
        <v>1245</v>
      </c>
      <c r="B53" s="1611" t="s">
        <v>303</v>
      </c>
      <c r="C53" s="2439" t="s">
        <v>1246</v>
      </c>
      <c r="D53" s="2565" t="s">
        <v>2303</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2"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2"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2"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2"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2" t="s">
        <v>1251</v>
      </c>
      <c r="B58" s="72">
        <f>C58</f>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2"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51" t="s">
        <v>2286</v>
      </c>
      <c r="B1" s="3252"/>
      <c r="C1" s="3252"/>
      <c r="D1" s="3252"/>
      <c r="E1" s="3252"/>
      <c r="F1" s="3252"/>
      <c r="G1" s="3252"/>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230.28</v>
      </c>
      <c r="C1" s="2461"/>
      <c r="D1" s="2461"/>
      <c r="E1" s="2461"/>
      <c r="F1" s="2461"/>
      <c r="G1" s="2462"/>
      <c r="H1" s="2462"/>
      <c r="I1" s="2462"/>
      <c r="J1" s="2462"/>
      <c r="K1" s="2462"/>
    </row>
    <row r="2" spans="1:11" ht="16.2">
      <c r="A2" s="2299" t="s">
        <v>653</v>
      </c>
      <c r="B2" s="2299">
        <f>SUM(C14:C23)</f>
        <v>0</v>
      </c>
      <c r="C2" s="2461"/>
      <c r="D2" s="2461"/>
      <c r="E2" s="2461"/>
      <c r="F2" s="2461"/>
      <c r="G2" s="2462"/>
      <c r="H2" s="2462"/>
      <c r="I2" s="2462"/>
      <c r="J2" s="2462"/>
      <c r="K2" s="2462"/>
    </row>
    <row r="3" spans="1:11" ht="15.6">
      <c r="A3" s="2299" t="s">
        <v>662</v>
      </c>
      <c r="B3" s="2301">
        <f>项目基本情况!D3</f>
        <v>45734</v>
      </c>
      <c r="C3" s="2461"/>
      <c r="D3" s="2461"/>
      <c r="E3" s="2461"/>
      <c r="F3" s="2461"/>
      <c r="G3" s="2462"/>
      <c r="H3" s="2462"/>
      <c r="I3" s="2462"/>
      <c r="J3" s="2462"/>
      <c r="K3" s="2462"/>
    </row>
    <row r="4" spans="1:11" ht="31.2">
      <c r="A4" s="2299" t="s">
        <v>661</v>
      </c>
      <c r="B4" s="2299" t="s">
        <v>660</v>
      </c>
      <c r="C4" s="2299" t="s">
        <v>659</v>
      </c>
      <c r="D4" s="2299" t="s">
        <v>658</v>
      </c>
      <c r="E4" s="2461"/>
      <c r="F4" s="2462"/>
      <c r="G4" s="2462"/>
      <c r="H4" s="2462"/>
      <c r="I4" s="2462"/>
      <c r="J4" s="2462"/>
      <c r="K4" s="2462"/>
    </row>
    <row r="5" spans="1:11" ht="15.6">
      <c r="A5" s="2299" t="s">
        <v>657</v>
      </c>
      <c r="B5" s="2299">
        <f>SUM(D14:D23)</f>
        <v>693</v>
      </c>
      <c r="C5" s="2299">
        <f ca="1">IF(B5=D14,结果表!H102,ROUND(B5*10000/$B$1,0))</f>
        <v>0</v>
      </c>
      <c r="D5" s="2299" t="e">
        <f>ROUND(B5*10000/$B$2,0)</f>
        <v>#DIV/0!</v>
      </c>
      <c r="E5" s="2461"/>
      <c r="F5" s="2462"/>
      <c r="G5" s="2462"/>
      <c r="H5" s="2462"/>
      <c r="I5" s="2462"/>
      <c r="J5" s="2462"/>
      <c r="K5" s="2462"/>
    </row>
    <row r="6" spans="1:11" ht="15.6">
      <c r="A6" s="2299" t="s">
        <v>656</v>
      </c>
      <c r="B6" s="2299">
        <f>SUM(G14:G23)</f>
        <v>693</v>
      </c>
      <c r="C6" s="2299">
        <f ca="1">IF(B6=G14,结果表!H108,ROUND(B6*10000/$B$1,0))</f>
        <v>0</v>
      </c>
      <c r="D6" s="2299" t="e">
        <f>ROUND(B6*10000/$B$2,0)</f>
        <v>#DIV/0!</v>
      </c>
      <c r="E6" s="2461"/>
      <c r="F6" s="2462"/>
      <c r="G6" s="2462"/>
      <c r="H6" s="2462"/>
      <c r="I6" s="2462"/>
      <c r="J6" s="2462"/>
      <c r="K6" s="2462"/>
    </row>
    <row r="7" spans="1:11" ht="15.6">
      <c r="A7" s="2299" t="s">
        <v>664</v>
      </c>
      <c r="B7" s="2299">
        <f>SUM(H14:H23)</f>
        <v>0</v>
      </c>
      <c r="C7" s="2299" t="str">
        <f>IF(B7=H14,结果表!H110,ROUND(B7*10000/$B$1,0))</f>
        <v>——</v>
      </c>
      <c r="D7" s="2299" t="e">
        <f>ROUND(B7*10000/$B$2,0)</f>
        <v>#DIV/0!</v>
      </c>
      <c r="E7" s="2461"/>
      <c r="F7" s="2462"/>
      <c r="G7" s="2462"/>
      <c r="H7" s="2462"/>
      <c r="I7" s="2462"/>
      <c r="J7" s="2462"/>
      <c r="K7" s="2462"/>
    </row>
    <row r="8" spans="1:11" ht="15.6">
      <c r="A8" s="2299" t="s">
        <v>587</v>
      </c>
      <c r="B8" s="2299">
        <f>SUM(I14:I23)</f>
        <v>0</v>
      </c>
      <c r="C8" s="2299" t="str">
        <f>IF(B8=I14,结果表!H112,ROUND(B8*10000/$B$1,0))</f>
        <v>——</v>
      </c>
      <c r="D8" s="2299" t="e">
        <f>ROUND(B8*10000/$B$2,0)</f>
        <v>#DIV/0!</v>
      </c>
      <c r="E8" s="2461"/>
      <c r="F8" s="2462"/>
      <c r="G8" s="2462"/>
      <c r="H8" s="2462"/>
      <c r="I8" s="2462"/>
      <c r="J8" s="2462"/>
      <c r="K8" s="2462"/>
    </row>
    <row r="9" spans="1:11" ht="15.6">
      <c r="A9" s="2299" t="s">
        <v>655</v>
      </c>
      <c r="B9" s="1244"/>
      <c r="C9" s="2461"/>
      <c r="D9" s="2461"/>
      <c r="E9" s="2461"/>
      <c r="F9" s="2462"/>
      <c r="G9" s="2462"/>
      <c r="H9" s="2462"/>
      <c r="I9" s="2462"/>
      <c r="J9" s="2462"/>
      <c r="K9" s="2462"/>
    </row>
    <row r="10" spans="1:11" ht="15.6">
      <c r="A10" s="2299" t="s">
        <v>654</v>
      </c>
      <c r="B10" s="2299">
        <f>IF(E10="",0,ROUND(B1*(E10*365/G10)/10000,0))</f>
        <v>0</v>
      </c>
      <c r="C10" s="2299" t="s">
        <v>3356</v>
      </c>
      <c r="D10" s="2299" t="s">
        <v>3357</v>
      </c>
      <c r="E10" s="3136"/>
      <c r="F10" s="3140" t="s">
        <v>3358</v>
      </c>
      <c r="G10" s="3137"/>
      <c r="H10" s="2462"/>
      <c r="I10" s="2462"/>
      <c r="J10" s="2462"/>
      <c r="K10" s="2462"/>
    </row>
    <row r="11" spans="1:11" ht="15.6">
      <c r="A11" s="2299" t="s">
        <v>670</v>
      </c>
      <c r="B11" s="1244"/>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2" t="s">
        <v>669</v>
      </c>
      <c r="B13" s="2303" t="s">
        <v>666</v>
      </c>
      <c r="C13" s="2303" t="s">
        <v>668</v>
      </c>
      <c r="D13" s="2303" t="s">
        <v>667</v>
      </c>
      <c r="E13" s="2299" t="s">
        <v>659</v>
      </c>
      <c r="F13" s="2299" t="s">
        <v>658</v>
      </c>
      <c r="G13" s="2303" t="s">
        <v>652</v>
      </c>
      <c r="H13" s="2303" t="s">
        <v>663</v>
      </c>
      <c r="I13" s="2303" t="s">
        <v>651</v>
      </c>
      <c r="J13" s="2462"/>
      <c r="K13" s="2462"/>
    </row>
    <row r="14" spans="1:11" ht="15.6">
      <c r="A14" s="2304" t="s">
        <v>650</v>
      </c>
      <c r="B14" s="2305">
        <f>信息!$G$4</f>
        <v>230.28</v>
      </c>
      <c r="C14" s="2305"/>
      <c r="D14" s="2305">
        <f>信息!$R$4</f>
        <v>693</v>
      </c>
      <c r="E14" s="2305">
        <f>信息!$Q$4</f>
        <v>30100</v>
      </c>
      <c r="F14" s="2305" t="e">
        <f>ROUND(D14*10000/C14,0)</f>
        <v>#DIV/0!</v>
      </c>
      <c r="G14" s="2305">
        <f>D14</f>
        <v>693</v>
      </c>
      <c r="H14" s="2305"/>
      <c r="I14" s="2305"/>
      <c r="J14" s="2462"/>
      <c r="K14" s="2462"/>
    </row>
    <row r="15" spans="1:11" ht="15.6">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5.6">
      <c r="A16" s="2304" t="s">
        <v>648</v>
      </c>
      <c r="B16" s="2306"/>
      <c r="C16" s="2306"/>
      <c r="D16" s="2306"/>
      <c r="E16" s="2305" t="e">
        <f t="shared" si="0"/>
        <v>#DIV/0!</v>
      </c>
      <c r="F16" s="2305" t="e">
        <f t="shared" si="1"/>
        <v>#DIV/0!</v>
      </c>
      <c r="G16" s="1244"/>
      <c r="H16" s="1244"/>
      <c r="I16" s="2306"/>
      <c r="J16" s="2462"/>
      <c r="K16" s="2462"/>
    </row>
    <row r="17" spans="1:11" ht="15.6">
      <c r="A17" s="2304" t="s">
        <v>647</v>
      </c>
      <c r="B17" s="2306"/>
      <c r="C17" s="2306"/>
      <c r="D17" s="2306"/>
      <c r="E17" s="2305" t="e">
        <f t="shared" si="0"/>
        <v>#DIV/0!</v>
      </c>
      <c r="F17" s="2305" t="e">
        <f t="shared" si="1"/>
        <v>#DIV/0!</v>
      </c>
      <c r="G17" s="1244"/>
      <c r="H17" s="1244"/>
      <c r="I17" s="2306"/>
      <c r="J17" s="2462"/>
      <c r="K17" s="2462"/>
    </row>
    <row r="18" spans="1:11" ht="15.6">
      <c r="A18" s="2304" t="s">
        <v>646</v>
      </c>
      <c r="B18" s="2306"/>
      <c r="C18" s="2306"/>
      <c r="D18" s="2306"/>
      <c r="E18" s="2305" t="e">
        <f t="shared" si="0"/>
        <v>#DIV/0!</v>
      </c>
      <c r="F18" s="2305" t="e">
        <f t="shared" si="1"/>
        <v>#DIV/0!</v>
      </c>
      <c r="G18" s="2306"/>
      <c r="H18" s="2306"/>
      <c r="I18" s="2306"/>
      <c r="J18" s="2462"/>
      <c r="K18" s="2462"/>
    </row>
    <row r="19" spans="1:11" ht="15.6">
      <c r="A19" s="2304" t="s">
        <v>645</v>
      </c>
      <c r="B19" s="2306"/>
      <c r="C19" s="2306"/>
      <c r="D19" s="2306"/>
      <c r="E19" s="2305" t="e">
        <f t="shared" si="0"/>
        <v>#DIV/0!</v>
      </c>
      <c r="F19" s="2305" t="e">
        <f t="shared" si="1"/>
        <v>#DIV/0!</v>
      </c>
      <c r="G19" s="2306"/>
      <c r="H19" s="2306"/>
      <c r="I19" s="2306"/>
      <c r="J19" s="2462"/>
      <c r="K19" s="2462"/>
    </row>
    <row r="20" spans="1:11" ht="15.6">
      <c r="A20" s="2304" t="s">
        <v>644</v>
      </c>
      <c r="B20" s="2306"/>
      <c r="C20" s="2306"/>
      <c r="D20" s="2306"/>
      <c r="E20" s="2305" t="e">
        <f t="shared" si="0"/>
        <v>#DIV/0!</v>
      </c>
      <c r="F20" s="2305" t="e">
        <f t="shared" si="1"/>
        <v>#DIV/0!</v>
      </c>
      <c r="G20" s="2306"/>
      <c r="H20" s="2306"/>
      <c r="I20" s="2306"/>
      <c r="J20" s="2462"/>
      <c r="K20" s="2462"/>
    </row>
    <row r="21" spans="1:11" ht="15.6">
      <c r="A21" s="2304" t="s">
        <v>643</v>
      </c>
      <c r="B21" s="2306"/>
      <c r="C21" s="2306"/>
      <c r="D21" s="2306"/>
      <c r="E21" s="2305" t="e">
        <f t="shared" si="0"/>
        <v>#DIV/0!</v>
      </c>
      <c r="F21" s="2305" t="e">
        <f t="shared" si="1"/>
        <v>#DIV/0!</v>
      </c>
      <c r="G21" s="2306"/>
      <c r="H21" s="2306"/>
      <c r="I21" s="2306"/>
      <c r="J21" s="2462"/>
      <c r="K21" s="2462"/>
    </row>
    <row r="22" spans="1:11" ht="15.6">
      <c r="A22" s="2304" t="s">
        <v>642</v>
      </c>
      <c r="B22" s="2306"/>
      <c r="C22" s="2306"/>
      <c r="D22" s="2306"/>
      <c r="E22" s="2305" t="e">
        <f t="shared" si="0"/>
        <v>#DIV/0!</v>
      </c>
      <c r="F22" s="2305" t="e">
        <f t="shared" si="1"/>
        <v>#DIV/0!</v>
      </c>
      <c r="G22" s="2306"/>
      <c r="H22" s="2306"/>
      <c r="I22" s="2306"/>
      <c r="J22" s="2462"/>
      <c r="K22" s="2462"/>
    </row>
    <row r="23" spans="1:11" ht="15.6">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6F0D-25D4-4EB4-9BBF-6C3E56B7BD6F}">
  <sheetPr>
    <tabColor rgb="FF7030A0"/>
  </sheetPr>
  <dimension ref="A1:S19"/>
  <sheetViews>
    <sheetView topLeftCell="D1" workbookViewId="0">
      <selection activeCell="R2" sqref="R2:R9"/>
    </sheetView>
  </sheetViews>
  <sheetFormatPr defaultRowHeight="14.4"/>
  <cols>
    <col min="1" max="1" width="21.77734375" customWidth="1"/>
    <col min="2" max="2" width="14.109375" customWidth="1"/>
    <col min="3" max="3" width="19.44140625" customWidth="1"/>
    <col min="4" max="4" width="9.88671875" customWidth="1"/>
    <col min="12" max="12" width="9.5546875" bestFit="1" customWidth="1"/>
    <col min="16" max="16" width="14.109375" customWidth="1"/>
  </cols>
  <sheetData>
    <row r="1" spans="1:19" ht="28.8">
      <c r="A1" s="3158" t="s">
        <v>3410</v>
      </c>
      <c r="B1" s="3158" t="s">
        <v>3411</v>
      </c>
      <c r="C1" s="3158" t="s">
        <v>3412</v>
      </c>
      <c r="D1" s="3158" t="s">
        <v>2543</v>
      </c>
      <c r="E1" s="3158" t="s">
        <v>3425</v>
      </c>
      <c r="F1" s="3158" t="s">
        <v>3429</v>
      </c>
      <c r="G1" s="3158" t="s">
        <v>3413</v>
      </c>
      <c r="H1" s="3158" t="s">
        <v>3414</v>
      </c>
      <c r="I1" s="3158" t="s">
        <v>3415</v>
      </c>
      <c r="J1" s="3158" t="s">
        <v>3416</v>
      </c>
      <c r="K1" s="3158" t="s">
        <v>3417</v>
      </c>
      <c r="L1" s="3159" t="s">
        <v>3451</v>
      </c>
      <c r="M1" s="3155" t="s">
        <v>3472</v>
      </c>
      <c r="N1" s="3155" t="s">
        <v>3473</v>
      </c>
      <c r="P1" s="1405" t="s">
        <v>3474</v>
      </c>
      <c r="Q1" s="3163" t="s">
        <v>3471</v>
      </c>
      <c r="R1" s="3163" t="s">
        <v>3470</v>
      </c>
    </row>
    <row r="2" spans="1:19" ht="28.8">
      <c r="A2" s="3158" t="s">
        <v>3418</v>
      </c>
      <c r="B2" s="3253" t="s">
        <v>3419</v>
      </c>
      <c r="C2" s="3158" t="s">
        <v>3420</v>
      </c>
      <c r="D2" s="3253" t="s">
        <v>3421</v>
      </c>
      <c r="E2" s="3253" t="s">
        <v>3426</v>
      </c>
      <c r="F2" s="3158" t="s">
        <v>3431</v>
      </c>
      <c r="G2" s="3158">
        <v>166.53</v>
      </c>
      <c r="H2" s="3253" t="s">
        <v>3423</v>
      </c>
      <c r="I2" s="3253" t="s">
        <v>3424</v>
      </c>
      <c r="J2" s="3160">
        <v>1</v>
      </c>
      <c r="K2" s="3254">
        <v>2007</v>
      </c>
      <c r="L2" s="3161"/>
      <c r="M2">
        <v>27670</v>
      </c>
      <c r="N2">
        <v>460.79</v>
      </c>
      <c r="O2">
        <f t="shared" ref="O2:O9" si="0">ROUND(M2*G2/10000,2)</f>
        <v>460.79</v>
      </c>
      <c r="P2">
        <f>ROUND(M2*(1-0.05),0)</f>
        <v>26287</v>
      </c>
      <c r="Q2" s="3164">
        <v>26200</v>
      </c>
      <c r="R2" s="3164">
        <f>ROUND(Q2*G2/10000,0)</f>
        <v>436</v>
      </c>
      <c r="S2">
        <f>(Q2-M2)/M2</f>
        <v>-5.3126129382002167E-2</v>
      </c>
    </row>
    <row r="3" spans="1:19" ht="28.8">
      <c r="A3" s="3158" t="s">
        <v>3433</v>
      </c>
      <c r="B3" s="3253"/>
      <c r="C3" s="3158" t="s">
        <v>3434</v>
      </c>
      <c r="D3" s="3253"/>
      <c r="E3" s="3253"/>
      <c r="F3" s="3158" t="s">
        <v>3435</v>
      </c>
      <c r="G3" s="3160">
        <v>189.43</v>
      </c>
      <c r="H3" s="3253"/>
      <c r="I3" s="3253"/>
      <c r="J3" s="3160">
        <v>1</v>
      </c>
      <c r="K3" s="3254"/>
      <c r="L3" s="3161"/>
      <c r="M3">
        <v>32880</v>
      </c>
      <c r="N3">
        <v>622.85</v>
      </c>
      <c r="O3">
        <f t="shared" si="0"/>
        <v>622.85</v>
      </c>
      <c r="P3">
        <f t="shared" ref="P3:P9" si="1">ROUND(M3*(1-0.05),0)</f>
        <v>31236</v>
      </c>
      <c r="Q3" s="3164">
        <v>31200</v>
      </c>
      <c r="R3" s="3164">
        <f t="shared" ref="R3:R9" si="2">ROUND(Q3*G3/10000,0)</f>
        <v>591</v>
      </c>
      <c r="S3">
        <f t="shared" ref="S3:S9" si="3">(Q3-M3)/M3</f>
        <v>-5.1094890510948905E-2</v>
      </c>
    </row>
    <row r="4" spans="1:19" ht="28.8">
      <c r="A4" s="3158" t="s">
        <v>3427</v>
      </c>
      <c r="B4" s="3253"/>
      <c r="C4" s="3158" t="s">
        <v>3428</v>
      </c>
      <c r="D4" s="3253"/>
      <c r="E4" s="3253"/>
      <c r="F4" s="3158" t="s">
        <v>3432</v>
      </c>
      <c r="G4" s="3160">
        <v>230.28</v>
      </c>
      <c r="H4" s="3253"/>
      <c r="I4" s="3253"/>
      <c r="J4" s="3160">
        <v>1</v>
      </c>
      <c r="K4" s="3254"/>
      <c r="L4" s="3161"/>
      <c r="M4">
        <v>31736</v>
      </c>
      <c r="N4">
        <v>730.81</v>
      </c>
      <c r="O4">
        <f t="shared" si="0"/>
        <v>730.82</v>
      </c>
      <c r="P4">
        <f t="shared" si="1"/>
        <v>30149</v>
      </c>
      <c r="Q4" s="3164">
        <v>30100</v>
      </c>
      <c r="R4" s="3164">
        <f t="shared" si="2"/>
        <v>693</v>
      </c>
      <c r="S4">
        <f t="shared" si="3"/>
        <v>-5.1550289891605747E-2</v>
      </c>
    </row>
    <row r="5" spans="1:19" ht="28.8">
      <c r="A5" s="3158" t="s">
        <v>3436</v>
      </c>
      <c r="B5" s="3253"/>
      <c r="C5" s="3158" t="s">
        <v>3437</v>
      </c>
      <c r="D5" s="3253"/>
      <c r="E5" s="3253"/>
      <c r="F5" s="3158" t="s">
        <v>3438</v>
      </c>
      <c r="G5" s="3160">
        <v>140.07</v>
      </c>
      <c r="H5" s="3253"/>
      <c r="I5" s="3253"/>
      <c r="J5" s="3160">
        <v>1</v>
      </c>
      <c r="K5" s="3254"/>
      <c r="L5" s="3161"/>
      <c r="M5">
        <v>27753</v>
      </c>
      <c r="N5">
        <v>388.74</v>
      </c>
      <c r="O5">
        <f t="shared" si="0"/>
        <v>388.74</v>
      </c>
      <c r="P5">
        <f t="shared" si="1"/>
        <v>26365</v>
      </c>
      <c r="Q5" s="3164">
        <v>26300</v>
      </c>
      <c r="R5" s="3164">
        <f t="shared" si="2"/>
        <v>368</v>
      </c>
      <c r="S5">
        <f t="shared" si="3"/>
        <v>-5.2354700392750336E-2</v>
      </c>
    </row>
    <row r="6" spans="1:19" ht="28.8">
      <c r="A6" s="3158" t="s">
        <v>3439</v>
      </c>
      <c r="B6" s="3253"/>
      <c r="C6" s="3158" t="s">
        <v>3444</v>
      </c>
      <c r="D6" s="3253"/>
      <c r="E6" s="3253"/>
      <c r="F6" s="3158" t="s">
        <v>3440</v>
      </c>
      <c r="G6" s="3160">
        <v>185.68</v>
      </c>
      <c r="H6" s="3253"/>
      <c r="I6" s="3253"/>
      <c r="J6" s="3160">
        <v>2</v>
      </c>
      <c r="K6" s="3254"/>
      <c r="L6" s="3161"/>
      <c r="M6">
        <v>23423</v>
      </c>
      <c r="N6">
        <v>434.92</v>
      </c>
      <c r="O6">
        <f t="shared" si="0"/>
        <v>434.92</v>
      </c>
      <c r="P6">
        <f t="shared" si="1"/>
        <v>22252</v>
      </c>
      <c r="Q6" s="3164">
        <v>22200</v>
      </c>
      <c r="R6" s="3164">
        <f t="shared" si="2"/>
        <v>412</v>
      </c>
      <c r="S6">
        <f t="shared" si="3"/>
        <v>-5.2213636169576909E-2</v>
      </c>
    </row>
    <row r="7" spans="1:19" ht="28.8">
      <c r="A7" s="3158" t="s">
        <v>3441</v>
      </c>
      <c r="B7" s="3253"/>
      <c r="C7" s="3158" t="s">
        <v>3445</v>
      </c>
      <c r="D7" s="3253"/>
      <c r="E7" s="3253"/>
      <c r="F7" s="3158" t="s">
        <v>3442</v>
      </c>
      <c r="G7" s="3160">
        <v>228.8</v>
      </c>
      <c r="H7" s="3253"/>
      <c r="I7" s="3253"/>
      <c r="J7" s="3160">
        <v>2</v>
      </c>
      <c r="K7" s="3254"/>
      <c r="L7" s="3161"/>
      <c r="M7">
        <v>23125</v>
      </c>
      <c r="N7">
        <v>529.11</v>
      </c>
      <c r="O7">
        <f t="shared" si="0"/>
        <v>529.1</v>
      </c>
      <c r="P7">
        <f t="shared" si="1"/>
        <v>21969</v>
      </c>
      <c r="Q7" s="3164">
        <v>21900</v>
      </c>
      <c r="R7" s="3164">
        <f t="shared" si="2"/>
        <v>501</v>
      </c>
      <c r="S7">
        <f t="shared" si="3"/>
        <v>-5.2972972972972973E-2</v>
      </c>
    </row>
    <row r="8" spans="1:19" ht="28.8">
      <c r="A8" s="3158" t="s">
        <v>3447</v>
      </c>
      <c r="B8" s="3253"/>
      <c r="C8" s="3158" t="s">
        <v>3446</v>
      </c>
      <c r="D8" s="3253"/>
      <c r="E8" s="3253"/>
      <c r="F8" s="3158" t="s">
        <v>3443</v>
      </c>
      <c r="G8" s="3160">
        <v>200.67</v>
      </c>
      <c r="H8" s="3253"/>
      <c r="I8" s="3253"/>
      <c r="J8" s="3160">
        <v>2</v>
      </c>
      <c r="K8" s="3254"/>
      <c r="L8" s="3161"/>
      <c r="M8">
        <v>23423</v>
      </c>
      <c r="N8">
        <v>470.03</v>
      </c>
      <c r="O8">
        <f t="shared" si="0"/>
        <v>470.03</v>
      </c>
      <c r="P8">
        <f t="shared" si="1"/>
        <v>22252</v>
      </c>
      <c r="Q8" s="3164">
        <v>22200</v>
      </c>
      <c r="R8" s="3164">
        <f t="shared" si="2"/>
        <v>445</v>
      </c>
      <c r="S8">
        <f t="shared" si="3"/>
        <v>-5.2213636169576909E-2</v>
      </c>
    </row>
    <row r="9" spans="1:19" ht="28.8">
      <c r="A9" s="3158" t="s">
        <v>3448</v>
      </c>
      <c r="B9" s="3253"/>
      <c r="C9" s="3158" t="s">
        <v>3449</v>
      </c>
      <c r="D9" s="3253"/>
      <c r="E9" s="3253"/>
      <c r="F9" s="3158" t="s">
        <v>3450</v>
      </c>
      <c r="G9" s="3160">
        <v>242.27</v>
      </c>
      <c r="H9" s="3253"/>
      <c r="I9" s="3253"/>
      <c r="J9" s="3160">
        <v>2</v>
      </c>
      <c r="K9" s="3254"/>
      <c r="L9" s="3162">
        <v>52298</v>
      </c>
      <c r="M9">
        <v>23217</v>
      </c>
      <c r="N9">
        <v>562.49</v>
      </c>
      <c r="O9">
        <f t="shared" si="0"/>
        <v>562.48</v>
      </c>
      <c r="P9">
        <f t="shared" si="1"/>
        <v>22056</v>
      </c>
      <c r="Q9" s="3164">
        <v>22000</v>
      </c>
      <c r="R9" s="3164">
        <f t="shared" si="2"/>
        <v>533</v>
      </c>
      <c r="S9">
        <f t="shared" si="3"/>
        <v>-5.2418486453891543E-2</v>
      </c>
    </row>
    <row r="10" spans="1:19">
      <c r="A10" s="3161"/>
      <c r="B10" s="3161"/>
      <c r="C10" s="3161"/>
      <c r="D10" s="3161"/>
      <c r="E10" s="3161"/>
      <c r="F10" s="3158" t="s">
        <v>2592</v>
      </c>
      <c r="G10" s="3161">
        <f>SUM(G2:G9)</f>
        <v>1583.73</v>
      </c>
      <c r="H10" s="3161"/>
      <c r="I10" s="3161"/>
      <c r="J10" s="3161"/>
      <c r="K10" s="3161"/>
      <c r="L10" s="3161"/>
      <c r="N10">
        <f>SUM(N2:N9)</f>
        <v>4199.74</v>
      </c>
    </row>
    <row r="12" spans="1:19">
      <c r="A12" s="1405" t="s">
        <v>3451</v>
      </c>
      <c r="B12" s="3154">
        <v>52298</v>
      </c>
    </row>
    <row r="15" spans="1:19">
      <c r="A15" s="1405" t="s">
        <v>3475</v>
      </c>
    </row>
    <row r="16" spans="1:19">
      <c r="A16" s="1405" t="s">
        <v>3392</v>
      </c>
      <c r="B16">
        <v>142.36000000000001</v>
      </c>
    </row>
    <row r="17" spans="1:4">
      <c r="A17" s="1405" t="s">
        <v>3467</v>
      </c>
      <c r="B17">
        <v>55001</v>
      </c>
    </row>
    <row r="18" spans="1:4">
      <c r="A18" s="1405" t="s">
        <v>3465</v>
      </c>
      <c r="B18">
        <v>250000</v>
      </c>
      <c r="C18" s="1405" t="s">
        <v>3466</v>
      </c>
      <c r="D18" s="1405" t="s">
        <v>3476</v>
      </c>
    </row>
    <row r="19" spans="1:4">
      <c r="B19">
        <f>ROUND(B18/365/B16,2)</f>
        <v>4.8099999999999996</v>
      </c>
    </row>
  </sheetData>
  <mergeCells count="6">
    <mergeCell ref="B2:B9"/>
    <mergeCell ref="H2:H9"/>
    <mergeCell ref="I2:I9"/>
    <mergeCell ref="E2:E9"/>
    <mergeCell ref="K2:K9"/>
    <mergeCell ref="D2:D9"/>
  </mergeCells>
  <phoneticPr fontId="134"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D17" sqref="D1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89" t="str">
        <f>项目基本情况!S2</f>
        <v>北京市房地产</v>
      </c>
      <c r="B2" s="3290"/>
      <c r="C2" s="3290"/>
      <c r="D2" s="3290"/>
      <c r="E2" s="3290"/>
      <c r="F2" s="3290"/>
      <c r="G2" s="3290"/>
      <c r="H2" s="3290"/>
      <c r="I2" s="3291"/>
    </row>
    <row r="3" spans="1:12" ht="13.2">
      <c r="A3" s="3293" t="s">
        <v>1264</v>
      </c>
      <c r="B3" s="3294"/>
      <c r="C3" s="3294"/>
      <c r="D3" s="3294"/>
      <c r="E3" s="3294"/>
      <c r="F3" s="3294"/>
      <c r="G3" s="3294"/>
      <c r="H3" s="3294"/>
      <c r="I3" s="3294"/>
    </row>
    <row r="4" spans="1:12" ht="14.4">
      <c r="A4" s="1624" t="s">
        <v>1265</v>
      </c>
      <c r="B4" s="1625" t="s">
        <v>1266</v>
      </c>
      <c r="C4" s="1626" t="s">
        <v>3469</v>
      </c>
      <c r="D4" s="1626" t="s">
        <v>3464</v>
      </c>
      <c r="E4" s="3295" t="s">
        <v>1267</v>
      </c>
      <c r="F4" s="3296"/>
      <c r="G4" s="3296"/>
      <c r="H4" s="3296"/>
      <c r="I4" s="3297"/>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9" t="s">
        <v>1268</v>
      </c>
      <c r="B5" s="3256">
        <v>25</v>
      </c>
      <c r="C5" s="3272"/>
      <c r="D5" s="3292"/>
      <c r="E5" s="123" t="s">
        <v>1269</v>
      </c>
      <c r="F5" s="1627"/>
      <c r="G5" s="1627"/>
      <c r="H5" s="1627"/>
      <c r="I5" s="1281"/>
    </row>
    <row r="6" spans="1:12" ht="13.2">
      <c r="A6" s="3269"/>
      <c r="B6" s="3256"/>
      <c r="C6" s="3273"/>
      <c r="D6" s="3292"/>
      <c r="E6" s="123" t="s">
        <v>1270</v>
      </c>
      <c r="F6" s="1627"/>
      <c r="G6" s="1627"/>
      <c r="H6" s="1627"/>
      <c r="I6" s="1281"/>
    </row>
    <row r="7" spans="1:12" ht="13.2">
      <c r="A7" s="3269"/>
      <c r="B7" s="3256"/>
      <c r="C7" s="3274"/>
      <c r="D7" s="3292"/>
      <c r="E7" s="123" t="s">
        <v>1271</v>
      </c>
      <c r="F7" s="1627"/>
      <c r="G7" s="1627"/>
      <c r="H7" s="1627"/>
      <c r="I7" s="1281"/>
    </row>
    <row r="8" spans="1:12" ht="13.2">
      <c r="A8" s="3269" t="s">
        <v>1272</v>
      </c>
      <c r="B8" s="3256">
        <v>15</v>
      </c>
      <c r="C8" s="3272"/>
      <c r="D8" s="3292"/>
      <c r="E8" s="123" t="s">
        <v>1273</v>
      </c>
      <c r="F8" s="1627"/>
      <c r="G8" s="1627"/>
      <c r="H8" s="1627"/>
      <c r="I8" s="1281"/>
    </row>
    <row r="9" spans="1:12" ht="13.2">
      <c r="A9" s="3269"/>
      <c r="B9" s="3256"/>
      <c r="C9" s="3274"/>
      <c r="D9" s="3292"/>
      <c r="E9" s="123" t="s">
        <v>1274</v>
      </c>
      <c r="F9" s="1627"/>
      <c r="G9" s="1627"/>
      <c r="H9" s="1627"/>
      <c r="I9" s="1281"/>
    </row>
    <row r="10" spans="1:12" ht="13.2">
      <c r="A10" s="3269" t="s">
        <v>1275</v>
      </c>
      <c r="B10" s="3256">
        <v>15</v>
      </c>
      <c r="C10" s="3272"/>
      <c r="D10" s="3292"/>
      <c r="E10" s="123" t="s">
        <v>1276</v>
      </c>
      <c r="F10" s="1627"/>
      <c r="G10" s="1627"/>
      <c r="H10" s="1627"/>
      <c r="I10" s="1281"/>
    </row>
    <row r="11" spans="1:12" ht="13.2">
      <c r="A11" s="3269"/>
      <c r="B11" s="3256"/>
      <c r="C11" s="3274"/>
      <c r="D11" s="3292"/>
      <c r="E11" s="123" t="s">
        <v>1277</v>
      </c>
      <c r="F11" s="1627"/>
      <c r="G11" s="1627"/>
      <c r="H11" s="1627"/>
      <c r="I11" s="1281"/>
    </row>
    <row r="12" spans="1:12" ht="13.2">
      <c r="A12" s="3269" t="s">
        <v>1278</v>
      </c>
      <c r="B12" s="3256">
        <v>15</v>
      </c>
      <c r="C12" s="3272"/>
      <c r="D12" s="3292"/>
      <c r="E12" s="123" t="s">
        <v>1279</v>
      </c>
      <c r="F12" s="1627"/>
      <c r="G12" s="1627"/>
      <c r="H12" s="1627"/>
      <c r="I12" s="1281"/>
    </row>
    <row r="13" spans="1:12" ht="13.2">
      <c r="A13" s="3269"/>
      <c r="B13" s="3256"/>
      <c r="C13" s="3274"/>
      <c r="D13" s="3292"/>
      <c r="E13" s="123" t="s">
        <v>1280</v>
      </c>
      <c r="F13" s="1627"/>
      <c r="G13" s="1627"/>
      <c r="H13" s="1627"/>
      <c r="I13" s="1281"/>
    </row>
    <row r="14" spans="1:12" ht="13.2">
      <c r="A14" s="3269" t="s">
        <v>1281</v>
      </c>
      <c r="B14" s="3256">
        <v>30</v>
      </c>
      <c r="C14" s="3272">
        <v>3</v>
      </c>
      <c r="D14" s="3292">
        <v>7</v>
      </c>
      <c r="E14" s="123" t="s">
        <v>1282</v>
      </c>
      <c r="F14" s="1627"/>
      <c r="G14" s="1627"/>
      <c r="H14" s="1627"/>
      <c r="I14" s="1281"/>
    </row>
    <row r="15" spans="1:12" ht="13.2">
      <c r="A15" s="3269"/>
      <c r="B15" s="3256"/>
      <c r="C15" s="3273"/>
      <c r="D15" s="3292"/>
      <c r="E15" s="123" t="s">
        <v>1283</v>
      </c>
      <c r="F15" s="1627"/>
      <c r="G15" s="1627"/>
      <c r="H15" s="1627"/>
      <c r="I15" s="1281"/>
    </row>
    <row r="16" spans="1:12" ht="13.2">
      <c r="A16" s="3269"/>
      <c r="B16" s="3256"/>
      <c r="C16" s="3274"/>
      <c r="D16" s="3292"/>
      <c r="E16" s="123" t="s">
        <v>1284</v>
      </c>
      <c r="F16" s="1627"/>
      <c r="G16" s="1627"/>
      <c r="H16" s="1627"/>
      <c r="I16" s="1281"/>
    </row>
    <row r="17" spans="1:36" ht="14.4">
      <c r="A17" s="1628" t="s">
        <v>1285</v>
      </c>
      <c r="B17" s="54"/>
      <c r="C17" s="124">
        <f>SUM(C5:C16)</f>
        <v>3</v>
      </c>
      <c r="D17" s="124">
        <f>SUM(D5:D16)</f>
        <v>7</v>
      </c>
      <c r="E17" s="121"/>
      <c r="F17" s="121"/>
      <c r="G17" s="121"/>
      <c r="H17" s="121"/>
      <c r="I17" s="121"/>
      <c r="K17" s="294"/>
      <c r="L17" s="294" t="s">
        <v>1286</v>
      </c>
      <c r="M17" s="294" t="s">
        <v>1287</v>
      </c>
    </row>
    <row r="18" spans="1:36" ht="31.95" customHeight="1" thickBot="1">
      <c r="A18" s="1629" t="s">
        <v>1288</v>
      </c>
      <c r="B18" s="1542"/>
      <c r="C18" s="125">
        <f>ROUND(C17/SUM(C17:D17),2)</f>
        <v>0.3</v>
      </c>
      <c r="D18" s="125">
        <f>1-C18</f>
        <v>0.7</v>
      </c>
      <c r="E18" s="3279" t="s">
        <v>2131</v>
      </c>
      <c r="F18" s="3280"/>
      <c r="G18" s="3280"/>
      <c r="H18" s="3280"/>
      <c r="I18" s="3280"/>
      <c r="K18" s="294" t="s">
        <v>1289</v>
      </c>
      <c r="L18" s="294">
        <f>IF(C1="",'数据-汇总表'!E3,SUMIF(项目类型,C1,'数据-汇总表'!E17:E26)+SUMIF(项目类型,C1,'数据-汇总表'!I17:I26))</f>
        <v>166.53</v>
      </c>
      <c r="M18" s="294">
        <f>IF(C1="",'数据-汇总表'!E3,SUMIF(项目类型,C1,'数据-汇总表'!E17:E26))</f>
        <v>166.53</v>
      </c>
    </row>
    <row r="19" spans="1:36" ht="14.4">
      <c r="A19" s="1630" t="s">
        <v>1290</v>
      </c>
      <c r="B19" s="1631" t="s">
        <v>1291</v>
      </c>
      <c r="C19" s="126">
        <f ca="1">SUMIF(INDIRECT("'"&amp;C4&amp;"'"&amp;"!A:A"),结果表!B19,INDIRECT("'"&amp;C4&amp;"'"&amp;"!B:B"))</f>
        <v>872.61720000000003</v>
      </c>
      <c r="D19" s="127">
        <f ca="1">SUMIF(INDIRECT("'"&amp;D4&amp;"'"&amp;"!A:A"),结果表!B19,INDIRECT("'"&amp;D4&amp;"'"&amp;"!B:B"))</f>
        <v>299.81380000000001</v>
      </c>
      <c r="E19" s="1630" t="s">
        <v>1292</v>
      </c>
      <c r="F19" s="1631" t="s">
        <v>1291</v>
      </c>
      <c r="G19" s="128">
        <f ca="1">ROUND(C19*$C$18+D19*$D$18,0)</f>
        <v>472</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52400</v>
      </c>
      <c r="D20" s="130">
        <f ca="1">SUMIF(INDIRECT("'"&amp;D4&amp;"'"&amp;"!A:A"),结果表!B20,INDIRECT("'"&amp;D4&amp;"'"&amp;"!B:B"))</f>
        <v>18004</v>
      </c>
      <c r="E20" s="1633"/>
      <c r="F20" s="43" t="s">
        <v>1295</v>
      </c>
      <c r="G20" s="131">
        <f ca="1">ROUND(C20*$C$18+D20*$D$18,0)</f>
        <v>28323</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1.9105304692445779</v>
      </c>
      <c r="E22" s="121"/>
      <c r="F22" s="121"/>
      <c r="G22" s="121"/>
      <c r="H22" s="121"/>
      <c r="I22" s="121"/>
    </row>
    <row r="23" spans="1:36" ht="13.8" thickBot="1">
      <c r="A23" s="646"/>
      <c r="B23" s="646"/>
      <c r="C23" s="646"/>
      <c r="D23" s="646"/>
      <c r="E23" s="121"/>
      <c r="F23" s="121"/>
      <c r="G23" s="121"/>
      <c r="H23" s="121"/>
      <c r="I23" s="121"/>
    </row>
    <row r="24" spans="1:36" ht="14.4">
      <c r="A24" s="3263" t="s">
        <v>1299</v>
      </c>
      <c r="B24" s="1631" t="s">
        <v>1291</v>
      </c>
      <c r="C24" s="128">
        <f>IF(B30=0,0,D30)</f>
        <v>0</v>
      </c>
      <c r="D24" s="1637"/>
      <c r="E24" s="121"/>
      <c r="F24" s="121"/>
      <c r="G24" s="121"/>
      <c r="H24" s="121"/>
      <c r="I24" s="121"/>
    </row>
    <row r="25" spans="1:36" ht="14.4">
      <c r="A25" s="3264"/>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28323</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283" t="s">
        <v>1312</v>
      </c>
      <c r="B36" s="1652" t="s">
        <v>1313</v>
      </c>
      <c r="C36" s="137"/>
      <c r="D36" s="1653"/>
      <c r="E36" s="1567"/>
      <c r="F36" s="1654"/>
      <c r="G36" s="121"/>
      <c r="H36" s="121"/>
      <c r="I36" s="121"/>
    </row>
    <row r="37" spans="1:15" ht="15" thickBot="1">
      <c r="A37" s="3284"/>
      <c r="B37" s="1555" t="s">
        <v>1314</v>
      </c>
      <c r="C37" s="139"/>
      <c r="D37" s="1071"/>
      <c r="E37" s="1071"/>
      <c r="F37" s="1654"/>
      <c r="G37" s="121"/>
      <c r="H37" s="121"/>
      <c r="I37" s="121"/>
    </row>
    <row r="38" spans="1:15" ht="15" thickBot="1">
      <c r="A38" s="3285"/>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60" t="s">
        <v>1326</v>
      </c>
      <c r="B45" s="3261"/>
      <c r="C45" s="3262"/>
      <c r="D45" s="147" t="e">
        <f ca="1">ROUND(H101*F45,0)</f>
        <v>#REF!</v>
      </c>
      <c r="E45" s="148" t="s">
        <v>1327</v>
      </c>
      <c r="F45" s="149">
        <v>1</v>
      </c>
      <c r="G45" s="150" t="s">
        <v>1328</v>
      </c>
      <c r="H45" s="121"/>
      <c r="I45" s="121"/>
      <c r="J45" s="3338" t="s">
        <v>1329</v>
      </c>
      <c r="K45" s="3338"/>
      <c r="L45" s="3338"/>
      <c r="M45" s="3338"/>
      <c r="N45" s="3338"/>
      <c r="O45" s="3338"/>
    </row>
    <row r="46" spans="1:15" ht="14.25" customHeight="1">
      <c r="A46" s="3257" t="s">
        <v>1330</v>
      </c>
      <c r="B46" s="3258"/>
      <c r="C46" s="3258"/>
      <c r="D46" s="3258"/>
      <c r="E46" s="3258"/>
      <c r="F46" s="3258"/>
      <c r="G46" s="3259"/>
      <c r="H46" s="1668"/>
      <c r="I46" s="151"/>
      <c r="J46" s="2309">
        <v>1</v>
      </c>
      <c r="K46" s="3319" t="s">
        <v>1331</v>
      </c>
      <c r="L46" s="3319"/>
      <c r="M46" s="3339"/>
      <c r="N46" s="3339"/>
      <c r="O46" s="3339"/>
    </row>
    <row r="47" spans="1:15" ht="12" customHeight="1">
      <c r="A47" s="152" t="s">
        <v>1332</v>
      </c>
      <c r="B47" s="153"/>
      <c r="C47" s="154"/>
      <c r="D47" s="1024" t="s">
        <v>1333</v>
      </c>
      <c r="E47" s="294" t="s">
        <v>1334</v>
      </c>
      <c r="F47" s="155" t="s">
        <v>1335</v>
      </c>
      <c r="G47" s="2332" t="s">
        <v>1336</v>
      </c>
      <c r="H47" s="2333"/>
      <c r="I47" s="151"/>
      <c r="J47" s="2309">
        <v>2</v>
      </c>
      <c r="K47" s="3319" t="s">
        <v>1337</v>
      </c>
      <c r="L47" s="3319"/>
      <c r="M47" s="3340">
        <f>'数据-取费表'!B2</f>
        <v>45734</v>
      </c>
      <c r="N47" s="3340"/>
      <c r="O47" s="3340"/>
    </row>
    <row r="48" spans="1:15" ht="26.4">
      <c r="A48" s="3288" t="s">
        <v>1338</v>
      </c>
      <c r="B48" s="3271"/>
      <c r="C48" s="3271"/>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319" t="s">
        <v>1340</v>
      </c>
      <c r="L48" s="3319"/>
      <c r="M48" s="3341" t="e">
        <f ca="1">H101</f>
        <v>#REF!</v>
      </c>
      <c r="N48" s="3341"/>
      <c r="O48" s="3341"/>
    </row>
    <row r="49" spans="1:35" ht="25.5" customHeight="1">
      <c r="A49" s="2152" t="s">
        <v>1341</v>
      </c>
      <c r="B49" s="3255" t="s">
        <v>1342</v>
      </c>
      <c r="C49" s="3255"/>
      <c r="D49" s="1478">
        <v>0</v>
      </c>
      <c r="E49" s="316" t="s">
        <v>1343</v>
      </c>
      <c r="F49" s="2232" t="s">
        <v>28</v>
      </c>
      <c r="G49" s="3325"/>
      <c r="H49" s="2134" t="s">
        <v>2134</v>
      </c>
      <c r="I49" s="2135"/>
      <c r="J49" s="2309">
        <v>4</v>
      </c>
      <c r="K49" s="3319" t="str">
        <f>IF(项目基本情况!E8="房地产抵押价值","房地产抵押价值","抵押担保权已注销时的房地产抵押价值")</f>
        <v>房地产抵押价值</v>
      </c>
      <c r="L49" s="3319"/>
      <c r="M49" s="3341" t="str">
        <f ca="1">IF(项目基本情况!E8="房地产抵押价值",H107,H109)</f>
        <v>——</v>
      </c>
      <c r="N49" s="3341"/>
      <c r="O49" s="3341"/>
    </row>
    <row r="50" spans="1:35" ht="25.5" customHeight="1">
      <c r="A50" s="2337"/>
      <c r="B50" s="3255" t="s">
        <v>1344</v>
      </c>
      <c r="C50" s="3255"/>
      <c r="D50" s="2189"/>
      <c r="E50" s="323"/>
      <c r="F50" s="2232"/>
      <c r="G50" s="3326"/>
      <c r="H50" s="2136" t="s">
        <v>2135</v>
      </c>
      <c r="I50" s="2135"/>
      <c r="J50" s="3338" t="s">
        <v>1345</v>
      </c>
      <c r="K50" s="3338"/>
      <c r="L50" s="3338"/>
      <c r="M50" s="3338"/>
      <c r="N50" s="3338"/>
      <c r="O50" s="3338"/>
    </row>
    <row r="51" spans="1:35" ht="20.399999999999999" customHeight="1">
      <c r="A51" s="2338"/>
      <c r="B51" s="3255" t="s">
        <v>1346</v>
      </c>
      <c r="C51" s="3255"/>
      <c r="D51" s="1024"/>
      <c r="E51" s="319"/>
      <c r="F51" s="2232"/>
      <c r="G51" s="3327"/>
      <c r="H51" s="2136" t="s">
        <v>2136</v>
      </c>
      <c r="I51" s="2135"/>
      <c r="J51" s="2310" t="s">
        <v>1347</v>
      </c>
      <c r="K51" s="3319" t="s">
        <v>1348</v>
      </c>
      <c r="L51" s="3319"/>
      <c r="M51" s="2310" t="s">
        <v>1349</v>
      </c>
      <c r="N51" s="2310" t="s">
        <v>1350</v>
      </c>
      <c r="O51" s="2310" t="s">
        <v>1351</v>
      </c>
    </row>
    <row r="52" spans="1:35" ht="24" customHeight="1">
      <c r="A52" s="2153" t="s">
        <v>1352</v>
      </c>
      <c r="B52" s="3255" t="s">
        <v>1353</v>
      </c>
      <c r="C52" s="3255"/>
      <c r="D52" s="1024" t="e">
        <f ca="1">ROUND(D45*'数据-取费表'!B41/(1+'数据-取费表'!C42),0)</f>
        <v>#REF!</v>
      </c>
      <c r="E52" s="1256" t="s">
        <v>1354</v>
      </c>
      <c r="F52" s="2339">
        <f>'数据-取费表'!B41</f>
        <v>5.6000000000000001E-2</v>
      </c>
      <c r="G52" s="2340"/>
      <c r="H52" s="2330"/>
      <c r="I52" s="1669"/>
      <c r="J52" s="2309">
        <v>1</v>
      </c>
      <c r="K52" s="3320" t="s">
        <v>1355</v>
      </c>
      <c r="L52" s="3320"/>
      <c r="M52" s="2311" t="b">
        <f>D48</f>
        <v>0</v>
      </c>
      <c r="N52" s="2309" t="str">
        <f>E48</f>
        <v>销售额×税（费）率</v>
      </c>
      <c r="O52" s="2312">
        <f>F48</f>
        <v>5.6000000000000001E-2</v>
      </c>
    </row>
    <row r="53" spans="1:35" ht="12" customHeight="1">
      <c r="A53" s="2153" t="s">
        <v>1356</v>
      </c>
      <c r="B53" s="3281" t="s">
        <v>2291</v>
      </c>
      <c r="C53" s="3282"/>
      <c r="D53" s="1024" t="e">
        <f ca="1">ROUND(D45*'数据-取费表'!B41/(1+'数据-取费表'!C42),0)</f>
        <v>#REF!</v>
      </c>
      <c r="E53" s="1256" t="s">
        <v>1354</v>
      </c>
      <c r="F53" s="2339">
        <f>'数据-取费表'!B41</f>
        <v>5.6000000000000001E-2</v>
      </c>
      <c r="G53" s="2340"/>
      <c r="H53" s="2330"/>
      <c r="I53" s="1669"/>
      <c r="J53" s="2309">
        <v>2</v>
      </c>
      <c r="K53" s="3320" t="s">
        <v>1357</v>
      </c>
      <c r="L53" s="3320"/>
      <c r="M53" s="2311" t="e">
        <f t="shared" ref="M53:O54" ca="1" si="0">D55</f>
        <v>#REF!</v>
      </c>
      <c r="N53" s="2309" t="str">
        <f t="shared" si="0"/>
        <v>销售额×税（费）率</v>
      </c>
      <c r="O53" s="2312" t="str">
        <f t="shared" si="0"/>
        <v>免征</v>
      </c>
    </row>
    <row r="54" spans="1:35" ht="12" customHeight="1">
      <c r="A54" s="2153" t="s">
        <v>1358</v>
      </c>
      <c r="B54" s="3281" t="s">
        <v>2292</v>
      </c>
      <c r="C54" s="3282"/>
      <c r="D54" s="1024" t="e">
        <f ca="1">C68</f>
        <v>#REF!</v>
      </c>
      <c r="E54" s="319" t="s">
        <v>1359</v>
      </c>
      <c r="F54" s="2339">
        <f>'数据-取费表'!B41</f>
        <v>5.6000000000000001E-2</v>
      </c>
      <c r="G54" s="2340"/>
      <c r="H54" s="2341"/>
      <c r="I54" s="1669"/>
      <c r="J54" s="2309">
        <v>3</v>
      </c>
      <c r="K54" s="3320" t="s">
        <v>1360</v>
      </c>
      <c r="L54" s="3320"/>
      <c r="M54" s="2311" t="e">
        <f t="shared" ca="1" si="0"/>
        <v>#REF!</v>
      </c>
      <c r="N54" s="2309" t="str">
        <f t="shared" si="0"/>
        <v>增值额×税（费）率</v>
      </c>
      <c r="O54" s="2313" t="str">
        <f t="shared" si="0"/>
        <v>免征</v>
      </c>
    </row>
    <row r="55" spans="1:35" ht="24" customHeight="1">
      <c r="A55" s="3270" t="s">
        <v>1361</v>
      </c>
      <c r="B55" s="3271"/>
      <c r="C55" s="3271"/>
      <c r="D55" s="12" t="e">
        <f ca="1">IF(H55="个人住宅",0,ROUND(D45*I55,0))</f>
        <v>#REF!</v>
      </c>
      <c r="E55" s="1256" t="s">
        <v>1362</v>
      </c>
      <c r="F55" s="2339" t="str">
        <f>IF(H55="正常",I55,"免征")</f>
        <v>免征</v>
      </c>
      <c r="G55" s="2340"/>
      <c r="H55" s="2336"/>
      <c r="I55" s="157">
        <f>'数据-取费表'!B49</f>
        <v>5.0000000000000001E-4</v>
      </c>
      <c r="J55" s="2309">
        <f>IF(H59="非个人房产","",4)</f>
        <v>4</v>
      </c>
      <c r="K55" s="3320" t="str">
        <f>IF(H59="非个人房产","——","个人所得税")</f>
        <v>个人所得税</v>
      </c>
      <c r="L55" s="3320"/>
      <c r="M55" s="2314" t="e">
        <f ca="1">D59</f>
        <v>#REF!</v>
      </c>
      <c r="N55" s="1883" t="str">
        <f>E59</f>
        <v>差额计税</v>
      </c>
      <c r="O55" s="2315">
        <f>F59</f>
        <v>0.01</v>
      </c>
    </row>
    <row r="56" spans="1:35" ht="25.2">
      <c r="A56" s="3270" t="s">
        <v>1363</v>
      </c>
      <c r="B56" s="3271"/>
      <c r="C56" s="3271"/>
      <c r="D56" s="12" t="e">
        <f ca="1">IF(H56="个人住宅",D57,D58)</f>
        <v>#REF!</v>
      </c>
      <c r="E56" s="1256" t="s">
        <v>1364</v>
      </c>
      <c r="F56" s="2339" t="str">
        <f>IF(H56="正常",F58,"免征")</f>
        <v>免征</v>
      </c>
      <c r="G56" s="2342" t="s">
        <v>1365</v>
      </c>
      <c r="H56" s="2343"/>
      <c r="I56" s="1670"/>
      <c r="J56" s="2309" t="str">
        <f>IF(项目基本情况!K6="上海银行",IF(J55="",4,J55+1),"")</f>
        <v/>
      </c>
      <c r="K56" s="3343" t="str">
        <f>IF(项目基本情况!K6="上海银行","其他处置费用","")</f>
        <v/>
      </c>
      <c r="L56" s="3344"/>
      <c r="M56" s="2311" t="str">
        <f>IF(项目基本情况!K6="上海银行",M69,"")</f>
        <v/>
      </c>
      <c r="N56" s="3343" t="str">
        <f>IF(项目基本情况!K6="上海银行","包含处置中涉及的律师、诉讼、拍卖、评估等费用","")</f>
        <v/>
      </c>
      <c r="O56" s="3346"/>
    </row>
    <row r="57" spans="1:35" ht="13.2">
      <c r="A57" s="2153" t="s">
        <v>1341</v>
      </c>
      <c r="B57" s="3281" t="s">
        <v>1366</v>
      </c>
      <c r="C57" s="3282"/>
      <c r="D57" s="1478">
        <v>0</v>
      </c>
      <c r="E57" s="316" t="s">
        <v>1343</v>
      </c>
      <c r="F57" s="294"/>
      <c r="G57" s="2340"/>
      <c r="H57" s="2344"/>
      <c r="I57" s="1670"/>
      <c r="J57" s="3320">
        <f>IF(AND(J55="",J56=""),4,IF(项目基本情况!K6="上海银行",结果表!J56+1,结果表!J55+1))</f>
        <v>5</v>
      </c>
      <c r="K57" s="3320" t="s">
        <v>1367</v>
      </c>
      <c r="L57" s="2316" t="s">
        <v>1368</v>
      </c>
      <c r="M57" s="2317"/>
      <c r="N57" s="2318">
        <f ca="1">SUMIF(M52:M56,"&lt;9e307")</f>
        <v>0</v>
      </c>
      <c r="O57" s="2319"/>
      <c r="P57" s="2464" t="e">
        <f ca="1">N57/M49</f>
        <v>#VALUE!</v>
      </c>
    </row>
    <row r="58" spans="1:35" ht="25.2">
      <c r="A58" s="2153" t="s">
        <v>1352</v>
      </c>
      <c r="B58" s="3281" t="s">
        <v>1369</v>
      </c>
      <c r="C58" s="3255"/>
      <c r="D58" s="12" t="e">
        <f ca="1">IF(H58="转让取得",C81,C97)</f>
        <v>#REF!</v>
      </c>
      <c r="E58" s="1256" t="s">
        <v>1364</v>
      </c>
      <c r="F58" s="294" t="s">
        <v>28</v>
      </c>
      <c r="G58" s="2340"/>
      <c r="H58" s="2343"/>
      <c r="I58" s="1670"/>
      <c r="J58" s="3320"/>
      <c r="K58" s="3320"/>
      <c r="L58" s="2316" t="s">
        <v>1370</v>
      </c>
      <c r="M58" s="2320"/>
      <c r="N58" s="2321" t="str">
        <f ca="1">NUMBERSTRING(INT(N57*10000),2)&amp;"元整"</f>
        <v>零元整</v>
      </c>
      <c r="O58" s="2322"/>
    </row>
    <row r="59" spans="1:35" ht="24.6" thickBot="1">
      <c r="A59" s="3323" t="s">
        <v>1371</v>
      </c>
      <c r="B59" s="3324"/>
      <c r="C59" s="3324"/>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321">
        <f>J57+1</f>
        <v>6</v>
      </c>
      <c r="K59" s="3320" t="s">
        <v>1372</v>
      </c>
      <c r="L59" s="2309" t="s">
        <v>1368</v>
      </c>
      <c r="M59" s="2323"/>
      <c r="N59" s="2324" t="e">
        <f ca="1">M49-N57</f>
        <v>#VALUE!</v>
      </c>
      <c r="O59" s="2325"/>
    </row>
    <row r="60" spans="1:35" ht="12" customHeight="1">
      <c r="A60" s="1671"/>
      <c r="B60" s="646"/>
      <c r="C60" s="646"/>
      <c r="D60" s="646"/>
      <c r="E60" s="1466"/>
      <c r="F60" s="1670"/>
      <c r="G60" s="1670"/>
      <c r="H60" s="151"/>
      <c r="I60" s="121"/>
      <c r="J60" s="3322"/>
      <c r="K60" s="3320"/>
      <c r="L60" s="2316" t="s">
        <v>1370</v>
      </c>
      <c r="M60" s="2320"/>
      <c r="N60" s="2321" t="e">
        <f ca="1">NUMBERSTRING(INT(N59*10000),2)&amp;"元整"</f>
        <v>#VALUE!</v>
      </c>
      <c r="O60" s="2322"/>
    </row>
    <row r="61" spans="1:35" ht="13.8" thickBot="1">
      <c r="A61" s="3268" t="s">
        <v>1373</v>
      </c>
      <c r="B61" s="3268"/>
      <c r="C61" s="3268"/>
      <c r="D61" s="3268"/>
      <c r="E61" s="3268"/>
      <c r="F61" s="1670"/>
      <c r="G61" s="1670"/>
      <c r="H61" s="151"/>
      <c r="I61" s="121"/>
      <c r="J61" s="2309">
        <f>J59+1</f>
        <v>7</v>
      </c>
      <c r="K61" s="3320" t="s">
        <v>1374</v>
      </c>
      <c r="L61" s="3320"/>
      <c r="M61" s="2326"/>
      <c r="N61" s="2327" t="e">
        <f ca="1">ROUND(N59*10000/'数据-汇总表'!E3,0)</f>
        <v>#VALUE!</v>
      </c>
      <c r="O61" s="2328"/>
    </row>
    <row r="62" spans="1:35" ht="13.2">
      <c r="A62" s="3286" t="s">
        <v>1375</v>
      </c>
      <c r="B62" s="3287"/>
      <c r="C62" s="1865"/>
      <c r="D62" s="1865" t="s">
        <v>1376</v>
      </c>
      <c r="E62" s="158" t="s">
        <v>1377</v>
      </c>
      <c r="F62" s="1670"/>
      <c r="G62" s="1670"/>
      <c r="H62" s="151"/>
      <c r="I62" s="121"/>
    </row>
    <row r="63" spans="1:35" ht="13.2">
      <c r="A63" s="165" t="s">
        <v>330</v>
      </c>
      <c r="B63" s="159" t="s">
        <v>1378</v>
      </c>
      <c r="C63" s="2349" t="e">
        <f ca="1">ROUND((C64+C65)/(1+'数据-取费表'!C42),0)</f>
        <v>#REF!</v>
      </c>
      <c r="D63" s="159"/>
      <c r="E63" s="160"/>
      <c r="F63" s="1670"/>
      <c r="G63" s="1670"/>
      <c r="H63" s="151"/>
      <c r="I63" s="121"/>
      <c r="J63" s="3345" t="s">
        <v>1379</v>
      </c>
      <c r="K63" s="1245" t="s">
        <v>1380</v>
      </c>
      <c r="L63" s="1245" t="e">
        <f ca="1">IF(M49&gt;10000,M49*0.5%,IF(AND(M49&gt;1000,M49&lt;=10000),M49*1%,IF(AND(M49&gt;100,M49&lt;=1000),M49*3%,IF(AND(M49&gt;10,M49&lt;=100),M49*5%,M49*8%))))</f>
        <v>#VALUE!</v>
      </c>
      <c r="M63" s="294" t="e">
        <f ca="1">ROUND(L63,1)</f>
        <v>#VALUE!</v>
      </c>
      <c r="N63" s="2329"/>
      <c r="Z63" s="1623"/>
      <c r="AI63" s="1561"/>
    </row>
    <row r="64" spans="1:35" ht="14.25" customHeight="1">
      <c r="A64" s="161" t="s">
        <v>325</v>
      </c>
      <c r="B64" s="162" t="s">
        <v>1381</v>
      </c>
      <c r="C64" s="2350" t="e">
        <f ca="1">D45</f>
        <v>#REF!</v>
      </c>
      <c r="D64" s="162" t="s">
        <v>26</v>
      </c>
      <c r="E64" s="164"/>
      <c r="F64" s="1670"/>
      <c r="G64" s="1670"/>
      <c r="H64" s="151"/>
      <c r="I64" s="121"/>
      <c r="J64" s="3345"/>
      <c r="K64" s="1245" t="s">
        <v>1382</v>
      </c>
      <c r="L64" s="1245"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30" t="s">
        <v>1383</v>
      </c>
      <c r="Z64" s="1623"/>
      <c r="AI64" s="1561"/>
    </row>
    <row r="65" spans="1:35" ht="14.25" customHeight="1">
      <c r="A65" s="161" t="s">
        <v>326</v>
      </c>
      <c r="B65" s="162" t="s">
        <v>1384</v>
      </c>
      <c r="C65" s="2351"/>
      <c r="D65" s="162"/>
      <c r="E65" s="164"/>
      <c r="F65" s="1670"/>
      <c r="G65" s="1670"/>
      <c r="H65" s="151"/>
      <c r="I65" s="121"/>
      <c r="J65" s="3345"/>
      <c r="K65" s="1245" t="s">
        <v>1385</v>
      </c>
      <c r="L65" s="1245" t="e">
        <f ca="1">IF(M49&gt;1000,M49*0.1%,IF(AND(M49&gt;500,M49&lt;=1000),M49*0.5%,IF(AND(M49&gt;50,M49&lt;=500),M49*1%,IF(AND(M49&gt;1,M49&lt;=50),M49*1.5%))))</f>
        <v>#VALUE!</v>
      </c>
      <c r="M65" s="294" t="e">
        <f t="shared" ca="1" si="1"/>
        <v>#VALUE!</v>
      </c>
      <c r="N65" s="2330" t="s">
        <v>1383</v>
      </c>
      <c r="Z65" s="1623"/>
      <c r="AI65" s="1561"/>
    </row>
    <row r="66" spans="1:35" ht="14.25" customHeight="1">
      <c r="A66" s="165" t="s">
        <v>327</v>
      </c>
      <c r="B66" s="166" t="s">
        <v>1386</v>
      </c>
      <c r="C66" s="2352"/>
      <c r="D66" s="166" t="s">
        <v>26</v>
      </c>
      <c r="E66" s="1251" t="s">
        <v>671</v>
      </c>
      <c r="F66" s="1670"/>
      <c r="G66" s="1670"/>
      <c r="H66" s="151"/>
      <c r="I66" s="121"/>
      <c r="J66" s="3345"/>
      <c r="K66" s="1245" t="s">
        <v>1387</v>
      </c>
      <c r="L66" s="1245" t="e">
        <f ca="1">M49*0.5%</f>
        <v>#VALUE!</v>
      </c>
      <c r="M66" s="294" t="e">
        <f ca="1">IF(L66&gt;0.5,0.5,ROUND(L66,0))</f>
        <v>#VALUE!</v>
      </c>
      <c r="N66" s="2330" t="s">
        <v>1388</v>
      </c>
      <c r="Z66" s="1623"/>
      <c r="AI66" s="1561"/>
    </row>
    <row r="67" spans="1:35" ht="14.25" customHeight="1">
      <c r="A67" s="165" t="s">
        <v>328</v>
      </c>
      <c r="B67" s="166" t="s">
        <v>1389</v>
      </c>
      <c r="C67" s="2353" t="e">
        <f ca="1">C63-C66</f>
        <v>#REF!</v>
      </c>
      <c r="D67" s="162" t="s">
        <v>26</v>
      </c>
      <c r="E67" s="164"/>
      <c r="F67" s="1670"/>
      <c r="G67" s="1670"/>
      <c r="H67" s="151"/>
      <c r="I67" s="121"/>
      <c r="J67" s="3345"/>
      <c r="K67" s="1245" t="s">
        <v>1390</v>
      </c>
      <c r="L67" s="1245"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9"/>
      <c r="Z67" s="1623"/>
      <c r="AI67" s="1561"/>
    </row>
    <row r="68" spans="1:35" ht="14.25" customHeight="1" thickBot="1">
      <c r="A68" s="168" t="s">
        <v>329</v>
      </c>
      <c r="B68" s="169" t="s">
        <v>1391</v>
      </c>
      <c r="C68" s="2354" t="e">
        <f ca="1">IF(C67&lt;=0,0,ROUND(C67*D68,0))</f>
        <v>#REF!</v>
      </c>
      <c r="D68" s="2355">
        <f>'数据-取费表'!B41</f>
        <v>5.6000000000000001E-2</v>
      </c>
      <c r="E68" s="170"/>
      <c r="F68" s="1670"/>
      <c r="G68" s="1670"/>
      <c r="H68" s="151"/>
      <c r="I68" s="121"/>
      <c r="J68" s="3345"/>
      <c r="K68" s="1245" t="s">
        <v>1392</v>
      </c>
      <c r="L68" s="1245" t="e">
        <f ca="1">IF(M49&gt;10000,M49*0.5%,IF(AND(M49&gt;5000,M49&lt;=10000),M49*1%,IF(AND(M49&gt;1000,M49&lt;=5000),M49*2%,IF(AND(M49&gt;200,M49&lt;=1000),M49*3%,M49*5%))))</f>
        <v>#VALUE!</v>
      </c>
      <c r="M68" s="294" t="e">
        <f ca="1">ROUND(L68,1)</f>
        <v>#VALUE!</v>
      </c>
      <c r="N68" s="2329"/>
      <c r="Z68" s="1623"/>
      <c r="AI68" s="1561"/>
    </row>
    <row r="69" spans="1:35" ht="16.5" customHeight="1">
      <c r="A69" s="1672"/>
      <c r="B69" s="1673"/>
      <c r="C69" s="1674"/>
      <c r="D69" s="1675"/>
      <c r="E69" s="1676"/>
      <c r="F69" s="1466"/>
      <c r="G69" s="1466"/>
      <c r="H69" s="1467"/>
      <c r="I69" s="646"/>
      <c r="J69" s="3345"/>
      <c r="K69" s="1245" t="s">
        <v>1393</v>
      </c>
      <c r="L69" s="1245"/>
      <c r="M69" s="294" t="e">
        <f ca="1">ROUND(SUM(M63:M68),0)</f>
        <v>#VALUE!</v>
      </c>
      <c r="N69" s="2331" t="e">
        <f ca="1">M69/M49</f>
        <v>#VALUE!</v>
      </c>
      <c r="Z69" s="1623"/>
      <c r="AI69" s="1561"/>
    </row>
    <row r="70" spans="1:35" s="642" customFormat="1" ht="14.4" thickBot="1">
      <c r="A70" s="3307" t="s">
        <v>1394</v>
      </c>
      <c r="B70" s="3308"/>
      <c r="C70" s="3308"/>
      <c r="D70" s="3308"/>
      <c r="E70" s="3308"/>
      <c r="F70" s="3308"/>
      <c r="G70" s="3308"/>
      <c r="H70" s="330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6" t="s">
        <v>1375</v>
      </c>
      <c r="B71" s="3287"/>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81" t="s">
        <v>1402</v>
      </c>
      <c r="F76" s="3255"/>
      <c r="G76" s="3255"/>
      <c r="H76" s="330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t="e">
        <f ca="1">ROUND(D45*D78/(1+'数据-取费表'!C42),0)</f>
        <v>#REF!</v>
      </c>
      <c r="D78" s="2362">
        <f>'数据-取费表'!B43</f>
        <v>6.000000000000001E-3</v>
      </c>
      <c r="E78" s="3265" t="s">
        <v>1406</v>
      </c>
      <c r="F78" s="3266"/>
      <c r="G78" s="3266"/>
      <c r="H78" s="3275"/>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7" t="s">
        <v>1410</v>
      </c>
      <c r="B83" s="3308"/>
      <c r="C83" s="3308"/>
      <c r="D83" s="3308"/>
      <c r="E83" s="3308"/>
      <c r="F83" s="3308"/>
      <c r="G83" s="3308"/>
      <c r="H83" s="330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6" t="s">
        <v>1375</v>
      </c>
      <c r="B84" s="3287"/>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t="e">
        <f ca="1">IF(H88="仅含出让金",C87+C90+C91+C92+C93+C94,C87+C91+C92+C93+C94)</f>
        <v>#REF!</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47" t="s">
        <v>2129</v>
      </c>
      <c r="H90" s="3348"/>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65" t="s">
        <v>1419</v>
      </c>
      <c r="F91" s="3266"/>
      <c r="G91" s="3266"/>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65" t="s">
        <v>1422</v>
      </c>
      <c r="F92" s="3266"/>
      <c r="G92" s="3266"/>
      <c r="H92" s="3275"/>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t="e">
        <f ca="1">ROUND(D45*D93/(1+'数据-取费表'!C42),0)</f>
        <v>#REF!</v>
      </c>
      <c r="D93" s="2362">
        <f>'数据-取费表'!B43</f>
        <v>6.000000000000001E-3</v>
      </c>
      <c r="E93" s="3265" t="s">
        <v>1406</v>
      </c>
      <c r="F93" s="3266"/>
      <c r="G93" s="3266"/>
      <c r="H93" s="3275"/>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76" t="s">
        <v>1426</v>
      </c>
      <c r="F94" s="3277"/>
      <c r="G94" s="3277"/>
      <c r="H94" s="327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7" t="s">
        <v>1428</v>
      </c>
      <c r="B100" s="3248"/>
      <c r="C100" s="3248"/>
      <c r="D100" s="3267"/>
      <c r="E100" s="3248" t="s">
        <v>1429</v>
      </c>
      <c r="F100" s="3248"/>
      <c r="G100" s="3248"/>
      <c r="H100" s="3267"/>
      <c r="I100" s="121"/>
    </row>
    <row r="101" spans="1:35" ht="18.75" customHeight="1">
      <c r="A101" s="3328" t="s">
        <v>1430</v>
      </c>
      <c r="B101" s="3329"/>
      <c r="C101" s="2370" t="str">
        <f>C4</f>
        <v>比较法-商业</v>
      </c>
      <c r="D101" s="2371" t="str">
        <f>D4</f>
        <v>收益法 (元)</v>
      </c>
      <c r="E101" s="3342" t="s">
        <v>1431</v>
      </c>
      <c r="F101" s="3299"/>
      <c r="G101" s="1687" t="s">
        <v>1432</v>
      </c>
      <c r="H101" s="2380" t="e">
        <f ca="1">H118</f>
        <v>#REF!</v>
      </c>
      <c r="I101" s="121"/>
    </row>
    <row r="102" spans="1:35" ht="18.75" customHeight="1">
      <c r="A102" s="3301" t="s">
        <v>1433</v>
      </c>
      <c r="B102" s="2369" t="s">
        <v>1432</v>
      </c>
      <c r="C102" s="2370">
        <f ca="1">IF(D32="楼面单价",ROUND(C19,0),C19)</f>
        <v>872.61720000000003</v>
      </c>
      <c r="D102" s="2371">
        <f ca="1">IF(D32="楼面单价",ROUND(D19,0),D19)</f>
        <v>299.81380000000001</v>
      </c>
      <c r="E102" s="3342"/>
      <c r="F102" s="3299"/>
      <c r="G102" s="1687" t="s">
        <v>1434</v>
      </c>
      <c r="H102" s="2340" t="e">
        <f ca="1">I118</f>
        <v>#REF!</v>
      </c>
      <c r="I102" s="121"/>
    </row>
    <row r="103" spans="1:35" ht="42.75" customHeight="1">
      <c r="A103" s="3301"/>
      <c r="B103" s="2369" t="s">
        <v>1434</v>
      </c>
      <c r="C103" s="2372">
        <f ca="1">C20</f>
        <v>52400</v>
      </c>
      <c r="D103" s="2373">
        <f ca="1">D20</f>
        <v>18004</v>
      </c>
      <c r="E103" s="3336" t="s">
        <v>1435</v>
      </c>
      <c r="F103" s="3337"/>
      <c r="G103" s="1688" t="s">
        <v>1436</v>
      </c>
      <c r="H103" s="2380">
        <f>IF(D36="正常操作",H104+H105+H106,H105+H106)</f>
        <v>0</v>
      </c>
      <c r="I103" s="121"/>
    </row>
    <row r="104" spans="1:35" ht="18.75" customHeight="1">
      <c r="A104" s="3301" t="s">
        <v>1437</v>
      </c>
      <c r="B104" s="2374" t="s">
        <v>1432</v>
      </c>
      <c r="C104" s="2375" t="e">
        <f ca="1">H118</f>
        <v>#REF!</v>
      </c>
      <c r="D104" s="2376"/>
      <c r="E104" s="1555" t="s">
        <v>1438</v>
      </c>
      <c r="F104" s="1548"/>
      <c r="G104" s="1688" t="s">
        <v>1436</v>
      </c>
      <c r="H104" s="2381">
        <f>IF(D36="同一抵押权人同一抵押物续贷",C36&amp;"（续贷，未扣减，详见特别提示）",C36)</f>
        <v>0</v>
      </c>
      <c r="I104" s="121"/>
    </row>
    <row r="105" spans="1:35" ht="18.75" customHeight="1" thickBot="1">
      <c r="A105" s="3302"/>
      <c r="B105" s="2377" t="s">
        <v>1434</v>
      </c>
      <c r="C105" s="2378" t="e">
        <f ca="1">I118</f>
        <v>#REF!</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8" t="str">
        <f>IF(项目基本情况!E8="已注销","——","3.房地产抵押价值")</f>
        <v>3.房地产抵押价值</v>
      </c>
      <c r="F107" s="3299"/>
      <c r="G107" s="1687" t="s">
        <v>1432</v>
      </c>
      <c r="H107" s="2380" t="e">
        <f ca="1">IF(E107="——","——",H101-H103)</f>
        <v>#REF!</v>
      </c>
      <c r="I107" s="121"/>
    </row>
    <row r="108" spans="1:35" ht="18.75" customHeight="1">
      <c r="A108" s="121"/>
      <c r="B108" s="121"/>
      <c r="C108" s="121"/>
      <c r="D108" s="121"/>
      <c r="E108" s="3298"/>
      <c r="F108" s="3299"/>
      <c r="G108" s="1687" t="s">
        <v>1434</v>
      </c>
      <c r="H108" s="2340">
        <f ca="1">IF(H107=H101,H102,ROUND(H107*10000/'数据-汇总表'!E3,0))</f>
        <v>0</v>
      </c>
      <c r="I108" s="121"/>
    </row>
    <row r="109" spans="1:35" ht="18.75" customHeight="1">
      <c r="A109" s="121"/>
      <c r="B109" s="121"/>
      <c r="C109" s="121"/>
      <c r="D109" s="121"/>
      <c r="E109" s="3298" t="str">
        <f>IF(项目基本情况!E8="已注销及未注销","4.抵押担保权已注销时的房地产抵押价值",IF(项目基本情况!E8="已注销","3.抵押担保权已注销时的房地产抵押价值","——"))</f>
        <v>——</v>
      </c>
      <c r="F109" s="3299"/>
      <c r="G109" s="1687" t="s">
        <v>1432</v>
      </c>
      <c r="H109" s="2383" t="str">
        <f>IF(E109="——","——",H101-H105-H106)</f>
        <v>——</v>
      </c>
      <c r="I109" s="121"/>
    </row>
    <row r="110" spans="1:35" ht="18.75" customHeight="1">
      <c r="A110" s="121"/>
      <c r="B110" s="121"/>
      <c r="C110" s="121"/>
      <c r="D110" s="121"/>
      <c r="E110" s="3298"/>
      <c r="F110" s="3299"/>
      <c r="G110" s="1687" t="s">
        <v>1434</v>
      </c>
      <c r="H110" s="2340" t="str">
        <f>IF(H109="——","——",ROUND(H109*10000/'数据-汇总表'!E3,0))</f>
        <v>——</v>
      </c>
      <c r="I110" s="121"/>
    </row>
    <row r="111" spans="1:35" ht="18.75" customHeight="1">
      <c r="A111" s="121"/>
      <c r="B111" s="121"/>
      <c r="C111" s="121"/>
      <c r="D111" s="121"/>
      <c r="E111" s="3330" t="str">
        <f>IF(项目基本情况!E9="抵押净值",IF(OR(项目基本情况!E8="已注销",项目基本情况!E8="房地产抵押价值"),"4.抵押净值","5.抵押净值"),"——")</f>
        <v>——</v>
      </c>
      <c r="F111" s="3300"/>
      <c r="G111" s="1687" t="s">
        <v>1432</v>
      </c>
      <c r="H111" s="2380" t="str">
        <f>IF(E111="——","——",N59)</f>
        <v>——</v>
      </c>
      <c r="I111" s="121"/>
    </row>
    <row r="112" spans="1:35" ht="18.75" customHeight="1" thickBot="1">
      <c r="A112" s="121"/>
      <c r="B112" s="121"/>
      <c r="C112" s="121"/>
      <c r="D112" s="121"/>
      <c r="E112" s="3331"/>
      <c r="F112" s="3332"/>
      <c r="G112" s="1690" t="s">
        <v>1434</v>
      </c>
      <c r="H112" s="2384" t="str">
        <f>IF(E111="——","——",N61)</f>
        <v>——</v>
      </c>
      <c r="I112" s="121"/>
    </row>
    <row r="113" spans="1:27" ht="18.75" customHeight="1">
      <c r="A113" s="121"/>
      <c r="B113" s="121"/>
      <c r="C113" s="121"/>
      <c r="D113" s="121"/>
      <c r="E113" s="3303" t="s">
        <v>1440</v>
      </c>
      <c r="F113" s="3303"/>
      <c r="G113" s="3303"/>
      <c r="H113" s="3303"/>
      <c r="I113" s="121"/>
    </row>
    <row r="114" spans="1:27" ht="3.75" customHeight="1">
      <c r="A114" s="646"/>
      <c r="B114" s="646"/>
      <c r="C114" s="646"/>
      <c r="D114" s="646"/>
      <c r="E114" s="1671"/>
      <c r="F114" s="1671"/>
      <c r="G114" s="1671"/>
      <c r="H114" s="1671"/>
      <c r="I114" s="646"/>
    </row>
    <row r="115" spans="1:27" ht="18.75" customHeight="1">
      <c r="A115" s="3313" t="s">
        <v>1442</v>
      </c>
      <c r="B115" s="3314"/>
      <c r="C115" s="3314"/>
      <c r="D115" s="3314"/>
      <c r="E115" s="3314"/>
      <c r="F115" s="3314"/>
      <c r="G115" s="3314"/>
      <c r="H115" s="3314"/>
      <c r="I115" s="3315"/>
    </row>
    <row r="116" spans="1:27" ht="27" customHeight="1">
      <c r="A116" s="3269" t="s">
        <v>1443</v>
      </c>
      <c r="B116" s="3304" t="s">
        <v>1444</v>
      </c>
      <c r="C116" s="3304" t="s">
        <v>1445</v>
      </c>
      <c r="D116" s="3317" t="s">
        <v>1446</v>
      </c>
      <c r="E116" s="3318"/>
      <c r="F116" s="3312" t="s">
        <v>1447</v>
      </c>
      <c r="G116" s="3312"/>
      <c r="H116" s="3269" t="s">
        <v>1448</v>
      </c>
      <c r="I116" s="3269"/>
    </row>
    <row r="117" spans="1:27" ht="18.75" customHeight="1">
      <c r="A117" s="3269"/>
      <c r="B117" s="3305"/>
      <c r="C117" s="3305"/>
      <c r="D117" s="2150" t="s">
        <v>1449</v>
      </c>
      <c r="E117" s="2150" t="s">
        <v>1450</v>
      </c>
      <c r="F117" s="2150" t="s">
        <v>1449</v>
      </c>
      <c r="G117" s="2150" t="s">
        <v>1451</v>
      </c>
      <c r="H117" s="2150" t="s">
        <v>1449</v>
      </c>
      <c r="I117" s="2150" t="s">
        <v>1451</v>
      </c>
    </row>
    <row r="118" spans="1:27" ht="24.75" customHeight="1">
      <c r="A118" s="2385" t="str">
        <f>项目基本情况!S2</f>
        <v>北京市房地产</v>
      </c>
      <c r="B118" s="2150">
        <f>M18</f>
        <v>166.53</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69" t="s">
        <v>1452</v>
      </c>
      <c r="B119" s="3269"/>
      <c r="C119" s="3269"/>
      <c r="D119" s="3309" t="e">
        <f ca="1">NUMBERSTRING(INT(D118*10000),2)&amp;"元整"</f>
        <v>#REF!</v>
      </c>
      <c r="E119" s="3311"/>
      <c r="F119" s="3309" t="e">
        <f ca="1">NUMBERSTRING(INT(F118*10000),2)&amp;"元整"</f>
        <v>#REF!</v>
      </c>
      <c r="G119" s="3311"/>
      <c r="H119" s="3309" t="e">
        <f ca="1">NUMBERSTRING(INT(H118*10000),2)&amp;"元整"</f>
        <v>#REF!</v>
      </c>
      <c r="I119" s="3311"/>
    </row>
    <row r="120" spans="1:27" ht="18.75" customHeight="1">
      <c r="A120" s="3333" t="str">
        <f>IF(项目基本情况!B9="房地产市场价值","",MID(E103,3,LEN(E103)-2))</f>
        <v>估价师知悉的法定优先受偿款</v>
      </c>
      <c r="B120" s="3334"/>
      <c r="C120" s="3335"/>
      <c r="D120" s="3333">
        <f>H103</f>
        <v>0</v>
      </c>
      <c r="E120" s="3334"/>
      <c r="F120" s="3334"/>
      <c r="G120" s="3334"/>
      <c r="H120" s="3334"/>
      <c r="I120" s="3335"/>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09" t="s">
        <v>1452</v>
      </c>
      <c r="B121" s="3310"/>
      <c r="C121" s="3311"/>
      <c r="D121" s="3309" t="str">
        <f>IF(D120=0,"零元整",NUMBERSTRING(INT(D120*10000),2)&amp;"元整")</f>
        <v>零元整</v>
      </c>
      <c r="E121" s="3310"/>
      <c r="F121" s="3310"/>
      <c r="G121" s="3310"/>
      <c r="H121" s="3310"/>
      <c r="I121" s="3311"/>
      <c r="AA121" s="684"/>
    </row>
    <row r="122" spans="1:27" ht="18.75" customHeight="1">
      <c r="A122" s="3300" t="str">
        <f>IF(项目基本情况!B9="房地产市场价值","",MID(E107,3,LEN(E107)-2))</f>
        <v>房地产抵押价值</v>
      </c>
      <c r="B122" s="3300"/>
      <c r="C122" s="3300"/>
      <c r="D122" s="3333" t="e">
        <f ca="1">H107</f>
        <v>#REF!</v>
      </c>
      <c r="E122" s="3334"/>
      <c r="F122" s="3334"/>
      <c r="G122" s="3334"/>
      <c r="H122" s="3334"/>
      <c r="I122" s="3335"/>
      <c r="AA122" s="684"/>
    </row>
    <row r="123" spans="1:27" ht="18.75" customHeight="1">
      <c r="A123" s="3269" t="s">
        <v>1452</v>
      </c>
      <c r="B123" s="3269"/>
      <c r="C123" s="3269"/>
      <c r="D123" s="3309" t="e">
        <f ca="1">NUMBERSTRING(INT(D122*10000),2)&amp;"元整"</f>
        <v>#REF!</v>
      </c>
      <c r="E123" s="3310"/>
      <c r="F123" s="3310"/>
      <c r="G123" s="3310"/>
      <c r="H123" s="3310"/>
      <c r="I123" s="3311"/>
      <c r="AA123" s="684"/>
    </row>
    <row r="124" spans="1:27" ht="18.75" customHeight="1">
      <c r="A124" s="3300" t="str">
        <f>IF(项目基本情况!B9="房地产市场价值","",MID(E109,3,LEN(E109)-2))</f>
        <v/>
      </c>
      <c r="B124" s="3300"/>
      <c r="C124" s="3300"/>
      <c r="D124" s="3333" t="str">
        <f>H109</f>
        <v>——</v>
      </c>
      <c r="E124" s="3334"/>
      <c r="F124" s="3334"/>
      <c r="G124" s="3334"/>
      <c r="H124" s="3334"/>
      <c r="I124" s="3335"/>
      <c r="AA124" s="684"/>
    </row>
    <row r="125" spans="1:27" ht="18.75" customHeight="1">
      <c r="A125" s="3269" t="s">
        <v>1452</v>
      </c>
      <c r="B125" s="3269"/>
      <c r="C125" s="3269"/>
      <c r="D125" s="3309" t="e">
        <f>NUMBERSTRING(INT(D124*10000),2)&amp;"元整"</f>
        <v>#VALUE!</v>
      </c>
      <c r="E125" s="3310"/>
      <c r="F125" s="3310"/>
      <c r="G125" s="3310"/>
      <c r="H125" s="3310"/>
      <c r="I125" s="3311"/>
      <c r="AA125" s="684"/>
    </row>
    <row r="126" spans="1:27" ht="18.75" customHeight="1">
      <c r="A126" s="3300" t="str">
        <f>IF(项目基本情况!B9="房地产市场价值","",MID(E111,3,LEN(E111)-2))</f>
        <v/>
      </c>
      <c r="B126" s="3300"/>
      <c r="C126" s="3300"/>
      <c r="D126" s="3333" t="str">
        <f>H111</f>
        <v>——</v>
      </c>
      <c r="E126" s="3334"/>
      <c r="F126" s="3334"/>
      <c r="G126" s="3334"/>
      <c r="H126" s="3334"/>
      <c r="I126" s="3335"/>
      <c r="AA126" s="684"/>
    </row>
    <row r="127" spans="1:27" ht="18.75" customHeight="1">
      <c r="A127" s="3269" t="s">
        <v>1452</v>
      </c>
      <c r="B127" s="3269"/>
      <c r="C127" s="3269"/>
      <c r="D127" s="3309" t="e">
        <f>NUMBERSTRING(INT(D126*10000),2)&amp;"元整"</f>
        <v>#VALUE!</v>
      </c>
      <c r="E127" s="3310"/>
      <c r="F127" s="3310"/>
      <c r="G127" s="3310"/>
      <c r="H127" s="3310"/>
      <c r="I127" s="3311"/>
      <c r="AA127" s="684"/>
    </row>
    <row r="128" spans="1:27" ht="21.75" customHeight="1">
      <c r="A128" s="3316" t="s">
        <v>1453</v>
      </c>
      <c r="B128" s="3316"/>
      <c r="C128" s="3316"/>
      <c r="D128" s="3316"/>
      <c r="E128" s="3316"/>
      <c r="F128" s="3316"/>
      <c r="G128" s="3316"/>
      <c r="H128" s="3316"/>
      <c r="I128" s="331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52</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3123</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3</v>
      </c>
      <c r="D10" s="795">
        <f ca="1">IF(B1="",'数据-汇总表'!E6,IF(INDIRECT("'数据-取费表'!c"&amp;$G$1)="住宅",INDIRECT("'数据-取费表'!s"&amp;$G$1),INDIRECT("'数据-取费表'!k"&amp;$G$1)+INDIRECT("'数据-取费表'!s"&amp;$G$1)))</f>
        <v>166.53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3</v>
      </c>
      <c r="D19" s="204">
        <f ca="1">D9+D10</f>
        <v>166.53</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6.4">
      <c r="A27" s="247" t="s">
        <v>1512</v>
      </c>
      <c r="B27" s="236" t="s">
        <v>1513</v>
      </c>
      <c r="C27" s="237">
        <f ca="1">C28</f>
        <v>0</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3</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57</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50</v>
      </c>
      <c r="D34" s="209"/>
      <c r="E34" s="212"/>
      <c r="F34" s="249">
        <f ca="1">IF('数据-取费表'!B24=0,1,IF(B1="",'数据-取费表'!N16,INDIRECT("'数据-取费表'!n"&amp;$G$1)))</f>
        <v>1</v>
      </c>
      <c r="G34" s="211" t="s">
        <v>1526</v>
      </c>
    </row>
    <row r="35" spans="1:7" ht="13.5" customHeight="1">
      <c r="A35" s="734" t="s">
        <v>351</v>
      </c>
      <c r="B35" s="207" t="s">
        <v>1527</v>
      </c>
      <c r="C35" s="212">
        <f ca="1">ROUND(C34*F35,0)</f>
        <v>3</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v>
      </c>
      <c r="D37" s="209">
        <f ca="1">D19</f>
        <v>166.53</v>
      </c>
      <c r="E37" s="241">
        <f>'数据-取费表'!B35</f>
        <v>200</v>
      </c>
      <c r="F37" s="251"/>
      <c r="G37" s="253" t="s">
        <v>1532</v>
      </c>
    </row>
    <row r="38" spans="1:7" ht="13.5" customHeight="1">
      <c r="A38" s="734" t="s">
        <v>354</v>
      </c>
      <c r="B38" s="207" t="s">
        <v>1533</v>
      </c>
      <c r="C38" s="212">
        <f ca="1">ROUND(C34*F38,0)</f>
        <v>1</v>
      </c>
      <c r="D38" s="212"/>
      <c r="E38" s="212"/>
      <c r="F38" s="251">
        <f>'数据-取费表'!B36</f>
        <v>0.02</v>
      </c>
      <c r="G38" s="211" t="s">
        <v>1528</v>
      </c>
    </row>
    <row r="39" spans="1:7" s="206" customFormat="1" ht="13.5" customHeight="1">
      <c r="A39" s="247" t="s">
        <v>1534</v>
      </c>
      <c r="B39" s="202" t="s">
        <v>1535</v>
      </c>
      <c r="C39" s="224">
        <f ca="1">ROUND(C33*F20,0)</f>
        <v>1</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1</v>
      </c>
      <c r="D42" s="230"/>
      <c r="E42" s="230"/>
      <c r="F42" s="231"/>
      <c r="G42" s="3349" t="s">
        <v>1544</v>
      </c>
    </row>
    <row r="43" spans="1:7" ht="13.5" customHeight="1">
      <c r="A43" s="734" t="s">
        <v>347</v>
      </c>
      <c r="B43" s="207" t="s">
        <v>1545</v>
      </c>
      <c r="C43" s="230">
        <f ca="1">ROUND(IF('数据-取费表'!B22&lt;=1,C39*F22*'数据-取费表'!B21/2,C39*(POWER((1+F22),'数据-取费表'!B21/2)-1)),0)</f>
        <v>0</v>
      </c>
      <c r="D43" s="230"/>
      <c r="E43" s="230"/>
      <c r="F43" s="231"/>
      <c r="G43" s="3350"/>
    </row>
    <row r="44" spans="1:7" ht="13.5" customHeight="1">
      <c r="A44" s="734" t="s">
        <v>348</v>
      </c>
      <c r="B44" s="207" t="s">
        <v>1546</v>
      </c>
      <c r="C44" s="230">
        <f ca="1">ROUND(IF('数据-取费表'!B22&lt;=1,C40*F22*'数据-取费表'!B21/2,C40*(POWER((1+F22),'数据-取费表'!B21/2)-1)),4)</f>
        <v>2.9999999999999997E-4</v>
      </c>
      <c r="D44" s="230"/>
      <c r="E44" s="230"/>
      <c r="F44" s="231"/>
      <c r="G44" s="3351"/>
    </row>
    <row r="45" spans="1:7" s="206" customFormat="1" ht="13.5" customHeight="1">
      <c r="A45" s="247" t="s">
        <v>1547</v>
      </c>
      <c r="B45" s="236" t="s">
        <v>1513</v>
      </c>
      <c r="C45" s="237">
        <f ca="1">C46</f>
        <v>6</v>
      </c>
      <c r="D45" s="227">
        <f ca="1">C47</f>
        <v>2E-3</v>
      </c>
      <c r="E45" s="228" t="s">
        <v>1539</v>
      </c>
      <c r="F45" s="238">
        <f ca="1">F27</f>
        <v>0.1</v>
      </c>
      <c r="G45" s="239" t="s">
        <v>1548</v>
      </c>
    </row>
    <row r="46" spans="1:7" s="206" customFormat="1" ht="13.5" customHeight="1">
      <c r="A46" s="734" t="s">
        <v>346</v>
      </c>
      <c r="B46" s="240" t="s">
        <v>1549</v>
      </c>
      <c r="C46" s="241">
        <f ca="1">ROUND((C33+C39)*F27,0)</f>
        <v>6</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70</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49</v>
      </c>
      <c r="D51" s="224"/>
      <c r="E51" s="224"/>
      <c r="F51" s="256"/>
      <c r="G51" s="226" t="s">
        <v>1560</v>
      </c>
    </row>
    <row r="52" spans="1:7" s="200" customFormat="1" ht="16.8" thickBot="1">
      <c r="A52" s="257" t="s">
        <v>1561</v>
      </c>
      <c r="B52" s="258"/>
      <c r="C52" s="259">
        <f ca="1">C31+C51</f>
        <v>52</v>
      </c>
      <c r="D52" s="258"/>
      <c r="E52" s="258"/>
      <c r="F52" s="258"/>
      <c r="G52" s="260"/>
    </row>
    <row r="55" spans="1:7" ht="15">
      <c r="B55" s="262" t="s">
        <v>1562</v>
      </c>
      <c r="C55" s="263"/>
    </row>
    <row r="56" spans="1:7">
      <c r="B56" s="265" t="s">
        <v>802</v>
      </c>
      <c r="C56" s="267">
        <f ca="1">1-C57</f>
        <v>5.8000000000000052E-2</v>
      </c>
    </row>
    <row r="57" spans="1:7">
      <c r="B57" s="265" t="s">
        <v>803</v>
      </c>
      <c r="C57" s="266">
        <f ca="1">ROUND(C51/C52,3)</f>
        <v>0.94199999999999995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57.238399999999999</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3437</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33306</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33306</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33306</v>
      </c>
      <c r="D10" s="795">
        <f ca="1">IF(B1="",'数据-汇总表'!E6,IF(INDIRECT("'数据-取费表'!c"&amp;$G$1)="住宅",INDIRECT("'数据-取费表'!s"&amp;$G$1),INDIRECT("'数据-取费表'!k"&amp;$G$1)+INDIRECT("'数据-取费表'!s"&amp;$G$1)))</f>
        <v>166.53</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33306</v>
      </c>
      <c r="D19" s="204">
        <f ca="1">D9+D10</f>
        <v>166.53</v>
      </c>
      <c r="E19" s="203">
        <f>'数据-取费表'!B31</f>
        <v>200</v>
      </c>
      <c r="F19" s="223"/>
      <c r="G19" s="1714"/>
    </row>
    <row r="20" spans="1:7" s="206" customFormat="1" ht="13.5" customHeight="1">
      <c r="A20" s="247" t="s">
        <v>1574</v>
      </c>
      <c r="B20" s="202" t="s">
        <v>1575</v>
      </c>
      <c r="C20" s="224">
        <f ca="1">ROUND((C5+C19)*F20,0)</f>
        <v>1332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2085</v>
      </c>
      <c r="D22" s="227">
        <f ca="1">C26</f>
        <v>2.9999999999999997E-4</v>
      </c>
      <c r="E22" s="228" t="s">
        <v>1579</v>
      </c>
      <c r="F22" s="229">
        <f ca="1">'数据-取费表'!B40</f>
        <v>3.1E-2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1032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1032</v>
      </c>
      <c r="D24" s="230"/>
      <c r="E24" s="230"/>
      <c r="F24" s="231"/>
      <c r="G24" s="232" t="s">
        <v>1586</v>
      </c>
    </row>
    <row r="25" spans="1:7" s="206" customFormat="1" ht="24">
      <c r="A25" s="734" t="s">
        <v>1476</v>
      </c>
      <c r="B25" s="207" t="s">
        <v>1587</v>
      </c>
      <c r="C25" s="230">
        <f ca="1">ROUND(IF('数据-取费表'!B22&lt;=1,C20*F22*'数据-取费表'!B22/2,C20*(POWER((1+F22),'数据-取费表'!B22/2)-1)),0)</f>
        <v>21</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6.4">
      <c r="A27" s="247" t="s">
        <v>1512</v>
      </c>
      <c r="B27" s="236" t="s">
        <v>1513</v>
      </c>
      <c r="C27" s="237">
        <f ca="1">C28</f>
        <v>6794</v>
      </c>
      <c r="D27" s="227">
        <f ca="1">C29</f>
        <v>2E-3</v>
      </c>
      <c r="E27" s="228" t="s">
        <v>1514</v>
      </c>
      <c r="F27" s="238">
        <f ca="1">IF(B1="",'数据-取费表'!Q16,INDIRECT("'数据-取费表'!q"&amp;$G$1))</f>
        <v>0.1</v>
      </c>
      <c r="G27" s="239" t="s">
        <v>1515</v>
      </c>
    </row>
    <row r="28" spans="1:7" s="206" customFormat="1" ht="13.5" customHeight="1">
      <c r="A28" s="734" t="s">
        <v>346</v>
      </c>
      <c r="B28" s="240" t="s">
        <v>1516</v>
      </c>
      <c r="C28" s="241">
        <f ca="1">ROUND((C5+C19+C20)*F27,0)</f>
        <v>6794</v>
      </c>
      <c r="D28" s="227"/>
      <c r="E28" s="228"/>
      <c r="F28" s="238"/>
      <c r="G28" s="239"/>
    </row>
    <row r="29" spans="1:7" s="206" customFormat="1" ht="13.5" customHeight="1">
      <c r="A29" s="734" t="s">
        <v>347</v>
      </c>
      <c r="B29" s="240" t="s">
        <v>1517</v>
      </c>
      <c r="C29" s="230">
        <f ca="1">ROUND(C21*F27,4)</f>
        <v>2E-3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83106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567868</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499590</v>
      </c>
      <c r="D34" s="209"/>
      <c r="E34" s="212"/>
      <c r="F34" s="249"/>
      <c r="G34" s="211"/>
    </row>
    <row r="35" spans="1:7" ht="13.5" customHeight="1">
      <c r="A35" s="734" t="s">
        <v>351</v>
      </c>
      <c r="B35" s="207" t="s">
        <v>1527</v>
      </c>
      <c r="C35" s="212">
        <f ca="1">ROUND(C34*F35,0)</f>
        <v>24980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33306</v>
      </c>
      <c r="D37" s="209">
        <f ca="1">D19</f>
        <v>166.53</v>
      </c>
      <c r="E37" s="241">
        <f>'数据-取费表'!B35</f>
        <v>200</v>
      </c>
      <c r="F37" s="251"/>
      <c r="G37" s="253"/>
    </row>
    <row r="38" spans="1:7" ht="13.5" customHeight="1">
      <c r="A38" s="734" t="s">
        <v>354</v>
      </c>
      <c r="B38" s="207" t="s">
        <v>1533</v>
      </c>
      <c r="C38" s="212">
        <f ca="1">ROUND(C34*F38,0)</f>
        <v>9992</v>
      </c>
      <c r="D38" s="212"/>
      <c r="E38" s="212"/>
      <c r="F38" s="251">
        <f>'数据-取费表'!B36</f>
        <v>0.02</v>
      </c>
      <c r="G38" s="211" t="s">
        <v>1528</v>
      </c>
    </row>
    <row r="39" spans="1:7" s="206" customFormat="1" ht="13.5" customHeight="1">
      <c r="A39" s="247" t="s">
        <v>1534</v>
      </c>
      <c r="B39" s="202" t="s">
        <v>1535</v>
      </c>
      <c r="C39" s="224">
        <f ca="1">ROUND(C33*F20,0)</f>
        <v>11357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8978</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8802</v>
      </c>
      <c r="D42" s="230"/>
      <c r="E42" s="230"/>
      <c r="F42" s="231"/>
      <c r="G42" s="3349" t="s">
        <v>1591</v>
      </c>
    </row>
    <row r="43" spans="1:7" ht="13.5" customHeight="1">
      <c r="A43" s="734" t="s">
        <v>347</v>
      </c>
      <c r="B43" s="207" t="s">
        <v>1545</v>
      </c>
      <c r="C43" s="230">
        <f ca="1">ROUND(IF('数据-取费表'!B22&lt;=1,C39*F22*'数据-取费表'!B20/2,C39*(POWER((1+F22),'数据-取费表'!B20/2)-1)),0)</f>
        <v>176</v>
      </c>
      <c r="D43" s="230"/>
      <c r="E43" s="230"/>
      <c r="F43" s="231"/>
      <c r="G43" s="3350"/>
    </row>
    <row r="44" spans="1:7" ht="13.5" customHeight="1">
      <c r="A44" s="734" t="s">
        <v>348</v>
      </c>
      <c r="B44" s="207" t="s">
        <v>1546</v>
      </c>
      <c r="C44" s="230">
        <f ca="1">ROUND(IF('数据-取费表'!B22&lt;=1,C40*F22*'数据-取费表'!B20/2,C40*(POWER((1+F22),'数据-取费表'!B20/2)-1)),4)</f>
        <v>2.9999999999999997E-4</v>
      </c>
      <c r="D44" s="230"/>
      <c r="E44" s="230"/>
      <c r="F44" s="231"/>
      <c r="G44" s="3351"/>
    </row>
    <row r="45" spans="1:7" s="206" customFormat="1" ht="13.5" customHeight="1">
      <c r="A45" s="247" t="s">
        <v>1547</v>
      </c>
      <c r="B45" s="236" t="s">
        <v>1513</v>
      </c>
      <c r="C45" s="237">
        <f ca="1">C46</f>
        <v>57923</v>
      </c>
      <c r="D45" s="227">
        <f ca="1">C47</f>
        <v>2E-3</v>
      </c>
      <c r="E45" s="228" t="s">
        <v>1539</v>
      </c>
      <c r="F45" s="238">
        <f ca="1">F27</f>
        <v>0.1</v>
      </c>
      <c r="G45" s="239" t="s">
        <v>1548</v>
      </c>
    </row>
    <row r="46" spans="1:7" s="206" customFormat="1" ht="13.5" customHeight="1">
      <c r="A46" s="734" t="s">
        <v>346</v>
      </c>
      <c r="B46" s="240" t="s">
        <v>1549</v>
      </c>
      <c r="C46" s="241">
        <f ca="1">ROUND((C33+C39)*F27,0)</f>
        <v>57923</v>
      </c>
      <c r="D46" s="255"/>
      <c r="E46" s="228"/>
      <c r="F46" s="238"/>
      <c r="G46" s="239"/>
    </row>
    <row r="47" spans="1:7" s="206" customFormat="1" ht="13.5" customHeight="1">
      <c r="A47" s="734" t="s">
        <v>347</v>
      </c>
      <c r="B47" s="240" t="s">
        <v>1550</v>
      </c>
      <c r="C47" s="230">
        <f ca="1">ROUND(C40*F27,4)</f>
        <v>2E-3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698968</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489278</v>
      </c>
      <c r="D51" s="224"/>
      <c r="E51" s="224"/>
      <c r="F51" s="256"/>
      <c r="G51" s="226" t="s">
        <v>1560</v>
      </c>
    </row>
    <row r="52" spans="1:7" s="200" customFormat="1" ht="16.8" thickBot="1">
      <c r="A52" s="257" t="s">
        <v>1561</v>
      </c>
      <c r="B52" s="258"/>
      <c r="C52" s="259">
        <f ca="1">C31+C51</f>
        <v>572384</v>
      </c>
      <c r="D52" s="258"/>
      <c r="E52" s="258"/>
      <c r="F52" s="258"/>
      <c r="G52" s="260"/>
    </row>
    <row r="55" spans="1:7" ht="15">
      <c r="B55" s="262" t="s">
        <v>1562</v>
      </c>
      <c r="C55" s="263"/>
    </row>
    <row r="56" spans="1:7">
      <c r="B56" s="265" t="s">
        <v>802</v>
      </c>
      <c r="C56" s="267">
        <f ca="1">1-C57</f>
        <v>0.14500000000000002</v>
      </c>
    </row>
    <row r="57" spans="1:7">
      <c r="B57" s="265" t="s">
        <v>803</v>
      </c>
      <c r="C57" s="266">
        <f ca="1">ROUND(C51/C52,3)</f>
        <v>0.85499999999999998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7"/>
      <c r="F1" s="2567"/>
      <c r="G1" s="2448"/>
      <c r="H1" s="2567"/>
      <c r="I1" s="2567"/>
      <c r="J1" s="2567"/>
      <c r="K1" s="2568">
        <f>MATCH(C1,'数据-取费表'!A6:A16,0)+5</f>
        <v>7</v>
      </c>
    </row>
    <row r="2" spans="1:33" ht="18" customHeight="1">
      <c r="A2" s="193" t="s">
        <v>1462</v>
      </c>
      <c r="B2" s="196">
        <f ca="1">C32</f>
        <v>-3</v>
      </c>
      <c r="C2" s="268" t="s">
        <v>1595</v>
      </c>
      <c r="D2" s="268"/>
      <c r="E2" s="2567"/>
      <c r="F2" s="2567"/>
      <c r="G2" s="2567"/>
      <c r="H2" s="2567"/>
      <c r="I2" s="2567"/>
      <c r="J2" s="2567"/>
      <c r="K2" s="2567"/>
    </row>
    <row r="3" spans="1:33" ht="18" customHeight="1" thickBot="1">
      <c r="A3" s="195" t="s">
        <v>1464</v>
      </c>
      <c r="B3" s="196">
        <f ca="1">ROUND(B2*10000/IF(C1="",'数据-汇总表'!E3,INDIRECT("'数据-取费表'!K"&amp;$K$1)),0)</f>
        <v>-180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166.53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166.53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v>
      </c>
      <c r="D20" s="796">
        <f ca="1">IF(C1="",'数据-汇总表'!E6,IF(INDIRECT("'数据-取费表'!c"&amp;$K$1)="住宅",INDIRECT("'数据-取费表'!s"&amp;$K$1),INDIRECT("'数据-取费表'!k"&amp;$K$1)+INDIRECT("'数据-取费表'!s"&amp;$K$1)))</f>
        <v>166.53</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4" t="s">
        <v>694</v>
      </c>
      <c r="C6" s="1011">
        <f ca="1">ROUND(F6*F8*F7*(1-F9)/10000,0)</f>
        <v>0</v>
      </c>
      <c r="D6" s="147" t="s">
        <v>2109</v>
      </c>
      <c r="E6" s="294" t="s">
        <v>696</v>
      </c>
      <c r="F6" s="295">
        <f ca="1">INDIRECT("'数据-取费表'!u"&amp;$G$1)</f>
        <v>0</v>
      </c>
      <c r="G6" s="1292"/>
      <c r="H6" s="1006" t="s">
        <v>398</v>
      </c>
      <c r="I6" s="3354" t="s">
        <v>694</v>
      </c>
      <c r="J6" s="293">
        <f ca="1">ROUND(M6*M8*M7*(1-M9)/10000,0)</f>
        <v>0</v>
      </c>
      <c r="K6" s="147" t="s">
        <v>2108</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0</v>
      </c>
      <c r="G7" s="1292"/>
      <c r="H7" s="296"/>
      <c r="I7" s="3355"/>
      <c r="J7" s="298"/>
      <c r="K7" s="299"/>
      <c r="L7" s="294" t="s">
        <v>697</v>
      </c>
      <c r="M7" s="295">
        <f ca="1">F7</f>
        <v>0</v>
      </c>
    </row>
    <row r="8" spans="1:37" ht="18" customHeight="1">
      <c r="A8" s="296"/>
      <c r="B8" s="3355"/>
      <c r="C8" s="298"/>
      <c r="D8" s="299"/>
      <c r="E8" s="294" t="s">
        <v>698</v>
      </c>
      <c r="F8" s="295">
        <f ca="1">INDIRECT("'数据-取费表'!ai"&amp;$G$1)</f>
        <v>0</v>
      </c>
      <c r="G8" s="1292"/>
      <c r="H8" s="296"/>
      <c r="I8" s="3355"/>
      <c r="J8" s="298"/>
      <c r="K8" s="299"/>
      <c r="L8" s="294" t="s">
        <v>698</v>
      </c>
      <c r="M8" s="295">
        <f ca="1">INDIRECT("'数据-取费表'!ai"&amp;$G$1)</f>
        <v>0</v>
      </c>
    </row>
    <row r="9" spans="1:37" ht="18" customHeight="1">
      <c r="A9" s="296"/>
      <c r="B9" s="3356"/>
      <c r="C9" s="298"/>
      <c r="D9" s="299"/>
      <c r="E9" s="294" t="s">
        <v>699</v>
      </c>
      <c r="F9" s="304">
        <f ca="1">INDIRECT("'数据-取费表'!w"&amp;$G$1)</f>
        <v>0</v>
      </c>
      <c r="G9" s="1292"/>
      <c r="H9" s="296"/>
      <c r="I9" s="335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9" t="s">
        <v>2306</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3</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52" t="s">
        <v>837</v>
      </c>
      <c r="L53" s="3353"/>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3</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3" zoomScale="70" zoomScaleNormal="70" zoomScaleSheetLayoutView="70" workbookViewId="0">
      <selection activeCell="H40" sqref="H4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3430</v>
      </c>
      <c r="D1" s="1271" t="s">
        <v>43</v>
      </c>
      <c r="E1" s="1272" t="s">
        <v>678</v>
      </c>
      <c r="F1" s="999">
        <f ca="1">J53</f>
        <v>17.98</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f ca="1">ROUND(D2/10000,4)</f>
        <v>299.81380000000001</v>
      </c>
      <c r="C2" s="1289" t="s">
        <v>879</v>
      </c>
      <c r="D2" s="1375">
        <f ca="1">C40+J29+L46</f>
        <v>2998138</v>
      </c>
      <c r="E2" s="1295" t="s">
        <v>880</v>
      </c>
      <c r="F2" s="1296"/>
      <c r="G2" s="2478"/>
      <c r="H2" s="2468"/>
      <c r="I2" s="2468"/>
      <c r="J2" s="2468"/>
      <c r="K2" s="2469"/>
      <c r="L2" s="2468"/>
      <c r="M2" s="2468"/>
    </row>
    <row r="3" spans="1:37" ht="18" customHeight="1" thickBot="1">
      <c r="A3" s="1297" t="s">
        <v>881</v>
      </c>
      <c r="B3" s="1298">
        <f ca="1">IF(ISERROR(D2/F43),0,ROUND(D2/F43,0))</f>
        <v>18004</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262913</v>
      </c>
      <c r="D5" s="1273" t="s">
        <v>889</v>
      </c>
      <c r="E5" s="1008"/>
      <c r="F5" s="1009"/>
      <c r="G5" s="1292"/>
      <c r="H5" s="291">
        <v>1</v>
      </c>
      <c r="I5" s="292" t="s">
        <v>888</v>
      </c>
      <c r="J5" s="1007">
        <f ca="1">J6+J10+J12</f>
        <v>0</v>
      </c>
      <c r="K5" s="1273" t="s">
        <v>889</v>
      </c>
      <c r="L5" s="1008"/>
      <c r="M5" s="1009"/>
    </row>
    <row r="6" spans="1:37" ht="18" customHeight="1">
      <c r="A6" s="1006" t="s">
        <v>398</v>
      </c>
      <c r="B6" s="3354" t="s">
        <v>694</v>
      </c>
      <c r="C6" s="1011">
        <f ca="1">ROUND(F6*F8*F7*(1-F9),0)</f>
        <v>262585</v>
      </c>
      <c r="D6" s="147" t="s">
        <v>2106</v>
      </c>
      <c r="E6" s="294" t="s">
        <v>696</v>
      </c>
      <c r="F6" s="295">
        <f ca="1">INDIRECT("'数据-取费表'!u"&amp;$G$1)</f>
        <v>4.8</v>
      </c>
      <c r="G6" s="1292"/>
      <c r="H6" s="1006" t="s">
        <v>398</v>
      </c>
      <c r="I6" s="3354" t="s">
        <v>694</v>
      </c>
      <c r="J6" s="293">
        <f ca="1">ROUND(M6*M8*M7*(1-M9),0)</f>
        <v>0</v>
      </c>
      <c r="K6" s="1284" t="s">
        <v>2107</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166.53</v>
      </c>
      <c r="G7" s="1292"/>
      <c r="H7" s="296"/>
      <c r="I7" s="3355"/>
      <c r="J7" s="298"/>
      <c r="K7" s="299"/>
      <c r="L7" s="294" t="s">
        <v>697</v>
      </c>
      <c r="M7" s="295">
        <f ca="1">F7</f>
        <v>166.53</v>
      </c>
    </row>
    <row r="8" spans="1:37" ht="18" customHeight="1">
      <c r="A8" s="296"/>
      <c r="B8" s="3355"/>
      <c r="C8" s="298"/>
      <c r="D8" s="299"/>
      <c r="E8" s="294" t="s">
        <v>698</v>
      </c>
      <c r="F8" s="295">
        <f ca="1">INDIRECT("'数据-取费表'!ai"&amp;$G$1)</f>
        <v>365</v>
      </c>
      <c r="G8" s="1292"/>
      <c r="H8" s="296"/>
      <c r="I8" s="3355"/>
      <c r="J8" s="298"/>
      <c r="K8" s="299"/>
      <c r="L8" s="294" t="s">
        <v>698</v>
      </c>
      <c r="M8" s="295">
        <f ca="1">INDIRECT("'数据-取费表'!ai"&amp;$G$1)</f>
        <v>365</v>
      </c>
    </row>
    <row r="9" spans="1:37" ht="18" customHeight="1">
      <c r="A9" s="296"/>
      <c r="B9" s="3356"/>
      <c r="C9" s="298"/>
      <c r="D9" s="299"/>
      <c r="E9" s="294" t="s">
        <v>699</v>
      </c>
      <c r="F9" s="304">
        <f ca="1">INDIRECT("'数据-取费表'!w"&amp;$G$1)</f>
        <v>0.1</v>
      </c>
      <c r="G9" s="1292"/>
      <c r="H9" s="296"/>
      <c r="I9" s="3356"/>
      <c r="J9" s="298"/>
      <c r="K9" s="299"/>
      <c r="L9" s="305" t="s">
        <v>699</v>
      </c>
      <c r="M9" s="306">
        <f ca="1">INDIRECT("'数据-取费表'!ab"&amp;$G$1)</f>
        <v>0</v>
      </c>
    </row>
    <row r="10" spans="1:37" ht="18" customHeight="1">
      <c r="A10" s="1006" t="s">
        <v>402</v>
      </c>
      <c r="B10" s="1274" t="s">
        <v>700</v>
      </c>
      <c r="C10" s="308">
        <f ca="1">ROUND(IF(F10="押一",C6/12*F11,IF(F10="押二",C6/12*2*F11,IF(F10="押三",C6/12*3*F11,C11*F11))),0)</f>
        <v>328</v>
      </c>
      <c r="D10" s="150" t="s">
        <v>2116</v>
      </c>
      <c r="E10" s="305" t="s">
        <v>701</v>
      </c>
      <c r="F10" s="1053" t="s">
        <v>3460</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69897</v>
      </c>
      <c r="D13" s="1018" t="s">
        <v>705</v>
      </c>
      <c r="E13" s="1018" t="s">
        <v>706</v>
      </c>
      <c r="F13" s="1019">
        <f ca="1">INDIRECT("'数据-取费表'!y"&amp;$G$1)</f>
        <v>0.1</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499590</v>
      </c>
      <c r="D14" s="1257" t="s">
        <v>708</v>
      </c>
      <c r="E14" s="1255"/>
      <c r="F14" s="311"/>
      <c r="G14" s="1292"/>
      <c r="H14" s="928" t="s">
        <v>398</v>
      </c>
      <c r="I14" s="294" t="s">
        <v>709</v>
      </c>
      <c r="J14" s="21">
        <f ca="1">C29</f>
        <v>698968</v>
      </c>
      <c r="K14" s="12"/>
      <c r="L14" s="759"/>
      <c r="M14" s="760"/>
    </row>
    <row r="15" spans="1:37" s="1304" customFormat="1" ht="18" customHeight="1" thickBot="1">
      <c r="A15" s="928" t="s">
        <v>399</v>
      </c>
      <c r="B15" s="294" t="s">
        <v>710</v>
      </c>
      <c r="C15" s="21">
        <f ca="1">ROUND(C14*F15,0)</f>
        <v>24980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6990</v>
      </c>
      <c r="K16" s="1024" t="s">
        <v>715</v>
      </c>
      <c r="L16" s="1025"/>
      <c r="M16" s="1009"/>
    </row>
    <row r="17" spans="1:37" s="1304" customFormat="1" ht="18" customHeight="1">
      <c r="A17" s="928" t="s">
        <v>681</v>
      </c>
      <c r="B17" s="294" t="s">
        <v>716</v>
      </c>
      <c r="C17" s="21">
        <f ca="1">ROUND(F17*(F43+INDIRECT("'数据-取费表'!S"&amp;$G$1)),0)</f>
        <v>33306</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9992</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567868</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11357</v>
      </c>
      <c r="D20" s="315" t="s">
        <v>729</v>
      </c>
      <c r="E20" s="294" t="s">
        <v>712</v>
      </c>
      <c r="F20" s="314">
        <f>'数据-取费表'!B37</f>
        <v>0.02</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6990</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8978</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-6990</v>
      </c>
      <c r="K25" s="1032" t="s">
        <v>753</v>
      </c>
      <c r="L25" s="1033"/>
      <c r="M25" s="1034"/>
    </row>
    <row r="26" spans="1:37" ht="18" customHeight="1">
      <c r="A26" s="928" t="s">
        <v>397</v>
      </c>
      <c r="B26" s="294" t="s">
        <v>754</v>
      </c>
      <c r="C26" s="21">
        <f ca="1">ROUND((C19+C20)*F26,0)</f>
        <v>57923</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698968</v>
      </c>
      <c r="D29" s="1029"/>
      <c r="E29" s="1027"/>
      <c r="F29" s="1030"/>
      <c r="G29" s="1303"/>
      <c r="H29" s="325" t="s">
        <v>396</v>
      </c>
      <c r="I29" s="326" t="s">
        <v>768</v>
      </c>
      <c r="J29" s="327">
        <f ca="1">ROUND(J26/(1+F40)^F41,0)</f>
        <v>0</v>
      </c>
      <c r="K29" s="328" t="s">
        <v>769</v>
      </c>
      <c r="L29" s="329"/>
      <c r="M29" s="330">
        <f ca="1">INDIRECT("'数据-取费表'!k"&amp;$G$1)</f>
        <v>166.53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53704</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44015</v>
      </c>
      <c r="D31" s="1257" t="s">
        <v>720</v>
      </c>
      <c r="E31" s="1256" t="s">
        <v>770</v>
      </c>
      <c r="F31" s="2139" t="str">
        <f>IF(项目基本情况!B11="企业","——",IF(M47="住宅",IF(F6*F7*F8/12/(1+'数据-取费表'!F30)&gt;100000,4%,2.5%),IF(F6*F7*F8/12/(1+'数据-取费表'!F30)&gt;100000,12%,7%)))</f>
        <v>——</v>
      </c>
      <c r="G31" s="1292"/>
      <c r="H31" s="2569" t="s">
        <v>2306</v>
      </c>
      <c r="I31" s="1305"/>
      <c r="J31" s="1306"/>
      <c r="K31" s="121"/>
      <c r="L31" s="2471"/>
      <c r="M31" s="2472"/>
    </row>
    <row r="32" spans="1:37" ht="18" customHeight="1">
      <c r="A32" s="928" t="s">
        <v>397</v>
      </c>
      <c r="B32" s="294" t="s">
        <v>723</v>
      </c>
      <c r="C32" s="21">
        <f ca="1">IF(项目基本情况!B11="自然人","——",ROUND(C6*F32/(1+'数据-取费表'!C42),0))</f>
        <v>14005</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30010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3</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6990</v>
      </c>
      <c r="D36" s="1256" t="s">
        <v>771</v>
      </c>
      <c r="E36" s="294" t="s">
        <v>712</v>
      </c>
      <c r="F36" s="320">
        <f ca="1">INDIRECT("'数据-取费表'!Ak"&amp;$G$1)</f>
        <v>0.01</v>
      </c>
      <c r="G36" s="1292"/>
      <c r="H36" s="2473"/>
      <c r="I36" s="1305"/>
      <c r="J36" s="1306"/>
      <c r="K36" s="2330"/>
      <c r="L36" s="2473"/>
      <c r="M36" s="2473"/>
    </row>
    <row r="37" spans="1:18" ht="18" customHeight="1">
      <c r="A37" s="928" t="s">
        <v>437</v>
      </c>
      <c r="B37" s="294" t="s">
        <v>742</v>
      </c>
      <c r="C37" s="21">
        <f ca="1">ROUND(C13*F37,0)</f>
        <v>70</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ROUND(C5*F38,0)</f>
        <v>2629</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209209</v>
      </c>
      <c r="D39" s="1032" t="s">
        <v>773</v>
      </c>
      <c r="E39" s="1033"/>
      <c r="F39" s="1034"/>
      <c r="G39" s="1292"/>
      <c r="H39" s="2473">
        <f ca="1">C39/C5</f>
        <v>0.79573471072179769</v>
      </c>
      <c r="I39" s="1305"/>
      <c r="J39" s="1306"/>
      <c r="K39" s="2471"/>
      <c r="L39" s="2473"/>
      <c r="M39" s="2473"/>
    </row>
    <row r="40" spans="1:18" ht="18" customHeight="1">
      <c r="A40" s="291" t="s">
        <v>395</v>
      </c>
      <c r="B40" s="292" t="s">
        <v>774</v>
      </c>
      <c r="C40" s="293">
        <f ca="1">ROUND(C39*(1-((1+F42)/(1+F40))^F41)/(F40-F42),0)</f>
        <v>2718551</v>
      </c>
      <c r="D40" s="316" t="s">
        <v>758</v>
      </c>
      <c r="E40" s="294" t="s">
        <v>759</v>
      </c>
      <c r="F40" s="304">
        <f ca="1">INDIRECT("'数据-取费表'!I"&amp;$G$1)</f>
        <v>5.5E-2</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17.98</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16325</v>
      </c>
      <c r="D43" s="328" t="s">
        <v>777</v>
      </c>
      <c r="E43" s="329" t="s">
        <v>778</v>
      </c>
      <c r="F43" s="330">
        <f ca="1">INDIRECT("'数据-取费表'!k"&amp;$G$1)</f>
        <v>166.53</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3352</v>
      </c>
      <c r="B45" s="1307"/>
      <c r="C45" s="1376">
        <f ca="1">ROUND((C68-C40)/10000,4)</f>
        <v>-279.78960000000001</v>
      </c>
      <c r="D45" s="3130" t="s">
        <v>3353</v>
      </c>
      <c r="E45" s="1307"/>
      <c r="F45" s="1307"/>
      <c r="O45" s="1310" t="s">
        <v>808</v>
      </c>
      <c r="P45" s="1366"/>
      <c r="Q45" s="1366"/>
      <c r="R45" s="1366"/>
    </row>
    <row r="46" spans="1:18" s="1292" customFormat="1" ht="13.8" thickBot="1">
      <c r="A46" s="1311" t="s">
        <v>809</v>
      </c>
      <c r="C46" s="1312">
        <f ca="1">ROUND(C45,0)</f>
        <v>-280</v>
      </c>
      <c r="D46" s="1313" t="str">
        <f>C2</f>
        <v>万元</v>
      </c>
      <c r="I46" s="1314" t="s">
        <v>810</v>
      </c>
      <c r="J46" s="1315"/>
      <c r="K46" s="1316"/>
      <c r="L46" s="1317">
        <f ca="1">IF(M47="住宅",0,IF(L48&gt;J51,L60,J60))</f>
        <v>279587</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3422</v>
      </c>
      <c r="K47" s="1323" t="s">
        <v>816</v>
      </c>
      <c r="L47" s="1324">
        <f ca="1">INDIRECT("'数据-取费表'!d"&amp;$G$1)</f>
        <v>0</v>
      </c>
      <c r="M47" s="1288" t="str">
        <f>IF(ISNUMBER(FIND("住宅",C1)),"住宅","非住宅")</f>
        <v>非住宅</v>
      </c>
      <c r="O47" s="1325" t="s">
        <v>403</v>
      </c>
      <c r="P47" s="1326" t="s">
        <v>817</v>
      </c>
      <c r="Q47" s="1327">
        <f ca="1">C40+J29</f>
        <v>2718551</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3461</v>
      </c>
      <c r="K48" s="1330" t="s">
        <v>820</v>
      </c>
      <c r="L48" s="1331">
        <f ca="1">INDIRECT("'数据-取费表'!f"&amp;$G$1)</f>
        <v>17.98</v>
      </c>
      <c r="O48" s="1325" t="s">
        <v>404</v>
      </c>
      <c r="P48" s="1326" t="s">
        <v>821</v>
      </c>
      <c r="Q48" s="1327">
        <f ca="1">J60</f>
        <v>279587</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信息!$K$2</f>
        <v>2007</v>
      </c>
      <c r="K49" s="1330" t="s">
        <v>824</v>
      </c>
      <c r="L49" s="1333"/>
      <c r="O49" s="1334" t="s">
        <v>405</v>
      </c>
      <c r="P49" s="1326" t="s">
        <v>825</v>
      </c>
      <c r="Q49" s="1327">
        <f ca="1">C29</f>
        <v>698968</v>
      </c>
      <c r="R49" s="1327" t="s">
        <v>818</v>
      </c>
    </row>
    <row r="50" spans="1:18" s="1292" customFormat="1" ht="13.8" thickBot="1">
      <c r="A50" s="922"/>
      <c r="B50" s="925"/>
      <c r="C50" s="926"/>
      <c r="D50" s="899"/>
      <c r="E50" s="993" t="s">
        <v>697</v>
      </c>
      <c r="F50" s="994">
        <f ca="1">F7</f>
        <v>166.53</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3559844</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17.98</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17.98</v>
      </c>
      <c r="K53" s="3352" t="s">
        <v>837</v>
      </c>
      <c r="L53" s="3353"/>
      <c r="O53" s="1325" t="s">
        <v>409</v>
      </c>
      <c r="P53" s="1326" t="s">
        <v>838</v>
      </c>
      <c r="Q53" s="1327">
        <f ca="1">Q47+Q48</f>
        <v>2998138</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69897</v>
      </c>
      <c r="D56" s="1352"/>
      <c r="E56" s="1353"/>
      <c r="F56" s="1345"/>
      <c r="I56" s="1354" t="s">
        <v>842</v>
      </c>
      <c r="J56" s="1355" t="s">
        <v>3468</v>
      </c>
      <c r="K56" s="1328" t="s">
        <v>843</v>
      </c>
      <c r="L56" s="1331" t="str">
        <f ca="1">IF(L48&lt;J51,"——",L48-J51)</f>
        <v>——</v>
      </c>
      <c r="O56" s="1325" t="s">
        <v>403</v>
      </c>
      <c r="P56" s="1326" t="s">
        <v>817</v>
      </c>
      <c r="Q56" s="1327">
        <f ca="1">C40+J29</f>
        <v>2718551</v>
      </c>
      <c r="R56" s="1327" t="s">
        <v>818</v>
      </c>
    </row>
    <row r="57" spans="1:18" s="1292" customFormat="1" ht="24.6" thickBot="1">
      <c r="A57" s="1356"/>
      <c r="B57" s="896" t="s">
        <v>767</v>
      </c>
      <c r="C57" s="230">
        <f ca="1">C29</f>
        <v>698968</v>
      </c>
      <c r="D57" s="1357"/>
      <c r="E57" s="1358"/>
      <c r="F57" s="1359"/>
      <c r="I57" s="1360" t="s">
        <v>844</v>
      </c>
      <c r="J57" s="1361">
        <f ca="1">IF(OR(M47="住宅",J51&lt;L48,J56="是"),"——",J51-L48)</f>
        <v>24.02</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7060</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279587</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279587</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3</v>
      </c>
      <c r="I62" s="1367" t="s">
        <v>858</v>
      </c>
      <c r="J62" s="610" t="s">
        <v>859</v>
      </c>
      <c r="K62" s="610" t="s">
        <v>860</v>
      </c>
      <c r="L62" s="610" t="s">
        <v>861</v>
      </c>
      <c r="M62" s="1368" t="s">
        <v>862</v>
      </c>
      <c r="O62" s="1325" t="s">
        <v>409</v>
      </c>
      <c r="P62" s="1326" t="s">
        <v>863</v>
      </c>
      <c r="Q62" s="1327">
        <f ca="1">Q56+Q57</f>
        <v>2718551</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6990</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70</v>
      </c>
      <c r="D65" s="910" t="s">
        <v>743</v>
      </c>
      <c r="E65" s="896" t="s">
        <v>744</v>
      </c>
      <c r="F65" s="321">
        <f t="shared" ca="1" si="0"/>
        <v>1E-3</v>
      </c>
      <c r="I65" s="1367" t="s">
        <v>867</v>
      </c>
      <c r="J65" s="610">
        <v>40</v>
      </c>
      <c r="K65" s="610">
        <v>30</v>
      </c>
      <c r="L65" s="610">
        <v>50</v>
      </c>
      <c r="M65" s="1369">
        <v>0.02</v>
      </c>
      <c r="O65" s="1325" t="s">
        <v>403</v>
      </c>
      <c r="P65" s="1326" t="s">
        <v>868</v>
      </c>
      <c r="Q65" s="1327">
        <f ca="1">C40+J29</f>
        <v>2718551</v>
      </c>
      <c r="R65" s="1327" t="s">
        <v>818</v>
      </c>
    </row>
    <row r="66" spans="1:18" s="1292" customFormat="1" ht="16.2"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-7060</v>
      </c>
      <c r="D67" s="909" t="s">
        <v>753</v>
      </c>
      <c r="E67" s="914"/>
      <c r="F67" s="915"/>
      <c r="O67" s="1334" t="s">
        <v>405</v>
      </c>
      <c r="P67" s="1326" t="s">
        <v>850</v>
      </c>
      <c r="Q67" s="1370">
        <f ca="1">L51</f>
        <v>3559844</v>
      </c>
      <c r="R67" s="1327" t="s">
        <v>870</v>
      </c>
    </row>
    <row r="68" spans="1:18" s="1292" customFormat="1" ht="16.2" thickBot="1">
      <c r="A68" s="893" t="s">
        <v>395</v>
      </c>
      <c r="B68" s="894" t="s">
        <v>774</v>
      </c>
      <c r="C68" s="293">
        <f ca="1">ROUND(C67*(1-((1+F70)/(1+F68))^F69)/(F68-F70),0)</f>
        <v>-79345</v>
      </c>
      <c r="D68" s="911" t="s">
        <v>758</v>
      </c>
      <c r="E68" s="896" t="s">
        <v>759</v>
      </c>
      <c r="F68" s="304">
        <f ca="1">F40</f>
        <v>5.5E-2</v>
      </c>
      <c r="O68" s="1334" t="s">
        <v>406</v>
      </c>
      <c r="P68" s="1371" t="s">
        <v>871</v>
      </c>
      <c r="Q68" s="1327">
        <f ca="1">ROUND(Q69-Q70*Q71,0)</f>
        <v>204316</v>
      </c>
      <c r="R68" s="1327" t="s">
        <v>414</v>
      </c>
    </row>
    <row r="69" spans="1:18" s="1292" customFormat="1" ht="13.8" thickBot="1">
      <c r="A69" s="897"/>
      <c r="B69" s="898"/>
      <c r="C69" s="298"/>
      <c r="D69" s="916" t="s">
        <v>762</v>
      </c>
      <c r="E69" s="896" t="s">
        <v>763</v>
      </c>
      <c r="F69" s="324">
        <f ca="1">F41</f>
        <v>17.98</v>
      </c>
      <c r="O69" s="1334" t="s">
        <v>411</v>
      </c>
      <c r="P69" s="1371" t="s">
        <v>872</v>
      </c>
      <c r="Q69" s="1327">
        <f ca="1">C39</f>
        <v>209209</v>
      </c>
      <c r="R69" s="1327" t="s">
        <v>818</v>
      </c>
    </row>
    <row r="70" spans="1:18" s="1292" customFormat="1" ht="13.8" thickBot="1">
      <c r="A70" s="900"/>
      <c r="B70" s="901"/>
      <c r="C70" s="302"/>
      <c r="D70" s="912"/>
      <c r="E70" s="896" t="s">
        <v>766</v>
      </c>
      <c r="F70" s="991"/>
      <c r="O70" s="1334" t="s">
        <v>412</v>
      </c>
      <c r="P70" s="1371" t="s">
        <v>873</v>
      </c>
      <c r="Q70" s="1327">
        <f ca="1">C13</f>
        <v>69897</v>
      </c>
      <c r="R70" s="1327" t="s">
        <v>818</v>
      </c>
    </row>
    <row r="71" spans="1:18" s="1292" customFormat="1" ht="13.8" thickBot="1">
      <c r="A71" s="917" t="s">
        <v>396</v>
      </c>
      <c r="B71" s="918" t="s">
        <v>776</v>
      </c>
      <c r="C71" s="327">
        <f ca="1">ROUND(C68/F71,0)</f>
        <v>-476</v>
      </c>
      <c r="D71" s="919" t="s">
        <v>777</v>
      </c>
      <c r="E71" s="920" t="s">
        <v>778</v>
      </c>
      <c r="F71" s="330">
        <f ca="1">F43</f>
        <v>166.53</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4893</v>
      </c>
      <c r="D75" s="1292"/>
      <c r="E75" s="1292"/>
      <c r="F75" s="1292"/>
      <c r="K75" s="1309"/>
      <c r="L75" s="1292"/>
      <c r="O75" s="1325" t="s">
        <v>409</v>
      </c>
      <c r="P75" s="1326" t="s">
        <v>838</v>
      </c>
      <c r="Q75" s="1327">
        <f ca="1">Q65+Q66</f>
        <v>2718551</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0.97699999999999998</v>
      </c>
    </row>
    <row r="80" spans="1:18">
      <c r="B80" s="331" t="s">
        <v>800</v>
      </c>
      <c r="C80" s="266">
        <f ca="1">ROUND(C75/C39,3)</f>
        <v>2.3E-2</v>
      </c>
    </row>
    <row r="81" spans="2:3">
      <c r="B81" s="262" t="s">
        <v>801</v>
      </c>
      <c r="C81" s="230"/>
    </row>
    <row r="82" spans="2:3">
      <c r="B82" s="265" t="s">
        <v>802</v>
      </c>
      <c r="C82" s="267">
        <f ca="1">1-C83</f>
        <v>0.97399999999999998</v>
      </c>
    </row>
    <row r="83" spans="2:3">
      <c r="B83" s="265" t="s">
        <v>803</v>
      </c>
      <c r="C83" s="266">
        <f ca="1">ROUND(C13/C40,3)</f>
        <v>2.5999999999999999E-2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2" customHeight="1">
      <c r="A2" s="1293" t="s">
        <v>2315</v>
      </c>
      <c r="B2" s="2594" t="e">
        <f>IF(D2="——",C40,C40+E2)</f>
        <v>#DIV/0!</v>
      </c>
      <c r="C2" s="2595" t="s">
        <v>2316</v>
      </c>
      <c r="D2" s="3138" t="s">
        <v>3359</v>
      </c>
      <c r="E2" s="3139"/>
      <c r="F2" s="2597"/>
      <c r="G2" s="2598"/>
      <c r="H2" s="2599"/>
      <c r="I2" s="2600"/>
      <c r="J2" s="3363" t="s">
        <v>2317</v>
      </c>
      <c r="K2" s="3364"/>
      <c r="L2" s="2601" t="s">
        <v>2318</v>
      </c>
      <c r="M2" s="2601" t="s">
        <v>2319</v>
      </c>
      <c r="N2" s="2601" t="s">
        <v>2320</v>
      </c>
      <c r="O2" s="2601" t="s">
        <v>2321</v>
      </c>
      <c r="P2" s="2601" t="s">
        <v>2322</v>
      </c>
      <c r="Q2" s="2602" t="s">
        <v>2323</v>
      </c>
      <c r="R2" s="2603" t="s">
        <v>2324</v>
      </c>
      <c r="S2" s="2592"/>
      <c r="T2" s="2592"/>
      <c r="U2" s="2592"/>
      <c r="V2" s="2600"/>
    </row>
    <row r="3" spans="1:22" s="2604" customFormat="1" ht="13.2" customHeight="1">
      <c r="A3" s="2605" t="s">
        <v>2325</v>
      </c>
      <c r="B3" s="2606" t="e">
        <f>ROUND(B2*10000/B4,0)</f>
        <v>#DIV/0!</v>
      </c>
      <c r="C3" s="2595" t="s">
        <v>2326</v>
      </c>
      <c r="D3" s="2595"/>
      <c r="E3" s="2596"/>
      <c r="F3" s="2597"/>
      <c r="G3" s="2598"/>
      <c r="H3" s="2599"/>
      <c r="I3" s="2600"/>
      <c r="J3" s="3365" t="s">
        <v>2327</v>
      </c>
      <c r="K3" s="3366"/>
      <c r="L3" s="2607"/>
      <c r="M3" s="2607"/>
      <c r="N3" s="2607"/>
      <c r="O3" s="2607"/>
      <c r="P3" s="2607"/>
      <c r="Q3" s="2608"/>
      <c r="R3" s="2609">
        <f>SUM(L3:Q3)</f>
        <v>0</v>
      </c>
      <c r="S3" s="2592"/>
      <c r="T3" s="2592"/>
      <c r="U3" s="2592"/>
      <c r="V3" s="2600"/>
    </row>
    <row r="4" spans="1:22" s="2604" customFormat="1" ht="13.2" customHeight="1">
      <c r="A4" s="2610" t="s">
        <v>2328</v>
      </c>
      <c r="B4" s="2611"/>
      <c r="C4" s="2595"/>
      <c r="D4" s="2595"/>
      <c r="E4" s="2596"/>
      <c r="F4" s="2597"/>
      <c r="G4" s="2598"/>
      <c r="H4" s="2599"/>
      <c r="I4" s="2600"/>
      <c r="J4" s="3365" t="s">
        <v>2329</v>
      </c>
      <c r="K4" s="3366"/>
      <c r="L4" s="2612"/>
      <c r="M4" s="2612"/>
      <c r="N4" s="2612"/>
      <c r="O4" s="2612"/>
      <c r="P4" s="2612"/>
      <c r="Q4" s="2613"/>
      <c r="R4" s="2614">
        <f>SUM(L4:Q4)</f>
        <v>0</v>
      </c>
      <c r="S4" s="2592"/>
      <c r="T4" s="2592"/>
      <c r="U4" s="2592"/>
      <c r="V4" s="2600"/>
    </row>
    <row r="5" spans="1:22" s="2604" customFormat="1" ht="13.2"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2" customHeight="1" thickBot="1">
      <c r="A6" s="3371" t="s">
        <v>2333</v>
      </c>
      <c r="B6" s="3372"/>
      <c r="C6" s="3373"/>
      <c r="D6" s="2621"/>
      <c r="E6" s="2622"/>
      <c r="F6" s="2623"/>
      <c r="G6" s="2624"/>
      <c r="H6" s="2599"/>
      <c r="I6" s="2600"/>
      <c r="J6" s="3357">
        <v>1</v>
      </c>
      <c r="K6" s="3358"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2" customHeight="1">
      <c r="A7" s="2627" t="s">
        <v>2343</v>
      </c>
      <c r="B7" s="2628"/>
      <c r="C7" s="2629"/>
      <c r="D7" s="2630">
        <f>SUM(D9,D10,D11,D17,0)</f>
        <v>0</v>
      </c>
      <c r="E7" s="2631" t="e">
        <f>E9+E10+E11+E17</f>
        <v>#DIV/0!</v>
      </c>
      <c r="F7" s="2632"/>
      <c r="G7" s="2633"/>
      <c r="H7" s="2599"/>
      <c r="I7" s="2600"/>
      <c r="J7" s="3357"/>
      <c r="K7" s="3359"/>
      <c r="L7" s="2634" t="s">
        <v>2344</v>
      </c>
      <c r="M7" s="2635"/>
      <c r="N7" s="2611"/>
      <c r="O7" s="2636"/>
      <c r="P7" s="2636"/>
      <c r="Q7" s="2637">
        <v>365</v>
      </c>
      <c r="R7" s="2638">
        <f>ROUND(M7*N7*O7*P7*Q7/10000,0)</f>
        <v>0</v>
      </c>
      <c r="S7" s="2592"/>
      <c r="T7" s="2592" t="s">
        <v>2345</v>
      </c>
      <c r="U7" s="2592"/>
      <c r="V7" s="2600"/>
    </row>
    <row r="8" spans="1:22" s="2604" customFormat="1" ht="13.2" customHeight="1">
      <c r="A8" s="2639" t="s">
        <v>2346</v>
      </c>
      <c r="B8" s="3374" t="s">
        <v>2347</v>
      </c>
      <c r="C8" s="3375"/>
      <c r="D8" s="2640" t="s">
        <v>2348</v>
      </c>
      <c r="E8" s="2641" t="s">
        <v>2349</v>
      </c>
      <c r="F8" s="2642" t="s">
        <v>2350</v>
      </c>
      <c r="G8" s="2643"/>
      <c r="H8" s="2599"/>
      <c r="I8" s="2600"/>
      <c r="J8" s="3357"/>
      <c r="K8" s="3359"/>
      <c r="L8" s="2634" t="s">
        <v>2351</v>
      </c>
      <c r="M8" s="2635"/>
      <c r="N8" s="2611"/>
      <c r="O8" s="2636"/>
      <c r="P8" s="2636"/>
      <c r="Q8" s="2637">
        <v>365</v>
      </c>
      <c r="R8" s="2638">
        <f t="shared" ref="R8:R13" si="0">ROUND(M8*N8*O8*P8*Q8/10000,0)</f>
        <v>0</v>
      </c>
      <c r="S8" s="2592"/>
      <c r="T8" s="2592" t="s">
        <v>2352</v>
      </c>
      <c r="U8" s="2592"/>
      <c r="V8" s="2600"/>
    </row>
    <row r="9" spans="1:22" s="2604" customFormat="1" ht="13.2" customHeight="1">
      <c r="A9" s="2639">
        <v>1</v>
      </c>
      <c r="B9" s="3374" t="s">
        <v>2353</v>
      </c>
      <c r="C9" s="3375"/>
      <c r="D9" s="2640">
        <f>ROUND(D6*E9,0)</f>
        <v>0</v>
      </c>
      <c r="E9" s="2644"/>
      <c r="F9" s="2645" t="s">
        <v>2354</v>
      </c>
      <c r="G9" s="2624"/>
      <c r="H9" s="2599"/>
      <c r="I9" s="2600"/>
      <c r="J9" s="3357"/>
      <c r="K9" s="3359"/>
      <c r="L9" s="2634" t="s">
        <v>2355</v>
      </c>
      <c r="M9" s="2635"/>
      <c r="N9" s="2611"/>
      <c r="O9" s="2636"/>
      <c r="P9" s="2636"/>
      <c r="Q9" s="2637">
        <v>365</v>
      </c>
      <c r="R9" s="2638">
        <f t="shared" si="0"/>
        <v>0</v>
      </c>
      <c r="S9" s="2592"/>
      <c r="T9" s="2592"/>
      <c r="U9" s="2592"/>
      <c r="V9" s="2600"/>
    </row>
    <row r="10" spans="1:22" s="2604" customFormat="1" ht="13.2" customHeight="1">
      <c r="A10" s="2639">
        <v>2</v>
      </c>
      <c r="B10" s="3374" t="s">
        <v>2356</v>
      </c>
      <c r="C10" s="3375"/>
      <c r="D10" s="2640">
        <f>ROUND(D6*E10,0)</f>
        <v>0</v>
      </c>
      <c r="E10" s="2644"/>
      <c r="F10" s="2645" t="s">
        <v>2357</v>
      </c>
      <c r="G10" s="2624"/>
      <c r="H10" s="2599"/>
      <c r="I10" s="2600"/>
      <c r="J10" s="3357"/>
      <c r="K10" s="3359"/>
      <c r="L10" s="2634" t="s">
        <v>2358</v>
      </c>
      <c r="M10" s="2635"/>
      <c r="N10" s="2611"/>
      <c r="O10" s="2636"/>
      <c r="P10" s="2636"/>
      <c r="Q10" s="2637">
        <v>365</v>
      </c>
      <c r="R10" s="2638">
        <f t="shared" si="0"/>
        <v>0</v>
      </c>
      <c r="S10" s="2592"/>
      <c r="T10" s="2592"/>
      <c r="U10" s="2592"/>
      <c r="V10" s="2600"/>
    </row>
    <row r="11" spans="1:22" s="2604" customFormat="1" ht="13.2" customHeight="1">
      <c r="A11" s="2639">
        <v>3</v>
      </c>
      <c r="B11" s="3374" t="s">
        <v>2359</v>
      </c>
      <c r="C11" s="3375"/>
      <c r="D11" s="2640">
        <f>D12+D14+D15+D16</f>
        <v>0</v>
      </c>
      <c r="E11" s="2646" t="e">
        <f>D11/D6</f>
        <v>#DIV/0!</v>
      </c>
      <c r="F11" s="2642"/>
      <c r="G11" s="2643"/>
      <c r="H11" s="2599"/>
      <c r="I11" s="2600"/>
      <c r="J11" s="3357"/>
      <c r="K11" s="3359"/>
      <c r="L11" s="2634" t="s">
        <v>2360</v>
      </c>
      <c r="M11" s="2635"/>
      <c r="N11" s="2611"/>
      <c r="O11" s="2636"/>
      <c r="P11" s="2636"/>
      <c r="Q11" s="2637">
        <v>365</v>
      </c>
      <c r="R11" s="2638">
        <f t="shared" si="0"/>
        <v>0</v>
      </c>
      <c r="S11" s="2592"/>
      <c r="T11" s="2592"/>
      <c r="U11" s="2592"/>
      <c r="V11" s="2600"/>
    </row>
    <row r="12" spans="1:22" s="2604" customFormat="1" ht="13.2" customHeight="1">
      <c r="A12" s="2647" t="s">
        <v>2361</v>
      </c>
      <c r="B12" s="3367" t="s">
        <v>2362</v>
      </c>
      <c r="C12" s="3368"/>
      <c r="D12" s="2648">
        <f>ROUND(D13*1.2%*(1-30%),0)</f>
        <v>0</v>
      </c>
      <c r="E12" s="2649">
        <v>1.2E-2</v>
      </c>
      <c r="F12" s="2642" t="s">
        <v>2363</v>
      </c>
      <c r="G12" s="2643"/>
      <c r="H12" s="2599"/>
      <c r="I12" s="2600"/>
      <c r="J12" s="3357"/>
      <c r="K12" s="3359"/>
      <c r="L12" s="2634" t="s">
        <v>2364</v>
      </c>
      <c r="M12" s="2635"/>
      <c r="N12" s="2611"/>
      <c r="O12" s="2636"/>
      <c r="P12" s="2636"/>
      <c r="Q12" s="2637">
        <v>365</v>
      </c>
      <c r="R12" s="2638">
        <f t="shared" si="0"/>
        <v>0</v>
      </c>
      <c r="S12" s="2592"/>
      <c r="T12" s="2592"/>
      <c r="U12" s="2592"/>
      <c r="V12" s="2600"/>
    </row>
    <row r="13" spans="1:22" s="2604" customFormat="1" ht="13.2" customHeight="1">
      <c r="A13" s="2647"/>
      <c r="B13" s="2650"/>
      <c r="C13" s="2651" t="s">
        <v>2365</v>
      </c>
      <c r="D13" s="2652"/>
      <c r="E13" s="2653"/>
      <c r="F13" s="2642"/>
      <c r="G13" s="2643"/>
      <c r="H13" s="2599"/>
      <c r="I13" s="2600"/>
      <c r="J13" s="3357"/>
      <c r="K13" s="3359"/>
      <c r="L13" s="2634" t="s">
        <v>2366</v>
      </c>
      <c r="M13" s="2635"/>
      <c r="N13" s="2611"/>
      <c r="O13" s="2636"/>
      <c r="P13" s="2636"/>
      <c r="Q13" s="2637">
        <v>365</v>
      </c>
      <c r="R13" s="2638">
        <f t="shared" si="0"/>
        <v>0</v>
      </c>
      <c r="S13" s="2592"/>
      <c r="T13" s="2592"/>
      <c r="U13" s="2592"/>
      <c r="V13" s="2600"/>
    </row>
    <row r="14" spans="1:22" s="2604" customFormat="1" ht="13.2" customHeight="1">
      <c r="A14" s="2647" t="s">
        <v>2367</v>
      </c>
      <c r="B14" s="3367" t="s">
        <v>2368</v>
      </c>
      <c r="C14" s="3368"/>
      <c r="D14" s="2648">
        <f>ROUND(E14*B5/10000,0)</f>
        <v>0</v>
      </c>
      <c r="E14" s="2637"/>
      <c r="F14" s="2642" t="s">
        <v>2369</v>
      </c>
      <c r="G14" s="2643"/>
      <c r="H14" s="2599"/>
      <c r="I14" s="2600"/>
      <c r="J14" s="3357"/>
      <c r="K14" s="3360"/>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2371</v>
      </c>
      <c r="B15" s="3367" t="s">
        <v>2372</v>
      </c>
      <c r="C15" s="3368"/>
      <c r="D15" s="2648">
        <f>ROUND(D6*E15,0)</f>
        <v>0</v>
      </c>
      <c r="E15" s="2649">
        <v>5.5E-2</v>
      </c>
      <c r="F15" s="2642" t="s">
        <v>2373</v>
      </c>
      <c r="G15" s="2624"/>
      <c r="H15" s="2599"/>
      <c r="I15" s="2600"/>
      <c r="J15" s="3357">
        <v>2</v>
      </c>
      <c r="K15" s="3358"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2" customHeight="1">
      <c r="A16" s="2647" t="s">
        <v>2380</v>
      </c>
      <c r="B16" s="3367" t="s">
        <v>2381</v>
      </c>
      <c r="C16" s="3368"/>
      <c r="D16" s="2659">
        <f>D6*E16</f>
        <v>0</v>
      </c>
      <c r="E16" s="2660"/>
      <c r="F16" s="2645" t="s">
        <v>2382</v>
      </c>
      <c r="G16" s="2624"/>
      <c r="H16" s="2599"/>
      <c r="I16" s="2600"/>
      <c r="J16" s="3357"/>
      <c r="K16" s="3359"/>
      <c r="L16" s="2634" t="s">
        <v>2383</v>
      </c>
      <c r="M16" s="2635"/>
      <c r="N16" s="2635"/>
      <c r="O16" s="2636"/>
      <c r="P16" s="2637">
        <v>365</v>
      </c>
      <c r="Q16" s="2611"/>
      <c r="R16" s="2658">
        <f>ROUND(M16*N16*O16*P16/10000,0)</f>
        <v>0</v>
      </c>
      <c r="S16" s="2592"/>
      <c r="T16" s="2592"/>
      <c r="U16" s="2592"/>
      <c r="V16" s="2600"/>
    </row>
    <row r="17" spans="1:22" s="2604" customFormat="1" ht="13.2" customHeight="1" thickBot="1">
      <c r="A17" s="2661">
        <v>4</v>
      </c>
      <c r="B17" s="3369" t="s">
        <v>2384</v>
      </c>
      <c r="C17" s="3370"/>
      <c r="D17" s="2662">
        <f>ROUND(D6*E17,0)</f>
        <v>0</v>
      </c>
      <c r="E17" s="2663"/>
      <c r="F17" s="2664" t="s">
        <v>2385</v>
      </c>
      <c r="G17" s="2624"/>
      <c r="H17" s="2599"/>
      <c r="I17" s="2600"/>
      <c r="J17" s="3357"/>
      <c r="K17" s="3359"/>
      <c r="L17" s="2634" t="s">
        <v>2386</v>
      </c>
      <c r="M17" s="2635"/>
      <c r="N17" s="2635"/>
      <c r="O17" s="2636"/>
      <c r="P17" s="2637">
        <v>365</v>
      </c>
      <c r="Q17" s="2611"/>
      <c r="R17" s="2658">
        <f>ROUND(M17*N17*O17*P17/10000,0)</f>
        <v>0</v>
      </c>
      <c r="S17" s="2592"/>
      <c r="T17" s="2592"/>
      <c r="U17" s="2592"/>
      <c r="V17" s="2600"/>
    </row>
    <row r="18" spans="1:22" s="2604" customFormat="1" ht="13.2" customHeight="1" thickBot="1">
      <c r="A18" s="2627" t="s">
        <v>2387</v>
      </c>
      <c r="B18" s="2628"/>
      <c r="C18" s="2628"/>
      <c r="D18" s="2665">
        <f>ROUND(D6*E18,0)</f>
        <v>0</v>
      </c>
      <c r="E18" s="2666"/>
      <c r="F18" s="2667" t="s">
        <v>2388</v>
      </c>
      <c r="G18" s="2624"/>
      <c r="H18" s="2599"/>
      <c r="I18" s="2600"/>
      <c r="J18" s="3357"/>
      <c r="K18" s="3359"/>
      <c r="L18" s="2634" t="s">
        <v>2389</v>
      </c>
      <c r="M18" s="2635"/>
      <c r="N18" s="2635"/>
      <c r="O18" s="2636"/>
      <c r="P18" s="2637">
        <v>365</v>
      </c>
      <c r="Q18" s="2611"/>
      <c r="R18" s="2658">
        <f>ROUND(M18*N18*O18*P18/10000,0)</f>
        <v>0</v>
      </c>
      <c r="S18" s="2592"/>
      <c r="T18" s="2592"/>
      <c r="U18" s="2592"/>
      <c r="V18" s="2600"/>
    </row>
    <row r="19" spans="1:22" s="2604" customFormat="1" ht="13.2" customHeight="1" thickBot="1">
      <c r="A19" s="2668" t="s">
        <v>2390</v>
      </c>
      <c r="B19" s="2622"/>
      <c r="C19" s="2622"/>
      <c r="D19" s="2622"/>
      <c r="E19" s="2622"/>
      <c r="F19" s="2623"/>
      <c r="G19" s="2643"/>
      <c r="H19" s="2599"/>
      <c r="I19" s="2600"/>
      <c r="J19" s="3357"/>
      <c r="K19" s="3360"/>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357">
        <v>3</v>
      </c>
      <c r="K20" s="3358"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2" customHeight="1">
      <c r="A21" s="2627"/>
      <c r="B21" s="2628"/>
      <c r="C21" s="2673" t="s">
        <v>2399</v>
      </c>
      <c r="D21" s="2674" t="s">
        <v>2400</v>
      </c>
      <c r="E21" s="2675" t="s">
        <v>2401</v>
      </c>
      <c r="F21" s="2671"/>
      <c r="G21" s="2643"/>
      <c r="H21" s="2599"/>
      <c r="I21" s="2600"/>
      <c r="J21" s="3357"/>
      <c r="K21" s="3359"/>
      <c r="L21" s="2634" t="s">
        <v>2402</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2403</v>
      </c>
      <c r="D22" s="2678" t="s">
        <v>2404</v>
      </c>
      <c r="E22" s="2679" t="s">
        <v>2405</v>
      </c>
      <c r="F22" s="2671"/>
      <c r="G22" s="2592"/>
      <c r="H22" s="2599"/>
      <c r="I22" s="2600"/>
      <c r="J22" s="3357"/>
      <c r="K22" s="3359"/>
      <c r="L22" s="2634" t="s">
        <v>2406</v>
      </c>
      <c r="M22" s="2635"/>
      <c r="N22" s="2635"/>
      <c r="O22" s="2636"/>
      <c r="P22" s="2637">
        <v>365</v>
      </c>
      <c r="Q22" s="2611"/>
      <c r="R22" s="2676">
        <f>ROUND(M22*N22*O22*P22/10000,0)</f>
        <v>0</v>
      </c>
      <c r="S22" s="2592"/>
      <c r="T22" s="2592"/>
      <c r="U22" s="2592"/>
      <c r="V22" s="2600"/>
    </row>
    <row r="23" spans="1:22" s="2604" customFormat="1" ht="13.2" customHeight="1">
      <c r="A23" s="2680">
        <v>1</v>
      </c>
      <c r="B23" s="2681" t="s">
        <v>2407</v>
      </c>
      <c r="C23" s="2682">
        <f>D6</f>
        <v>0</v>
      </c>
      <c r="D23" s="2683">
        <f>C23*(1+D24)</f>
        <v>0</v>
      </c>
      <c r="E23" s="2684">
        <f>D23*(1+E24)</f>
        <v>0</v>
      </c>
      <c r="F23" s="2685"/>
      <c r="G23" s="2686"/>
      <c r="H23" s="2599"/>
      <c r="I23" s="2600"/>
      <c r="J23" s="3357"/>
      <c r="K23" s="3359"/>
      <c r="L23" s="2634" t="s">
        <v>2408</v>
      </c>
      <c r="M23" s="2635"/>
      <c r="N23" s="2635"/>
      <c r="O23" s="2636"/>
      <c r="P23" s="2637">
        <v>365</v>
      </c>
      <c r="Q23" s="2611"/>
      <c r="R23" s="2676">
        <f>ROUND(M23*N23*O23*P23/10000,0)</f>
        <v>0</v>
      </c>
      <c r="S23" s="2592"/>
      <c r="T23" s="2592"/>
      <c r="U23" s="2592"/>
      <c r="V23" s="2600"/>
    </row>
    <row r="24" spans="1:22" s="2604" customFormat="1" ht="13.2" customHeight="1">
      <c r="A24" s="2687"/>
      <c r="B24" s="2688" t="s">
        <v>2409</v>
      </c>
      <c r="C24" s="2689"/>
      <c r="D24" s="2690"/>
      <c r="E24" s="2691"/>
      <c r="F24" s="2692"/>
      <c r="G24" s="2686"/>
      <c r="H24" s="2599"/>
      <c r="I24" s="2600"/>
      <c r="J24" s="3357"/>
      <c r="K24" s="3360"/>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2" customHeight="1">
      <c r="A26" s="2680">
        <v>2</v>
      </c>
      <c r="B26" s="2681" t="s">
        <v>2411</v>
      </c>
      <c r="C26" s="2682">
        <f>D7</f>
        <v>0</v>
      </c>
      <c r="D26" s="2683">
        <f>D23*D27</f>
        <v>0</v>
      </c>
      <c r="E26" s="2684">
        <f>E23*E27</f>
        <v>0</v>
      </c>
      <c r="F26" s="2685"/>
      <c r="G26" s="2686"/>
      <c r="H26" s="2599"/>
      <c r="I26" s="2600"/>
      <c r="J26" s="3361">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2" customHeight="1">
      <c r="A27" s="2687"/>
      <c r="B27" s="2688" t="s">
        <v>2417</v>
      </c>
      <c r="C27" s="2705" t="e">
        <f>E7</f>
        <v>#DIV/0!</v>
      </c>
      <c r="D27" s="2690"/>
      <c r="E27" s="2691"/>
      <c r="F27" s="2692"/>
      <c r="G27" s="2686"/>
      <c r="H27" s="2706"/>
      <c r="I27" s="2698"/>
      <c r="J27" s="3362"/>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2"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2" customHeight="1">
      <c r="A32" s="2680">
        <v>4</v>
      </c>
      <c r="B32" s="2681" t="s">
        <v>2425</v>
      </c>
      <c r="C32" s="2682">
        <f>C23-C26-C29</f>
        <v>0</v>
      </c>
      <c r="D32" s="2683">
        <f>D23-D26-D29</f>
        <v>0</v>
      </c>
      <c r="E32" s="2684">
        <f>E23-E26-E29</f>
        <v>0</v>
      </c>
      <c r="F32" s="2685"/>
      <c r="G32" s="2592"/>
      <c r="H32" s="2599"/>
      <c r="I32" s="2600"/>
      <c r="J32" s="3363" t="s">
        <v>2317</v>
      </c>
      <c r="K32" s="3364"/>
      <c r="L32" s="2601" t="s">
        <v>2318</v>
      </c>
      <c r="M32" s="2601" t="s">
        <v>2319</v>
      </c>
      <c r="N32" s="2601" t="s">
        <v>2320</v>
      </c>
      <c r="O32" s="2601" t="s">
        <v>2321</v>
      </c>
      <c r="P32" s="2601" t="s">
        <v>2322</v>
      </c>
      <c r="Q32" s="2602" t="s">
        <v>2323</v>
      </c>
      <c r="R32" s="2721" t="s">
        <v>2324</v>
      </c>
      <c r="S32" s="2592"/>
      <c r="T32" s="2592"/>
      <c r="U32" s="2592"/>
      <c r="V32" s="2698"/>
    </row>
    <row r="33" spans="1:23" s="2604" customFormat="1" ht="13.2" customHeight="1">
      <c r="A33" s="2680"/>
      <c r="B33" s="2681"/>
      <c r="C33" s="2682"/>
      <c r="D33" s="2722"/>
      <c r="E33" s="2723"/>
      <c r="F33" s="2685"/>
      <c r="G33" s="2592"/>
      <c r="H33" s="2706"/>
      <c r="I33" s="2698"/>
      <c r="J33" s="3365" t="s">
        <v>2327</v>
      </c>
      <c r="K33" s="3366"/>
      <c r="L33" s="2607"/>
      <c r="M33" s="2607"/>
      <c r="N33" s="2607"/>
      <c r="O33" s="2607"/>
      <c r="P33" s="2607"/>
      <c r="Q33" s="2608"/>
      <c r="R33" s="2724">
        <f>SUM(L33:Q33)</f>
        <v>0</v>
      </c>
      <c r="S33" s="2592"/>
      <c r="T33" s="2592"/>
      <c r="U33" s="2592"/>
      <c r="V33" s="2600"/>
    </row>
    <row r="34" spans="1:23" s="2604" customFormat="1" ht="13.2" customHeight="1">
      <c r="A34" s="2680">
        <v>5</v>
      </c>
      <c r="B34" s="2681" t="s">
        <v>2426</v>
      </c>
      <c r="C34" s="2725"/>
      <c r="D34" s="2726"/>
      <c r="E34" s="2727"/>
      <c r="F34" s="2685"/>
      <c r="G34" s="2592"/>
      <c r="H34" s="2706"/>
      <c r="I34" s="2698"/>
      <c r="J34" s="3365" t="s">
        <v>2329</v>
      </c>
      <c r="K34" s="3366"/>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2" customHeight="1" thickBot="1">
      <c r="A36" s="2680">
        <v>7</v>
      </c>
      <c r="B36" s="2734" t="s">
        <v>2428</v>
      </c>
      <c r="C36" s="2735"/>
      <c r="D36" s="2736"/>
      <c r="E36" s="2737"/>
      <c r="F36" s="2738">
        <f>C36+D36+E36</f>
        <v>0</v>
      </c>
      <c r="G36" s="2592"/>
      <c r="H36" s="2599"/>
      <c r="I36" s="2600"/>
      <c r="J36" s="3357">
        <v>1</v>
      </c>
      <c r="K36" s="3358" t="s">
        <v>2429</v>
      </c>
      <c r="L36" s="2625"/>
      <c r="M36" s="2626"/>
      <c r="N36" s="2626"/>
      <c r="O36" s="2626"/>
      <c r="P36" s="2626"/>
      <c r="Q36" s="2626"/>
      <c r="R36" s="2609" t="s">
        <v>2341</v>
      </c>
      <c r="S36" s="2592"/>
      <c r="T36" s="2592" t="s">
        <v>2342</v>
      </c>
      <c r="U36" s="2592"/>
      <c r="V36" s="2600"/>
    </row>
    <row r="37" spans="1:23" s="2604" customFormat="1" ht="13.2" customHeight="1">
      <c r="A37" s="2680"/>
      <c r="B37" s="2681"/>
      <c r="C37" s="2681"/>
      <c r="D37" s="2681"/>
      <c r="E37" s="2681"/>
      <c r="F37" s="2685"/>
      <c r="G37" s="2592"/>
      <c r="H37" s="2599"/>
      <c r="I37" s="2600"/>
      <c r="J37" s="3357"/>
      <c r="K37" s="3359"/>
      <c r="L37" s="2634"/>
      <c r="M37" s="2635"/>
      <c r="N37" s="2611"/>
      <c r="O37" s="2636"/>
      <c r="P37" s="2636"/>
      <c r="Q37" s="2637"/>
      <c r="R37" s="2638"/>
      <c r="S37" s="2592"/>
      <c r="T37" s="2592" t="s">
        <v>2345</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357"/>
      <c r="K38" s="3359"/>
      <c r="L38" s="2634"/>
      <c r="M38" s="2635"/>
      <c r="N38" s="2611"/>
      <c r="O38" s="2636"/>
      <c r="P38" s="2636"/>
      <c r="Q38" s="2637"/>
      <c r="R38" s="2638"/>
      <c r="S38" s="2592"/>
      <c r="T38" s="2592" t="s">
        <v>2352</v>
      </c>
      <c r="U38" s="2592"/>
      <c r="V38" s="2600"/>
    </row>
    <row r="39" spans="1:23" s="2604" customFormat="1" ht="13.2" customHeight="1">
      <c r="A39" s="2680">
        <v>9</v>
      </c>
      <c r="B39" s="2681" t="s">
        <v>2430</v>
      </c>
      <c r="C39" s="2648" t="e">
        <f>C38</f>
        <v>#DIV/0!</v>
      </c>
      <c r="D39" s="2681">
        <f>D38/(1+D34)^C36</f>
        <v>0</v>
      </c>
      <c r="E39" s="2681">
        <f>E38/(1+E34)^(C36+D36)</f>
        <v>0</v>
      </c>
      <c r="F39" s="2685"/>
      <c r="G39" s="2600"/>
      <c r="H39" s="2599"/>
      <c r="I39" s="2600"/>
      <c r="J39" s="3357"/>
      <c r="K39" s="3359"/>
      <c r="L39" s="2634"/>
      <c r="M39" s="2635"/>
      <c r="N39" s="2611"/>
      <c r="O39" s="2636"/>
      <c r="P39" s="2636"/>
      <c r="Q39" s="2637"/>
      <c r="R39" s="2638"/>
      <c r="S39" s="2592"/>
      <c r="T39" s="2592"/>
      <c r="U39" s="2592"/>
      <c r="V39" s="2600"/>
    </row>
    <row r="40" spans="1:23" s="2604" customFormat="1" ht="13.2" customHeight="1">
      <c r="A40" s="2739">
        <v>10</v>
      </c>
      <c r="B40" s="2681" t="s">
        <v>2431</v>
      </c>
      <c r="C40" s="2740" t="e">
        <f>C39+D39+E39</f>
        <v>#DIV/0!</v>
      </c>
      <c r="D40" s="2741"/>
      <c r="E40" s="2741"/>
      <c r="F40" s="2742"/>
      <c r="G40" s="2592"/>
      <c r="H40" s="2599"/>
      <c r="I40" s="2600"/>
      <c r="J40" s="3357"/>
      <c r="K40" s="3360"/>
      <c r="L40" s="2654" t="s">
        <v>2370</v>
      </c>
      <c r="M40" s="2655"/>
      <c r="N40" s="2655"/>
      <c r="O40" s="2656"/>
      <c r="P40" s="2656"/>
      <c r="Q40" s="2657"/>
      <c r="R40" s="2603">
        <f>SUM(R37:R39)</f>
        <v>0</v>
      </c>
      <c r="S40" s="2592"/>
      <c r="T40" s="2592"/>
      <c r="U40" s="2592"/>
      <c r="V40" s="2600"/>
    </row>
    <row r="41" spans="1:23" s="2604" customFormat="1" ht="13.2"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2" customHeight="1">
      <c r="G42" s="2599"/>
      <c r="H42" s="2599"/>
      <c r="I42" s="2600"/>
      <c r="J42" s="3361">
        <v>3</v>
      </c>
      <c r="K42" s="2700" t="s">
        <v>2412</v>
      </c>
      <c r="L42" s="2701"/>
      <c r="M42" s="2702"/>
      <c r="N42" s="2703" t="s">
        <v>2413</v>
      </c>
      <c r="O42" s="2703" t="s">
        <v>2414</v>
      </c>
      <c r="P42" s="2704" t="s">
        <v>2415</v>
      </c>
      <c r="Q42" s="2704" t="s">
        <v>2416</v>
      </c>
      <c r="R42" s="2609" t="s">
        <v>2341</v>
      </c>
      <c r="S42" s="2643"/>
      <c r="T42" s="2643"/>
      <c r="U42" s="2592"/>
      <c r="V42" s="2600"/>
    </row>
    <row r="43" spans="1:23" ht="13.2" customHeight="1">
      <c r="A43" s="2604"/>
      <c r="B43" s="2604"/>
      <c r="C43" s="2604"/>
      <c r="D43" s="2604"/>
      <c r="E43" s="2604"/>
      <c r="F43" s="2604"/>
      <c r="I43" s="2587"/>
      <c r="J43" s="3362"/>
      <c r="K43" s="2707"/>
      <c r="L43" s="2708"/>
      <c r="M43" s="2709"/>
      <c r="N43" s="2635"/>
      <c r="O43" s="2635"/>
      <c r="P43" s="2635"/>
      <c r="Q43" s="2697"/>
      <c r="R43" s="2670">
        <f>ROUND(O43*N43*P43*(1-Q43)/10000,0)</f>
        <v>0</v>
      </c>
      <c r="S43" s="2592"/>
      <c r="T43" s="2592"/>
      <c r="V43" s="2747"/>
      <c r="W43" s="2748"/>
    </row>
    <row r="44" spans="1:23" ht="13.2"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9"/>
      <c r="G1" s="459"/>
      <c r="H1" s="459"/>
      <c r="I1" s="459"/>
      <c r="J1" s="459"/>
      <c r="K1" s="459"/>
      <c r="L1" s="459"/>
      <c r="M1" s="459"/>
      <c r="N1" s="459"/>
      <c r="O1" s="459"/>
      <c r="P1" s="459"/>
      <c r="Q1" s="459"/>
      <c r="R1" s="459"/>
      <c r="S1" s="459"/>
    </row>
    <row r="2" spans="1:22" ht="15.6">
      <c r="A2" s="1728" t="s">
        <v>1462</v>
      </c>
      <c r="B2" s="811">
        <f ca="1">SUMIF(B6:B13,"&lt;&gt;#ref!",B6:B13)</f>
        <v>299.81380000000001</v>
      </c>
      <c r="C2" s="1729" t="s">
        <v>1651</v>
      </c>
      <c r="D2" s="1730" t="s">
        <v>1652</v>
      </c>
      <c r="E2" s="2392">
        <f>SUM(E6:E13)</f>
        <v>166.53</v>
      </c>
      <c r="F2" s="2479"/>
      <c r="G2" s="459"/>
      <c r="H2" s="459"/>
      <c r="I2" s="459"/>
      <c r="J2" s="459"/>
      <c r="K2" s="459"/>
      <c r="L2" s="459"/>
      <c r="M2" s="459"/>
      <c r="N2" s="459"/>
      <c r="O2" s="459"/>
      <c r="P2" s="459"/>
      <c r="Q2" s="459"/>
      <c r="R2" s="459"/>
      <c r="S2" s="459"/>
    </row>
    <row r="3" spans="1:22" ht="15.6">
      <c r="A3" s="1728" t="s">
        <v>686</v>
      </c>
      <c r="B3" s="2386">
        <f ca="1">ROUND(B2*10000/E2,0)</f>
        <v>18004</v>
      </c>
      <c r="C3" s="1729"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8" t="s">
        <v>1653</v>
      </c>
      <c r="B5" s="3376" t="s">
        <v>1654</v>
      </c>
      <c r="C5" s="3377"/>
      <c r="D5" s="2480"/>
      <c r="E5" s="1731" t="s">
        <v>1655</v>
      </c>
      <c r="F5" s="129" t="s">
        <v>1656</v>
      </c>
      <c r="G5" s="459"/>
      <c r="H5" s="459"/>
      <c r="I5" s="459"/>
      <c r="J5" s="459"/>
      <c r="K5" s="459"/>
      <c r="L5" s="459"/>
      <c r="M5" s="459"/>
      <c r="N5" s="459"/>
      <c r="O5" s="459"/>
      <c r="P5" s="459"/>
      <c r="Q5" s="459"/>
      <c r="R5" s="459"/>
      <c r="S5" s="459"/>
    </row>
    <row r="6" spans="1:22" ht="14.4">
      <c r="A6" s="2389" t="str">
        <f>'数据-取费表'!AN6</f>
        <v>收益法 (元)</v>
      </c>
      <c r="B6" s="2387">
        <f ca="1">IF(F6="是",'数据-取费表'!AO6,0)</f>
        <v>299.81380000000001</v>
      </c>
      <c r="C6" s="1729" t="s">
        <v>1651</v>
      </c>
      <c r="D6" s="2479"/>
      <c r="E6" s="2391">
        <f>IF(OR(A6=0,F6="否"),0,'数据-取费表'!K6+'数据-取费表'!S6)</f>
        <v>166.53</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166.53</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4.4">
      <c r="A4" s="345" t="s">
        <v>1666</v>
      </c>
      <c r="B4" s="346"/>
      <c r="C4" s="3396" t="s">
        <v>1667</v>
      </c>
      <c r="D4" s="3397"/>
      <c r="E4" s="3398" t="s">
        <v>1668</v>
      </c>
      <c r="F4" s="3399"/>
      <c r="G4" s="3396" t="s">
        <v>1669</v>
      </c>
      <c r="H4" s="3397"/>
      <c r="I4" s="3396" t="s">
        <v>1670</v>
      </c>
      <c r="J4" s="3397"/>
      <c r="K4" s="1744" t="s">
        <v>1671</v>
      </c>
      <c r="L4" s="2486"/>
      <c r="M4" s="2487"/>
      <c r="N4" s="2487"/>
      <c r="O4" s="2487"/>
      <c r="P4" s="3400" t="s">
        <v>1672</v>
      </c>
      <c r="Q4" s="3401"/>
      <c r="R4" s="3406" t="s">
        <v>1668</v>
      </c>
      <c r="S4" s="3407"/>
      <c r="T4" s="3406" t="s">
        <v>1669</v>
      </c>
      <c r="U4" s="3407"/>
      <c r="V4" s="3382" t="s">
        <v>1670</v>
      </c>
      <c r="W4" s="3382"/>
      <c r="X4" s="1265"/>
      <c r="Y4" s="3406" t="s">
        <v>1672</v>
      </c>
      <c r="Z4" s="3407"/>
      <c r="AA4" s="3393" t="s">
        <v>1668</v>
      </c>
      <c r="AB4" s="3393" t="s">
        <v>1669</v>
      </c>
      <c r="AC4" s="3393" t="s">
        <v>1670</v>
      </c>
    </row>
    <row r="5" spans="1:29">
      <c r="A5" s="348"/>
      <c r="B5" s="349"/>
      <c r="C5" s="3414" t="s">
        <v>1673</v>
      </c>
      <c r="D5" s="3415"/>
      <c r="E5" s="3421" t="s">
        <v>1674</v>
      </c>
      <c r="F5" s="3422"/>
      <c r="G5" s="3414" t="s">
        <v>1675</v>
      </c>
      <c r="H5" s="3415"/>
      <c r="I5" s="3414" t="s">
        <v>1676</v>
      </c>
      <c r="J5" s="3415"/>
      <c r="K5" s="1745"/>
      <c r="L5" s="2486"/>
      <c r="M5" s="2487"/>
      <c r="N5" s="2487"/>
      <c r="O5" s="2487"/>
      <c r="P5" s="3402"/>
      <c r="Q5" s="3403"/>
      <c r="R5" s="3408"/>
      <c r="S5" s="3409"/>
      <c r="T5" s="3408"/>
      <c r="U5" s="3409"/>
      <c r="V5" s="3382"/>
      <c r="W5" s="3382"/>
      <c r="X5" s="1265"/>
      <c r="Y5" s="3408"/>
      <c r="Z5" s="3409"/>
      <c r="AA5" s="3394"/>
      <c r="AB5" s="3394"/>
      <c r="AC5" s="3394"/>
    </row>
    <row r="6" spans="1:29" ht="15" thickBot="1">
      <c r="A6" s="350"/>
      <c r="B6" s="351"/>
      <c r="C6" s="3412" t="s">
        <v>1677</v>
      </c>
      <c r="D6" s="3413"/>
      <c r="E6" s="3419" t="s">
        <v>1677</v>
      </c>
      <c r="F6" s="3420"/>
      <c r="G6" s="3412" t="s">
        <v>1677</v>
      </c>
      <c r="H6" s="3413"/>
      <c r="I6" s="3412" t="s">
        <v>1677</v>
      </c>
      <c r="J6" s="3413"/>
      <c r="K6" s="1745" t="s">
        <v>1678</v>
      </c>
      <c r="L6" s="2486"/>
      <c r="M6" s="2487"/>
      <c r="N6" s="2487"/>
      <c r="O6" s="2487"/>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SUMIF(58:58,YEAR(E7)&amp;"-"&amp;MONTH(E7),59:59)</f>
        <v>0</v>
      </c>
      <c r="G7" s="356"/>
      <c r="H7" s="355">
        <f>SUMIF(58:58,YEAR(G7)&amp;"-"&amp;MONTH(G7),59:59)</f>
        <v>0</v>
      </c>
      <c r="I7" s="356"/>
      <c r="J7" s="355">
        <f>SUMIF(58:58,YEAR(I7)&amp;"-"&amp;MONTH(I7),59:59)</f>
        <v>0</v>
      </c>
      <c r="K7" s="1746"/>
      <c r="L7" s="2488"/>
      <c r="M7" s="2439"/>
      <c r="N7" s="2439"/>
      <c r="O7" s="2439"/>
      <c r="P7" s="3416" t="s">
        <v>1680</v>
      </c>
      <c r="Q7" s="3418"/>
      <c r="R7" s="664" t="s">
        <v>20</v>
      </c>
      <c r="S7" s="665">
        <f t="shared" ref="S7:S15" si="0">F7</f>
        <v>0</v>
      </c>
      <c r="T7" s="664" t="s">
        <v>20</v>
      </c>
      <c r="U7" s="665">
        <f t="shared" ref="U7:U15" si="1">H7</f>
        <v>0</v>
      </c>
      <c r="V7" s="664" t="s">
        <v>20</v>
      </c>
      <c r="W7" s="665">
        <f t="shared" ref="W7:W15" si="2">J7</f>
        <v>0</v>
      </c>
      <c r="X7" s="666"/>
      <c r="Y7" s="3416" t="s">
        <v>1680</v>
      </c>
      <c r="Z7" s="3417"/>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39"/>
      <c r="N8" s="2439"/>
      <c r="O8" s="2439"/>
      <c r="P8" s="3416" t="s">
        <v>1683</v>
      </c>
      <c r="Q8" s="3417"/>
      <c r="R8" s="664" t="s">
        <v>20</v>
      </c>
      <c r="S8" s="665">
        <f t="shared" si="0"/>
        <v>100</v>
      </c>
      <c r="T8" s="664" t="s">
        <v>20</v>
      </c>
      <c r="U8" s="665">
        <f t="shared" si="1"/>
        <v>100</v>
      </c>
      <c r="V8" s="664" t="s">
        <v>20</v>
      </c>
      <c r="W8" s="665">
        <f t="shared" si="2"/>
        <v>100</v>
      </c>
      <c r="X8" s="666"/>
      <c r="Y8" s="3416" t="s">
        <v>1683</v>
      </c>
      <c r="Z8" s="3417"/>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39"/>
      <c r="N9" s="2439"/>
      <c r="O9" s="2439"/>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92"/>
      <c r="Q11" s="530" t="str">
        <f t="shared" si="6"/>
        <v>容积率</v>
      </c>
      <c r="R11" s="664" t="s">
        <v>18</v>
      </c>
      <c r="S11" s="665" t="e">
        <f t="shared" si="0"/>
        <v>#N/A</v>
      </c>
      <c r="T11" s="664" t="s">
        <v>18</v>
      </c>
      <c r="U11" s="665" t="e">
        <f t="shared" si="1"/>
        <v>#N/A</v>
      </c>
      <c r="V11" s="664" t="s">
        <v>18</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39"/>
      <c r="N12" s="2439"/>
      <c r="O12" s="2439"/>
      <c r="P12" s="3392"/>
      <c r="Q12" s="530">
        <f t="shared" si="6"/>
        <v>111</v>
      </c>
      <c r="R12" s="664" t="s">
        <v>18</v>
      </c>
      <c r="S12" s="665">
        <f t="shared" si="0"/>
        <v>100</v>
      </c>
      <c r="T12" s="664" t="s">
        <v>18</v>
      </c>
      <c r="U12" s="665">
        <f t="shared" si="1"/>
        <v>100</v>
      </c>
      <c r="V12" s="664" t="s">
        <v>18</v>
      </c>
      <c r="W12" s="665">
        <f t="shared" si="2"/>
        <v>100</v>
      </c>
      <c r="X12" s="666"/>
      <c r="Y12" s="325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392"/>
      <c r="Q13" s="530">
        <f t="shared" si="6"/>
        <v>111</v>
      </c>
      <c r="R13" s="664" t="s">
        <v>18</v>
      </c>
      <c r="S13" s="665">
        <f t="shared" si="0"/>
        <v>100</v>
      </c>
      <c r="T13" s="664" t="s">
        <v>18</v>
      </c>
      <c r="U13" s="665">
        <f t="shared" si="1"/>
        <v>100</v>
      </c>
      <c r="V13" s="664" t="s">
        <v>18</v>
      </c>
      <c r="W13" s="665">
        <f t="shared" si="2"/>
        <v>100</v>
      </c>
      <c r="X13" s="666"/>
      <c r="Y13" s="3256"/>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392"/>
      <c r="Q14" s="530">
        <f t="shared" si="6"/>
        <v>111</v>
      </c>
      <c r="R14" s="664" t="s">
        <v>18</v>
      </c>
      <c r="S14" s="665">
        <f t="shared" si="0"/>
        <v>100</v>
      </c>
      <c r="T14" s="664" t="s">
        <v>18</v>
      </c>
      <c r="U14" s="665">
        <f t="shared" si="1"/>
        <v>100</v>
      </c>
      <c r="V14" s="664" t="s">
        <v>18</v>
      </c>
      <c r="W14" s="665">
        <f t="shared" si="2"/>
        <v>100</v>
      </c>
      <c r="X14" s="666"/>
      <c r="Y14" s="3256"/>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90" t="s">
        <v>1691</v>
      </c>
      <c r="Q15" s="1263" t="str">
        <f t="shared" si="6"/>
        <v>居住社区成熟度</v>
      </c>
      <c r="R15" s="667" t="s">
        <v>18</v>
      </c>
      <c r="S15" s="668">
        <f t="shared" si="0"/>
        <v>100</v>
      </c>
      <c r="T15" s="667" t="s">
        <v>18</v>
      </c>
      <c r="U15" s="668">
        <f t="shared" si="1"/>
        <v>100</v>
      </c>
      <c r="V15" s="667" t="s">
        <v>18</v>
      </c>
      <c r="W15" s="668">
        <f t="shared" si="2"/>
        <v>100</v>
      </c>
      <c r="X15" s="1265"/>
      <c r="Y15" s="338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391"/>
      <c r="Q16" s="1263"/>
      <c r="R16" s="667"/>
      <c r="S16" s="668"/>
      <c r="T16" s="667"/>
      <c r="U16" s="668"/>
      <c r="V16" s="667"/>
      <c r="W16" s="668"/>
      <c r="X16" s="1265"/>
      <c r="Y16" s="338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91"/>
      <c r="Q17" s="1263" t="str">
        <f>B17</f>
        <v>交通便捷度</v>
      </c>
      <c r="R17" s="667" t="s">
        <v>18</v>
      </c>
      <c r="S17" s="668">
        <f>F17</f>
        <v>100</v>
      </c>
      <c r="T17" s="667" t="s">
        <v>18</v>
      </c>
      <c r="U17" s="668">
        <f>H17</f>
        <v>100</v>
      </c>
      <c r="V17" s="667" t="s">
        <v>18</v>
      </c>
      <c r="W17" s="668">
        <f>J17</f>
        <v>100</v>
      </c>
      <c r="X17" s="1265"/>
      <c r="Y17" s="338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391"/>
      <c r="Q18" s="1263"/>
      <c r="R18" s="667"/>
      <c r="S18" s="668"/>
      <c r="T18" s="667"/>
      <c r="U18" s="668"/>
      <c r="V18" s="667"/>
      <c r="W18" s="668"/>
      <c r="X18" s="1265"/>
      <c r="Y18" s="3384"/>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91"/>
      <c r="Q19" s="1263" t="str">
        <f>B19</f>
        <v>公共配套设施</v>
      </c>
      <c r="R19" s="667" t="s">
        <v>18</v>
      </c>
      <c r="S19" s="668">
        <f>F19</f>
        <v>100</v>
      </c>
      <c r="T19" s="667" t="s">
        <v>18</v>
      </c>
      <c r="U19" s="668">
        <f>H19</f>
        <v>100</v>
      </c>
      <c r="V19" s="667" t="s">
        <v>18</v>
      </c>
      <c r="W19" s="668">
        <f>J19</f>
        <v>100</v>
      </c>
      <c r="X19" s="1265"/>
      <c r="Y19" s="338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391"/>
      <c r="Q20" s="1263"/>
      <c r="R20" s="667"/>
      <c r="S20" s="668"/>
      <c r="T20" s="667"/>
      <c r="U20" s="668"/>
      <c r="V20" s="667"/>
      <c r="W20" s="668"/>
      <c r="X20" s="1265"/>
      <c r="Y20" s="3384"/>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91"/>
      <c r="Q21" s="1263" t="str">
        <f>B21</f>
        <v>基础设施水平</v>
      </c>
      <c r="R21" s="667" t="s">
        <v>14</v>
      </c>
      <c r="S21" s="668">
        <f>F21</f>
        <v>100</v>
      </c>
      <c r="T21" s="667" t="s">
        <v>14</v>
      </c>
      <c r="U21" s="668">
        <f>H21</f>
        <v>100</v>
      </c>
      <c r="V21" s="667" t="s">
        <v>14</v>
      </c>
      <c r="W21" s="668">
        <f>J21</f>
        <v>100</v>
      </c>
      <c r="X21" s="1265"/>
      <c r="Y21" s="338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391"/>
      <c r="Q22" s="1263"/>
      <c r="R22" s="667"/>
      <c r="S22" s="668"/>
      <c r="T22" s="667"/>
      <c r="U22" s="668"/>
      <c r="V22" s="667"/>
      <c r="W22" s="668"/>
      <c r="X22" s="1265"/>
      <c r="Y22" s="3384"/>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91"/>
      <c r="Q23" s="1263" t="str">
        <f>B23</f>
        <v>自然及人文环境</v>
      </c>
      <c r="R23" s="667" t="s">
        <v>18</v>
      </c>
      <c r="S23" s="668">
        <f>F23</f>
        <v>100</v>
      </c>
      <c r="T23" s="667" t="s">
        <v>18</v>
      </c>
      <c r="U23" s="668">
        <f>H23</f>
        <v>100</v>
      </c>
      <c r="V23" s="667" t="s">
        <v>18</v>
      </c>
      <c r="W23" s="668">
        <f>J23</f>
        <v>100</v>
      </c>
      <c r="X23" s="1265"/>
      <c r="Y23" s="338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391"/>
      <c r="Q24" s="1263"/>
      <c r="R24" s="667"/>
      <c r="S24" s="668"/>
      <c r="T24" s="667"/>
      <c r="U24" s="668"/>
      <c r="V24" s="667"/>
      <c r="W24" s="668"/>
      <c r="X24" s="1265"/>
      <c r="Y24" s="338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39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8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391"/>
      <c r="Q26" s="1263" t="str">
        <f t="shared" si="11"/>
        <v>朝向</v>
      </c>
      <c r="R26" s="667" t="s">
        <v>18</v>
      </c>
      <c r="S26" s="668">
        <f t="shared" si="12"/>
        <v>100</v>
      </c>
      <c r="T26" s="667" t="s">
        <v>18</v>
      </c>
      <c r="U26" s="668">
        <f t="shared" si="13"/>
        <v>100</v>
      </c>
      <c r="V26" s="667" t="s">
        <v>18</v>
      </c>
      <c r="W26" s="668">
        <f t="shared" si="14"/>
        <v>100</v>
      </c>
      <c r="X26" s="1265"/>
      <c r="Y26" s="338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39"/>
      <c r="N27" s="2439"/>
      <c r="O27" s="2439"/>
      <c r="P27" s="3391"/>
      <c r="Q27" s="530">
        <f t="shared" si="11"/>
        <v>111</v>
      </c>
      <c r="R27" s="664" t="s">
        <v>18</v>
      </c>
      <c r="S27" s="665">
        <f t="shared" si="12"/>
        <v>100</v>
      </c>
      <c r="T27" s="664" t="s">
        <v>18</v>
      </c>
      <c r="U27" s="665">
        <f t="shared" si="13"/>
        <v>100</v>
      </c>
      <c r="V27" s="664" t="s">
        <v>18</v>
      </c>
      <c r="W27" s="665">
        <f t="shared" si="14"/>
        <v>100</v>
      </c>
      <c r="X27" s="666"/>
      <c r="Y27" s="338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391"/>
      <c r="Q28" s="1263">
        <f t="shared" si="11"/>
        <v>111</v>
      </c>
      <c r="R28" s="667" t="s">
        <v>18</v>
      </c>
      <c r="S28" s="668">
        <f t="shared" si="12"/>
        <v>100</v>
      </c>
      <c r="T28" s="667" t="s">
        <v>18</v>
      </c>
      <c r="U28" s="668">
        <f t="shared" si="13"/>
        <v>100</v>
      </c>
      <c r="V28" s="667" t="s">
        <v>18</v>
      </c>
      <c r="W28" s="668">
        <f t="shared" si="14"/>
        <v>100</v>
      </c>
      <c r="X28" s="1265"/>
      <c r="Y28" s="338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391"/>
      <c r="Q29" s="1263">
        <f t="shared" si="11"/>
        <v>111</v>
      </c>
      <c r="R29" s="667" t="s">
        <v>18</v>
      </c>
      <c r="S29" s="668">
        <f t="shared" si="12"/>
        <v>100</v>
      </c>
      <c r="T29" s="667" t="s">
        <v>18</v>
      </c>
      <c r="U29" s="668">
        <f t="shared" si="13"/>
        <v>100</v>
      </c>
      <c r="V29" s="667" t="s">
        <v>18</v>
      </c>
      <c r="W29" s="668">
        <f t="shared" si="14"/>
        <v>100</v>
      </c>
      <c r="X29" s="1265"/>
      <c r="Y29" s="338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391"/>
      <c r="Q30" s="1263">
        <f t="shared" si="11"/>
        <v>111</v>
      </c>
      <c r="R30" s="667" t="s">
        <v>18</v>
      </c>
      <c r="S30" s="668">
        <f t="shared" si="12"/>
        <v>100</v>
      </c>
      <c r="T30" s="667" t="s">
        <v>18</v>
      </c>
      <c r="U30" s="668">
        <f t="shared" si="13"/>
        <v>100</v>
      </c>
      <c r="V30" s="667" t="s">
        <v>18</v>
      </c>
      <c r="W30" s="668">
        <f t="shared" si="14"/>
        <v>100</v>
      </c>
      <c r="X30" s="1265"/>
      <c r="Y30" s="3384"/>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391"/>
      <c r="Q31" s="1263">
        <f t="shared" si="11"/>
        <v>111</v>
      </c>
      <c r="R31" s="667" t="s">
        <v>18</v>
      </c>
      <c r="S31" s="668">
        <f t="shared" si="12"/>
        <v>100</v>
      </c>
      <c r="T31" s="667" t="s">
        <v>18</v>
      </c>
      <c r="U31" s="668">
        <f t="shared" si="13"/>
        <v>100</v>
      </c>
      <c r="V31" s="667" t="s">
        <v>18</v>
      </c>
      <c r="W31" s="668">
        <f t="shared" si="14"/>
        <v>100</v>
      </c>
      <c r="X31" s="1265"/>
      <c r="Y31" s="338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385" t="s">
        <v>1696</v>
      </c>
      <c r="Q32" s="1263" t="str">
        <f t="shared" si="11"/>
        <v>建筑类型</v>
      </c>
      <c r="R32" s="667" t="s">
        <v>18</v>
      </c>
      <c r="S32" s="668">
        <f t="shared" si="12"/>
        <v>100</v>
      </c>
      <c r="T32" s="667" t="s">
        <v>18</v>
      </c>
      <c r="U32" s="668">
        <f t="shared" si="13"/>
        <v>100</v>
      </c>
      <c r="V32" s="667" t="s">
        <v>18</v>
      </c>
      <c r="W32" s="668">
        <f t="shared" si="14"/>
        <v>100</v>
      </c>
      <c r="X32" s="1265"/>
      <c r="Y32" s="338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386"/>
      <c r="Q33" s="531" t="str">
        <f t="shared" si="11"/>
        <v>项目建筑规模</v>
      </c>
      <c r="R33" s="669" t="s">
        <v>18</v>
      </c>
      <c r="S33" s="670" t="e">
        <f t="shared" si="12"/>
        <v>#N/A</v>
      </c>
      <c r="T33" s="669" t="s">
        <v>18</v>
      </c>
      <c r="U33" s="670" t="e">
        <f t="shared" si="13"/>
        <v>#N/A</v>
      </c>
      <c r="V33" s="669" t="s">
        <v>18</v>
      </c>
      <c r="W33" s="670" t="e">
        <f t="shared" si="14"/>
        <v>#N/A</v>
      </c>
      <c r="X33" s="671"/>
      <c r="Y33" s="3388"/>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386"/>
      <c r="Q34" s="1263" t="str">
        <f t="shared" si="11"/>
        <v>建筑结构</v>
      </c>
      <c r="R34" s="667" t="s">
        <v>18</v>
      </c>
      <c r="S34" s="668">
        <f t="shared" si="12"/>
        <v>100</v>
      </c>
      <c r="T34" s="667" t="s">
        <v>18</v>
      </c>
      <c r="U34" s="668">
        <f t="shared" si="13"/>
        <v>100</v>
      </c>
      <c r="V34" s="667" t="s">
        <v>18</v>
      </c>
      <c r="W34" s="668">
        <f t="shared" si="14"/>
        <v>100</v>
      </c>
      <c r="X34" s="1265"/>
      <c r="Y34" s="338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386"/>
      <c r="Q35" s="1263" t="str">
        <f t="shared" si="11"/>
        <v>建筑品质</v>
      </c>
      <c r="R35" s="667" t="s">
        <v>18</v>
      </c>
      <c r="S35" s="668">
        <f t="shared" si="12"/>
        <v>100</v>
      </c>
      <c r="T35" s="667" t="s">
        <v>18</v>
      </c>
      <c r="U35" s="668">
        <f t="shared" si="13"/>
        <v>100</v>
      </c>
      <c r="V35" s="667" t="s">
        <v>18</v>
      </c>
      <c r="W35" s="668">
        <f t="shared" si="14"/>
        <v>100</v>
      </c>
      <c r="X35" s="1265"/>
      <c r="Y35" s="338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386"/>
      <c r="Q36" s="1263" t="str">
        <f t="shared" si="11"/>
        <v>公共部分装修</v>
      </c>
      <c r="R36" s="667" t="s">
        <v>18</v>
      </c>
      <c r="S36" s="668">
        <f t="shared" si="12"/>
        <v>100</v>
      </c>
      <c r="T36" s="667" t="s">
        <v>18</v>
      </c>
      <c r="U36" s="668">
        <f t="shared" si="13"/>
        <v>100</v>
      </c>
      <c r="V36" s="667" t="s">
        <v>18</v>
      </c>
      <c r="W36" s="668">
        <f t="shared" si="14"/>
        <v>100</v>
      </c>
      <c r="X36" s="1265"/>
      <c r="Y36" s="338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386"/>
      <c r="Q37" s="530" t="str">
        <f t="shared" si="11"/>
        <v>成新度</v>
      </c>
      <c r="R37" s="664" t="s">
        <v>18</v>
      </c>
      <c r="S37" s="665" t="e">
        <f t="shared" si="12"/>
        <v>#N/A</v>
      </c>
      <c r="T37" s="664" t="s">
        <v>18</v>
      </c>
      <c r="U37" s="665" t="e">
        <f t="shared" si="13"/>
        <v>#N/A</v>
      </c>
      <c r="V37" s="664" t="s">
        <v>18</v>
      </c>
      <c r="W37" s="665" t="e">
        <f t="shared" si="14"/>
        <v>#N/A</v>
      </c>
      <c r="X37" s="666"/>
      <c r="Y37" s="338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386" t="s">
        <v>1696</v>
      </c>
      <c r="Q38" s="1263" t="str">
        <f t="shared" si="11"/>
        <v>物业管理</v>
      </c>
      <c r="R38" s="667" t="s">
        <v>18</v>
      </c>
      <c r="S38" s="668">
        <f t="shared" si="12"/>
        <v>100</v>
      </c>
      <c r="T38" s="667" t="s">
        <v>18</v>
      </c>
      <c r="U38" s="668">
        <f t="shared" si="13"/>
        <v>100</v>
      </c>
      <c r="V38" s="667" t="s">
        <v>18</v>
      </c>
      <c r="W38" s="668">
        <f t="shared" si="14"/>
        <v>100</v>
      </c>
      <c r="X38" s="1265"/>
      <c r="Y38" s="338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386"/>
      <c r="Q39" s="1263" t="str">
        <f t="shared" si="11"/>
        <v>市政基础设施</v>
      </c>
      <c r="R39" s="667" t="s">
        <v>18</v>
      </c>
      <c r="S39" s="668">
        <f t="shared" si="12"/>
        <v>100</v>
      </c>
      <c r="T39" s="667" t="s">
        <v>18</v>
      </c>
      <c r="U39" s="668">
        <f t="shared" si="13"/>
        <v>100</v>
      </c>
      <c r="V39" s="667" t="s">
        <v>18</v>
      </c>
      <c r="W39" s="668">
        <f t="shared" si="14"/>
        <v>100</v>
      </c>
      <c r="X39" s="1265"/>
      <c r="Y39" s="338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386"/>
      <c r="Q40" s="1263" t="str">
        <f t="shared" si="11"/>
        <v>房型</v>
      </c>
      <c r="R40" s="667" t="s">
        <v>18</v>
      </c>
      <c r="S40" s="668">
        <f t="shared" si="12"/>
        <v>100</v>
      </c>
      <c r="T40" s="667" t="s">
        <v>18</v>
      </c>
      <c r="U40" s="668">
        <f t="shared" si="13"/>
        <v>100</v>
      </c>
      <c r="V40" s="667" t="s">
        <v>18</v>
      </c>
      <c r="W40" s="668">
        <f t="shared" si="14"/>
        <v>100</v>
      </c>
      <c r="X40" s="1265"/>
      <c r="Y40" s="3388"/>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386"/>
      <c r="Q41" s="531" t="str">
        <f t="shared" si="11"/>
        <v>单套/主力户型建筑面积</v>
      </c>
      <c r="R41" s="669" t="s">
        <v>18</v>
      </c>
      <c r="S41" s="670">
        <f t="shared" si="12"/>
        <v>100</v>
      </c>
      <c r="T41" s="669" t="s">
        <v>18</v>
      </c>
      <c r="U41" s="670">
        <f t="shared" si="13"/>
        <v>100</v>
      </c>
      <c r="V41" s="669" t="s">
        <v>18</v>
      </c>
      <c r="W41" s="670">
        <f t="shared" si="14"/>
        <v>100</v>
      </c>
      <c r="X41" s="671"/>
      <c r="Y41" s="3388"/>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386"/>
      <c r="Q42" s="1263" t="str">
        <f t="shared" si="11"/>
        <v>内部装修</v>
      </c>
      <c r="R42" s="667" t="s">
        <v>18</v>
      </c>
      <c r="S42" s="668">
        <f t="shared" si="12"/>
        <v>100</v>
      </c>
      <c r="T42" s="667" t="s">
        <v>18</v>
      </c>
      <c r="U42" s="668">
        <f t="shared" si="13"/>
        <v>100</v>
      </c>
      <c r="V42" s="667" t="s">
        <v>18</v>
      </c>
      <c r="W42" s="668">
        <f t="shared" si="14"/>
        <v>100</v>
      </c>
      <c r="X42" s="1265"/>
      <c r="Y42" s="3388"/>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386"/>
      <c r="Q43" s="1263" t="str">
        <f t="shared" si="11"/>
        <v>内部装修维护情况</v>
      </c>
      <c r="R43" s="667" t="s">
        <v>18</v>
      </c>
      <c r="S43" s="668">
        <f t="shared" si="12"/>
        <v>100</v>
      </c>
      <c r="T43" s="667" t="s">
        <v>18</v>
      </c>
      <c r="U43" s="668">
        <f t="shared" si="13"/>
        <v>100</v>
      </c>
      <c r="V43" s="667" t="s">
        <v>18</v>
      </c>
      <c r="W43" s="668">
        <f t="shared" si="14"/>
        <v>100</v>
      </c>
      <c r="X43" s="1265"/>
      <c r="Y43" s="338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39"/>
      <c r="N44" s="2439"/>
      <c r="O44" s="2439"/>
      <c r="P44" s="3386"/>
      <c r="Q44" s="530">
        <f t="shared" si="11"/>
        <v>111</v>
      </c>
      <c r="R44" s="664" t="s">
        <v>18</v>
      </c>
      <c r="S44" s="665">
        <f t="shared" si="12"/>
        <v>100</v>
      </c>
      <c r="T44" s="664" t="s">
        <v>18</v>
      </c>
      <c r="U44" s="665">
        <f t="shared" si="13"/>
        <v>100</v>
      </c>
      <c r="V44" s="664" t="s">
        <v>18</v>
      </c>
      <c r="W44" s="665">
        <f t="shared" si="14"/>
        <v>100</v>
      </c>
      <c r="X44" s="666"/>
      <c r="Y44" s="338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386"/>
      <c r="Q45" s="1263">
        <f t="shared" si="11"/>
        <v>111</v>
      </c>
      <c r="R45" s="667" t="s">
        <v>18</v>
      </c>
      <c r="S45" s="668">
        <f t="shared" si="12"/>
        <v>100</v>
      </c>
      <c r="T45" s="667" t="s">
        <v>18</v>
      </c>
      <c r="U45" s="668">
        <f t="shared" si="13"/>
        <v>100</v>
      </c>
      <c r="V45" s="667" t="s">
        <v>18</v>
      </c>
      <c r="W45" s="668">
        <f t="shared" si="14"/>
        <v>100</v>
      </c>
      <c r="X45" s="1265"/>
      <c r="Y45" s="3388"/>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387"/>
      <c r="Q46" s="1263">
        <f t="shared" si="11"/>
        <v>111</v>
      </c>
      <c r="R46" s="667" t="s">
        <v>17</v>
      </c>
      <c r="S46" s="668">
        <f t="shared" si="12"/>
        <v>100</v>
      </c>
      <c r="T46" s="667" t="s">
        <v>17</v>
      </c>
      <c r="U46" s="668">
        <f t="shared" si="13"/>
        <v>100</v>
      </c>
      <c r="V46" s="667" t="s">
        <v>17</v>
      </c>
      <c r="W46" s="668">
        <f t="shared" si="14"/>
        <v>100</v>
      </c>
      <c r="X46" s="1265"/>
      <c r="Y46" s="3389"/>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4"/>
      <c r="M47" s="2487"/>
      <c r="N47" s="2487"/>
      <c r="O47" s="2487"/>
      <c r="P47" s="3381" t="str">
        <f>A47</f>
        <v>成交单价（元/平方米）</v>
      </c>
      <c r="Q47" s="3381"/>
      <c r="R47" s="3382">
        <f>E47</f>
        <v>0</v>
      </c>
      <c r="S47" s="3382"/>
      <c r="T47" s="3382">
        <f>G47</f>
        <v>0</v>
      </c>
      <c r="U47" s="3382"/>
      <c r="V47" s="3382">
        <f>I47</f>
        <v>0</v>
      </c>
      <c r="W47" s="3382"/>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381" t="str">
        <f>A48</f>
        <v>比较价值（元/平方米）</v>
      </c>
      <c r="Q48" s="3381"/>
      <c r="R48" s="3382" t="e">
        <f>IF(F1="售价",ROUND(PRODUCT(R47,AA7:AA46),0),ROUND(PRODUCT(R47,AA7:AA46),1))</f>
        <v>#DIV/0!</v>
      </c>
      <c r="S48" s="3382"/>
      <c r="T48" s="3382" t="e">
        <f>IF(F1="售价",ROUND(PRODUCT(T47,AB7:AB46),0),ROUND(PRODUCT(T47,AB7:AB46),1))</f>
        <v>#DIV/0!</v>
      </c>
      <c r="U48" s="3382"/>
      <c r="V48" s="3382" t="e">
        <f>IF(F1="售价",ROUND(PRODUCT(V47,AC7:AC46),0),ROUND(PRODUCT(V47,AC7:AC46),1))</f>
        <v>#DIV/0!</v>
      </c>
      <c r="W48" s="3382"/>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4"/>
      <c r="M49" s="2487"/>
      <c r="N49" s="2487"/>
      <c r="O49" s="2487"/>
      <c r="P49" s="3378" t="str">
        <f>A49</f>
        <v>估价对象XX用房的比较价值（楼面单价，元/平方米）</v>
      </c>
      <c r="Q49" s="3379"/>
      <c r="R49" s="3380" t="e">
        <f>IF(F1="售价",ROUND(IF(D48="简单平均",AVERAGE(R48:V48),R48*F48+T48*H48+V48*J48),0),ROUND(IF(D48="简单平均",AVERAGE(R48:V48),R48*F48+T48*H48+V48*J48),1))</f>
        <v>#DIV/0!</v>
      </c>
      <c r="S49" s="3380"/>
      <c r="T49" s="3380"/>
      <c r="U49" s="3380"/>
      <c r="V49" s="3380"/>
      <c r="W49" s="3380"/>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2025-3</v>
      </c>
      <c r="D58" s="1104">
        <f>EDATE(C58,-1)</f>
        <v>45689</v>
      </c>
      <c r="E58" s="1104">
        <f>EDATE(D58,-1)</f>
        <v>45658</v>
      </c>
      <c r="F58" s="1104">
        <f t="shared" ref="F58:O58" si="19">EDATE(E58,-1)</f>
        <v>45627</v>
      </c>
      <c r="G58" s="1104">
        <f t="shared" si="19"/>
        <v>45597</v>
      </c>
      <c r="H58" s="1104">
        <f t="shared" si="19"/>
        <v>45566</v>
      </c>
      <c r="I58" s="1104">
        <f t="shared" si="19"/>
        <v>45536</v>
      </c>
      <c r="J58" s="1104">
        <f t="shared" si="19"/>
        <v>45505</v>
      </c>
      <c r="K58" s="1104">
        <f t="shared" si="19"/>
        <v>45474</v>
      </c>
      <c r="L58" s="1104">
        <f t="shared" si="19"/>
        <v>45444</v>
      </c>
      <c r="M58" s="1104">
        <f t="shared" si="19"/>
        <v>45413</v>
      </c>
      <c r="N58" s="1104">
        <f t="shared" si="19"/>
        <v>45383</v>
      </c>
      <c r="O58" s="1104">
        <f t="shared" si="19"/>
        <v>45352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34" zoomScale="60" zoomScaleNormal="70" workbookViewId="0">
      <selection activeCell="D104" sqref="D104:J104"/>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3430</v>
      </c>
      <c r="E1" s="3124" t="s">
        <v>3458</v>
      </c>
      <c r="F1" s="1735" t="s">
        <v>3459</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872.61720000000003</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52400</v>
      </c>
      <c r="C3" s="344" t="s">
        <v>1768</v>
      </c>
      <c r="D3" s="343">
        <f>IF(D1="",'数据-汇总表'!E3,SUMIF('数据-汇总表'!$C19:$C33,D1,'数据-汇总表'!$E19:$E33))</f>
        <v>166.53</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00" t="s">
        <v>1775</v>
      </c>
      <c r="Q4" s="3401"/>
      <c r="R4" s="3406" t="s">
        <v>1771</v>
      </c>
      <c r="S4" s="3407"/>
      <c r="T4" s="3406" t="s">
        <v>1772</v>
      </c>
      <c r="U4" s="3407"/>
      <c r="V4" s="3382" t="s">
        <v>1773</v>
      </c>
      <c r="W4" s="3382"/>
      <c r="X4" s="1265"/>
      <c r="Y4" s="3406" t="s">
        <v>1775</v>
      </c>
      <c r="Z4" s="3407"/>
      <c r="AA4" s="3393" t="s">
        <v>1771</v>
      </c>
      <c r="AB4" s="3382" t="s">
        <v>1772</v>
      </c>
      <c r="AC4" s="3393" t="s">
        <v>1773</v>
      </c>
    </row>
    <row r="5" spans="1:29">
      <c r="A5" s="348"/>
      <c r="B5" s="349"/>
      <c r="C5" s="3414" t="s">
        <v>1673</v>
      </c>
      <c r="D5" s="3415"/>
      <c r="E5" s="3421" t="s">
        <v>1674</v>
      </c>
      <c r="F5" s="3422"/>
      <c r="G5" s="3414" t="s">
        <v>1675</v>
      </c>
      <c r="H5" s="3415"/>
      <c r="I5" s="3414" t="s">
        <v>1676</v>
      </c>
      <c r="J5" s="3415"/>
      <c r="K5" s="537"/>
      <c r="L5" s="2486"/>
      <c r="M5" s="2487"/>
      <c r="N5" s="2487"/>
      <c r="O5" s="2487"/>
      <c r="P5" s="3402"/>
      <c r="Q5" s="3403"/>
      <c r="R5" s="3408"/>
      <c r="S5" s="3409"/>
      <c r="T5" s="3408"/>
      <c r="U5" s="3409"/>
      <c r="V5" s="3382"/>
      <c r="W5" s="3382"/>
      <c r="X5" s="1265"/>
      <c r="Y5" s="3408"/>
      <c r="Z5" s="3409"/>
      <c r="AA5" s="3394"/>
      <c r="AB5" s="3382"/>
      <c r="AC5" s="3394"/>
    </row>
    <row r="6" spans="1:29" ht="15" thickBot="1">
      <c r="A6" s="350"/>
      <c r="B6" s="351"/>
      <c r="C6" s="3412" t="s">
        <v>1677</v>
      </c>
      <c r="D6" s="3413"/>
      <c r="E6" s="3419" t="s">
        <v>1677</v>
      </c>
      <c r="F6" s="3420"/>
      <c r="G6" s="3412" t="s">
        <v>1677</v>
      </c>
      <c r="H6" s="3413"/>
      <c r="I6" s="3412" t="s">
        <v>1677</v>
      </c>
      <c r="J6" s="3413"/>
      <c r="K6" s="537" t="s">
        <v>1678</v>
      </c>
      <c r="L6" s="2486"/>
      <c r="M6" s="2487"/>
      <c r="N6" s="2487"/>
      <c r="O6" s="2487"/>
      <c r="P6" s="3404"/>
      <c r="Q6" s="3405"/>
      <c r="R6" s="3408"/>
      <c r="S6" s="3409"/>
      <c r="T6" s="3410"/>
      <c r="U6" s="3411"/>
      <c r="V6" s="3382"/>
      <c r="W6" s="3382"/>
      <c r="X6" s="1265"/>
      <c r="Y6" s="3410"/>
      <c r="Z6" s="3411"/>
      <c r="AA6" s="3395"/>
      <c r="AB6" s="3382"/>
      <c r="AC6" s="3395"/>
    </row>
    <row r="7" spans="1:29" s="102" customFormat="1" ht="15" thickBot="1">
      <c r="A7" s="352" t="s">
        <v>1679</v>
      </c>
      <c r="B7" s="353"/>
      <c r="C7" s="354">
        <f>'数据-取费表'!B2</f>
        <v>45734</v>
      </c>
      <c r="D7" s="355">
        <v>100</v>
      </c>
      <c r="E7" s="356">
        <f>C7</f>
        <v>45734</v>
      </c>
      <c r="F7" s="357">
        <f>SUMIF(58:58,YEAR(E7)&amp;"-"&amp;MONTH(E7),59:59)</f>
        <v>100</v>
      </c>
      <c r="G7" s="356">
        <f>C7</f>
        <v>45734</v>
      </c>
      <c r="H7" s="355">
        <f>SUMIF(58:58,YEAR(G7)&amp;"-"&amp;MONTH(G7),59:59)</f>
        <v>100</v>
      </c>
      <c r="I7" s="356">
        <f>C7</f>
        <v>45734</v>
      </c>
      <c r="J7" s="355">
        <f>SUMIF(58:58,YEAR(I7)&amp;"-"&amp;MONTH(I7),59:59)</f>
        <v>100</v>
      </c>
      <c r="K7" s="38"/>
      <c r="L7" s="2488"/>
      <c r="M7" s="2439"/>
      <c r="N7" s="2439"/>
      <c r="O7" s="2439"/>
      <c r="P7" s="3416" t="s">
        <v>1680</v>
      </c>
      <c r="Q7" s="3418"/>
      <c r="R7" s="664" t="s">
        <v>14</v>
      </c>
      <c r="S7" s="665">
        <f t="shared" ref="S7:S15" si="0">F7</f>
        <v>100</v>
      </c>
      <c r="T7" s="664" t="s">
        <v>14</v>
      </c>
      <c r="U7" s="665">
        <f t="shared" ref="U7:U15" si="1">H7</f>
        <v>100</v>
      </c>
      <c r="V7" s="664" t="s">
        <v>14</v>
      </c>
      <c r="W7" s="665">
        <f t="shared" ref="W7:W15" si="2">J7</f>
        <v>100</v>
      </c>
      <c r="X7" s="666"/>
      <c r="Y7" s="3416" t="s">
        <v>1680</v>
      </c>
      <c r="Z7" s="3417"/>
      <c r="AA7" s="50">
        <f>D7/F7</f>
        <v>1</v>
      </c>
      <c r="AB7" s="50">
        <f>D7/H7</f>
        <v>1</v>
      </c>
      <c r="AC7" s="50">
        <f>D7/J7</f>
        <v>1</v>
      </c>
    </row>
    <row r="8" spans="1:29" s="102" customFormat="1" ht="15" thickBot="1">
      <c r="A8" s="352" t="s">
        <v>1681</v>
      </c>
      <c r="B8" s="353"/>
      <c r="C8" s="358" t="s">
        <v>3457</v>
      </c>
      <c r="D8" s="355">
        <v>100</v>
      </c>
      <c r="E8" s="358" t="s">
        <v>3455</v>
      </c>
      <c r="F8" s="357">
        <f>SUMIF(61:61,E8,62:62)-SUMIF(61:61,C8,62:62)+100</f>
        <v>105</v>
      </c>
      <c r="G8" s="358" t="s">
        <v>3455</v>
      </c>
      <c r="H8" s="355">
        <f>SUMIF(61:61,G8,62:62)-SUMIF(61:61,C8,62:62)+100</f>
        <v>105</v>
      </c>
      <c r="I8" s="358" t="s">
        <v>3455</v>
      </c>
      <c r="J8" s="355">
        <f>SUMIF(61:61,I8,62:62)-SUMIF(61:61,C8,62:62)+100</f>
        <v>105</v>
      </c>
      <c r="K8" s="38"/>
      <c r="L8" s="2488"/>
      <c r="M8" s="2439"/>
      <c r="N8" s="2439"/>
      <c r="O8" s="2439"/>
      <c r="P8" s="3416" t="s">
        <v>1683</v>
      </c>
      <c r="Q8" s="3417"/>
      <c r="R8" s="664" t="s">
        <v>14</v>
      </c>
      <c r="S8" s="665">
        <f t="shared" si="0"/>
        <v>105</v>
      </c>
      <c r="T8" s="664" t="s">
        <v>14</v>
      </c>
      <c r="U8" s="665">
        <f t="shared" si="1"/>
        <v>105</v>
      </c>
      <c r="V8" s="664" t="s">
        <v>14</v>
      </c>
      <c r="W8" s="665">
        <f t="shared" si="2"/>
        <v>105</v>
      </c>
      <c r="X8" s="666"/>
      <c r="Y8" s="3416" t="s">
        <v>1683</v>
      </c>
      <c r="Z8" s="3417"/>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392"/>
      <c r="Q11" s="530" t="str">
        <f t="shared" si="6"/>
        <v>容积率</v>
      </c>
      <c r="R11" s="664" t="s">
        <v>14</v>
      </c>
      <c r="S11" s="665">
        <f t="shared" si="0"/>
        <v>100</v>
      </c>
      <c r="T11" s="664" t="s">
        <v>14</v>
      </c>
      <c r="U11" s="665">
        <f t="shared" si="1"/>
        <v>100</v>
      </c>
      <c r="V11" s="664" t="s">
        <v>14</v>
      </c>
      <c r="W11" s="665">
        <f t="shared" si="2"/>
        <v>100</v>
      </c>
      <c r="X11" s="666"/>
      <c r="Y11" s="3256"/>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92"/>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92"/>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92"/>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90" t="s">
        <v>1691</v>
      </c>
      <c r="Q15" s="1263" t="str">
        <f t="shared" si="6"/>
        <v>商业繁华度</v>
      </c>
      <c r="R15" s="667" t="s">
        <v>14</v>
      </c>
      <c r="S15" s="668">
        <f t="shared" si="0"/>
        <v>100</v>
      </c>
      <c r="T15" s="667" t="s">
        <v>14</v>
      </c>
      <c r="U15" s="668">
        <f t="shared" si="1"/>
        <v>100</v>
      </c>
      <c r="V15" s="667" t="s">
        <v>14</v>
      </c>
      <c r="W15" s="668">
        <f t="shared" si="2"/>
        <v>100</v>
      </c>
      <c r="X15" s="1265"/>
      <c r="Y15" s="338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391"/>
      <c r="Q16" s="1263"/>
      <c r="R16" s="667"/>
      <c r="S16" s="668"/>
      <c r="T16" s="667"/>
      <c r="U16" s="668"/>
      <c r="V16" s="667"/>
      <c r="W16" s="668"/>
      <c r="X16" s="1265"/>
      <c r="Y16" s="338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91"/>
      <c r="Q17" s="1263" t="str">
        <f>B17</f>
        <v>交通便捷度</v>
      </c>
      <c r="R17" s="667" t="s">
        <v>14</v>
      </c>
      <c r="S17" s="668">
        <f>F17</f>
        <v>100</v>
      </c>
      <c r="T17" s="667" t="s">
        <v>14</v>
      </c>
      <c r="U17" s="668">
        <f>H17</f>
        <v>100</v>
      </c>
      <c r="V17" s="667" t="s">
        <v>14</v>
      </c>
      <c r="W17" s="668">
        <f>J17</f>
        <v>100</v>
      </c>
      <c r="X17" s="1265"/>
      <c r="Y17" s="338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2"/>
      <c r="M18" s="2487"/>
      <c r="N18" s="2487"/>
      <c r="O18" s="2487"/>
      <c r="P18" s="3391"/>
      <c r="Q18" s="1263"/>
      <c r="R18" s="667"/>
      <c r="S18" s="668"/>
      <c r="T18" s="667"/>
      <c r="U18" s="668"/>
      <c r="V18" s="667"/>
      <c r="W18" s="668"/>
      <c r="X18" s="1265"/>
      <c r="Y18" s="3384"/>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91"/>
      <c r="Q19" s="1263" t="str">
        <f>B19</f>
        <v>公共配套设施</v>
      </c>
      <c r="R19" s="667" t="s">
        <v>14</v>
      </c>
      <c r="S19" s="668">
        <f>F19</f>
        <v>100</v>
      </c>
      <c r="T19" s="667" t="s">
        <v>14</v>
      </c>
      <c r="U19" s="668">
        <f>H19</f>
        <v>100</v>
      </c>
      <c r="V19" s="667" t="s">
        <v>14</v>
      </c>
      <c r="W19" s="668">
        <f>J19</f>
        <v>100</v>
      </c>
      <c r="X19" s="1265"/>
      <c r="Y19" s="338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2"/>
      <c r="M20" s="2487"/>
      <c r="N20" s="2487"/>
      <c r="O20" s="2487"/>
      <c r="P20" s="3391"/>
      <c r="Q20" s="1263"/>
      <c r="R20" s="667"/>
      <c r="S20" s="668"/>
      <c r="T20" s="667"/>
      <c r="U20" s="668"/>
      <c r="V20" s="667"/>
      <c r="W20" s="668"/>
      <c r="X20" s="1265"/>
      <c r="Y20" s="3384"/>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91"/>
      <c r="Q21" s="1263" t="str">
        <f>B21</f>
        <v>基础设施水平</v>
      </c>
      <c r="R21" s="667" t="s">
        <v>14</v>
      </c>
      <c r="S21" s="668">
        <f>F21</f>
        <v>100</v>
      </c>
      <c r="T21" s="667" t="s">
        <v>14</v>
      </c>
      <c r="U21" s="668">
        <f>H21</f>
        <v>100</v>
      </c>
      <c r="V21" s="667" t="s">
        <v>14</v>
      </c>
      <c r="W21" s="668">
        <f>J21</f>
        <v>100</v>
      </c>
      <c r="X21" s="1265"/>
      <c r="Y21" s="338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2"/>
      <c r="M22" s="2487"/>
      <c r="N22" s="2487"/>
      <c r="O22" s="2487"/>
      <c r="P22" s="3391"/>
      <c r="Q22" s="1263"/>
      <c r="R22" s="667"/>
      <c r="S22" s="668"/>
      <c r="T22" s="667"/>
      <c r="U22" s="668"/>
      <c r="V22" s="667"/>
      <c r="W22" s="668"/>
      <c r="X22" s="1265"/>
      <c r="Y22" s="3384"/>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91"/>
      <c r="Q23" s="1263" t="str">
        <f>B23</f>
        <v>自然及人文环境</v>
      </c>
      <c r="R23" s="667" t="s">
        <v>14</v>
      </c>
      <c r="S23" s="668">
        <f>F23</f>
        <v>100</v>
      </c>
      <c r="T23" s="667" t="s">
        <v>14</v>
      </c>
      <c r="U23" s="668">
        <f>H23</f>
        <v>100</v>
      </c>
      <c r="V23" s="667" t="s">
        <v>14</v>
      </c>
      <c r="W23" s="668">
        <f>J23</f>
        <v>100</v>
      </c>
      <c r="X23" s="1265"/>
      <c r="Y23" s="338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2"/>
      <c r="M24" s="2487"/>
      <c r="N24" s="2487"/>
      <c r="O24" s="2487"/>
      <c r="P24" s="3391"/>
      <c r="Q24" s="1263"/>
      <c r="R24" s="667"/>
      <c r="S24" s="668"/>
      <c r="T24" s="667"/>
      <c r="U24" s="668"/>
      <c r="V24" s="667"/>
      <c r="W24" s="668"/>
      <c r="X24" s="1265"/>
      <c r="Y24" s="338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91"/>
      <c r="Q25" s="1263" t="str">
        <f t="shared" ref="Q25:Q46" si="11">B25</f>
        <v>临街状况</v>
      </c>
      <c r="R25" s="667" t="s">
        <v>14</v>
      </c>
      <c r="S25" s="668">
        <f>F25</f>
        <v>100</v>
      </c>
      <c r="T25" s="667" t="s">
        <v>14</v>
      </c>
      <c r="U25" s="668">
        <f>H25</f>
        <v>100</v>
      </c>
      <c r="V25" s="667" t="s">
        <v>14</v>
      </c>
      <c r="W25" s="668">
        <f>J25</f>
        <v>100</v>
      </c>
      <c r="X25" s="1265"/>
      <c r="Y25" s="338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91"/>
      <c r="Q26" s="1263" t="str">
        <f t="shared" si="11"/>
        <v>平面位置/可视性</v>
      </c>
      <c r="R26" s="667" t="s">
        <v>14</v>
      </c>
      <c r="S26" s="668">
        <f>F26</f>
        <v>100</v>
      </c>
      <c r="T26" s="667" t="s">
        <v>14</v>
      </c>
      <c r="U26" s="668">
        <f>H26</f>
        <v>100</v>
      </c>
      <c r="V26" s="667" t="s">
        <v>14</v>
      </c>
      <c r="W26" s="668">
        <f>J26</f>
        <v>100</v>
      </c>
      <c r="X26" s="1265"/>
      <c r="Y26" s="338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8"/>
      <c r="M27" s="2439"/>
      <c r="N27" s="2439"/>
      <c r="O27" s="2439"/>
      <c r="P27" s="3391"/>
      <c r="Q27" s="530" t="str">
        <f t="shared" si="11"/>
        <v>人流量</v>
      </c>
      <c r="R27" s="664" t="s">
        <v>14</v>
      </c>
      <c r="S27" s="665">
        <f>F27</f>
        <v>100</v>
      </c>
      <c r="T27" s="664" t="s">
        <v>14</v>
      </c>
      <c r="U27" s="665">
        <f>H27</f>
        <v>100</v>
      </c>
      <c r="V27" s="664" t="s">
        <v>14</v>
      </c>
      <c r="W27" s="665">
        <f>J27</f>
        <v>100</v>
      </c>
      <c r="X27" s="666"/>
      <c r="Y27" s="338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9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91"/>
      <c r="Q29" s="1263">
        <f t="shared" si="11"/>
        <v>111</v>
      </c>
      <c r="R29" s="667" t="s">
        <v>14</v>
      </c>
      <c r="S29" s="668">
        <f t="shared" si="12"/>
        <v>100</v>
      </c>
      <c r="T29" s="667" t="s">
        <v>14</v>
      </c>
      <c r="U29" s="668">
        <f t="shared" si="13"/>
        <v>100</v>
      </c>
      <c r="V29" s="667" t="s">
        <v>14</v>
      </c>
      <c r="W29" s="668">
        <f t="shared" si="14"/>
        <v>100</v>
      </c>
      <c r="X29" s="1265"/>
      <c r="Y29" s="338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91"/>
      <c r="Q30" s="1263">
        <f t="shared" si="11"/>
        <v>111</v>
      </c>
      <c r="R30" s="667" t="s">
        <v>14</v>
      </c>
      <c r="S30" s="668">
        <f t="shared" si="12"/>
        <v>100</v>
      </c>
      <c r="T30" s="667" t="s">
        <v>14</v>
      </c>
      <c r="U30" s="668">
        <f t="shared" si="13"/>
        <v>100</v>
      </c>
      <c r="V30" s="667" t="s">
        <v>14</v>
      </c>
      <c r="W30" s="668">
        <f t="shared" si="14"/>
        <v>100</v>
      </c>
      <c r="X30" s="1265"/>
      <c r="Y30" s="3384"/>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91"/>
      <c r="Q31" s="1263">
        <f t="shared" si="11"/>
        <v>111</v>
      </c>
      <c r="R31" s="667" t="s">
        <v>14</v>
      </c>
      <c r="S31" s="668">
        <f t="shared" si="12"/>
        <v>100</v>
      </c>
      <c r="T31" s="667" t="s">
        <v>14</v>
      </c>
      <c r="U31" s="668">
        <f t="shared" si="13"/>
        <v>100</v>
      </c>
      <c r="V31" s="667" t="s">
        <v>14</v>
      </c>
      <c r="W31" s="668">
        <f t="shared" si="14"/>
        <v>100</v>
      </c>
      <c r="X31" s="1265"/>
      <c r="Y31" s="338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2"/>
      <c r="M32" s="2487"/>
      <c r="N32" s="2487"/>
      <c r="O32" s="2487"/>
      <c r="P32" s="3385" t="s">
        <v>1696</v>
      </c>
      <c r="Q32" s="1263" t="str">
        <f t="shared" si="11"/>
        <v>商业类型</v>
      </c>
      <c r="R32" s="667" t="s">
        <v>14</v>
      </c>
      <c r="S32" s="668">
        <f t="shared" si="12"/>
        <v>100</v>
      </c>
      <c r="T32" s="667" t="s">
        <v>14</v>
      </c>
      <c r="U32" s="668">
        <f t="shared" si="13"/>
        <v>100</v>
      </c>
      <c r="V32" s="667" t="s">
        <v>14</v>
      </c>
      <c r="W32" s="668">
        <f t="shared" si="14"/>
        <v>100</v>
      </c>
      <c r="X32" s="1265"/>
      <c r="Y32" s="3388" t="s">
        <v>1696</v>
      </c>
      <c r="Z32" s="1264" t="str">
        <f t="shared" si="15"/>
        <v>商业类型</v>
      </c>
      <c r="AA32" s="1264">
        <f t="shared" si="3"/>
        <v>1</v>
      </c>
      <c r="AB32" s="1264">
        <f t="shared" si="4"/>
        <v>1</v>
      </c>
      <c r="AC32" s="1264">
        <f t="shared" si="5"/>
        <v>1</v>
      </c>
    </row>
    <row r="33" spans="1:29" s="408" customFormat="1" ht="15">
      <c r="A33" s="406"/>
      <c r="B33" s="364" t="s">
        <v>1697</v>
      </c>
      <c r="C33" s="407">
        <f>'数据-基础表'!G13</f>
        <v>166.53</v>
      </c>
      <c r="D33" s="119">
        <v>100</v>
      </c>
      <c r="E33" s="369">
        <v>230.28</v>
      </c>
      <c r="F33" s="364">
        <f>LOOKUP(E33,103:103,104:104)-LOOKUP(C33,103:103,104:104)+100</f>
        <v>99</v>
      </c>
      <c r="G33" s="368">
        <v>197.34</v>
      </c>
      <c r="H33" s="119">
        <f>LOOKUP(G33,103:103,104:104)-LOOKUP(C33,103:103,104:104)+100</f>
        <v>100</v>
      </c>
      <c r="I33" s="368">
        <v>142.36000000000001</v>
      </c>
      <c r="J33" s="119">
        <f>LOOKUP(I33,103:103,104:104)-LOOKUP(C33,103:103,104:104)+100</f>
        <v>101</v>
      </c>
      <c r="K33" s="539"/>
      <c r="L33" s="2491"/>
      <c r="M33" s="2493"/>
      <c r="N33" s="2493"/>
      <c r="O33" s="2493"/>
      <c r="P33" s="3386"/>
      <c r="Q33" s="531" t="str">
        <f t="shared" si="11"/>
        <v>项目建筑规模</v>
      </c>
      <c r="R33" s="669" t="s">
        <v>14</v>
      </c>
      <c r="S33" s="670">
        <f t="shared" si="12"/>
        <v>99</v>
      </c>
      <c r="T33" s="669" t="s">
        <v>14</v>
      </c>
      <c r="U33" s="670">
        <f t="shared" si="13"/>
        <v>100</v>
      </c>
      <c r="V33" s="669" t="s">
        <v>14</v>
      </c>
      <c r="W33" s="670">
        <f t="shared" si="14"/>
        <v>101</v>
      </c>
      <c r="X33" s="671"/>
      <c r="Y33" s="3388"/>
      <c r="Z33" s="672" t="str">
        <f t="shared" si="15"/>
        <v>项目建筑规模</v>
      </c>
      <c r="AA33" s="1264">
        <f t="shared" si="3"/>
        <v>1.0101010101010102</v>
      </c>
      <c r="AB33" s="1264">
        <f t="shared" si="4"/>
        <v>1</v>
      </c>
      <c r="AC33" s="1264">
        <f t="shared" si="5"/>
        <v>0.99009900990099009</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86"/>
      <c r="Q34" s="1263" t="str">
        <f t="shared" si="11"/>
        <v>建筑结构</v>
      </c>
      <c r="R34" s="667" t="s">
        <v>14</v>
      </c>
      <c r="S34" s="668">
        <f t="shared" si="12"/>
        <v>100</v>
      </c>
      <c r="T34" s="667" t="s">
        <v>14</v>
      </c>
      <c r="U34" s="668">
        <f t="shared" si="13"/>
        <v>100</v>
      </c>
      <c r="V34" s="667" t="s">
        <v>14</v>
      </c>
      <c r="W34" s="668">
        <f t="shared" si="14"/>
        <v>100</v>
      </c>
      <c r="X34" s="1265"/>
      <c r="Y34" s="338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2"/>
      <c r="M35" s="2487"/>
      <c r="N35" s="2487"/>
      <c r="O35" s="2487"/>
      <c r="P35" s="3386"/>
      <c r="Q35" s="1263" t="str">
        <f t="shared" si="11"/>
        <v>公共部分装修</v>
      </c>
      <c r="R35" s="667" t="s">
        <v>14</v>
      </c>
      <c r="S35" s="668">
        <f t="shared" si="12"/>
        <v>100</v>
      </c>
      <c r="T35" s="667" t="s">
        <v>14</v>
      </c>
      <c r="U35" s="668">
        <f t="shared" si="13"/>
        <v>100</v>
      </c>
      <c r="V35" s="667" t="s">
        <v>14</v>
      </c>
      <c r="W35" s="668">
        <f t="shared" si="14"/>
        <v>100</v>
      </c>
      <c r="X35" s="1265"/>
      <c r="Y35" s="3388"/>
      <c r="Z35" s="1264" t="str">
        <f t="shared" si="15"/>
        <v>公共部分装修</v>
      </c>
      <c r="AA35" s="1264">
        <f t="shared" si="3"/>
        <v>1</v>
      </c>
      <c r="AB35" s="1264">
        <f t="shared" si="4"/>
        <v>1</v>
      </c>
      <c r="AC35" s="1264">
        <f t="shared" si="5"/>
        <v>1</v>
      </c>
    </row>
    <row r="36" spans="1:29" ht="15">
      <c r="A36" s="409"/>
      <c r="B36" s="364" t="s">
        <v>1786</v>
      </c>
      <c r="C36" s="411">
        <v>0.7</v>
      </c>
      <c r="D36" s="374">
        <v>100</v>
      </c>
      <c r="E36" s="411">
        <f>C36</f>
        <v>0.7</v>
      </c>
      <c r="F36" s="400">
        <f>LOOKUP(E36,110:110,111:111)-LOOKUP(C36,110:110,111:111)+100</f>
        <v>100</v>
      </c>
      <c r="G36" s="411">
        <f>C36</f>
        <v>0.7</v>
      </c>
      <c r="H36" s="400">
        <f>LOOKUP(G36,110:110,111:111)-LOOKUP(C36,110:110,111:111)+100</f>
        <v>100</v>
      </c>
      <c r="I36" s="411">
        <f>C36</f>
        <v>0.7</v>
      </c>
      <c r="J36" s="374">
        <f>LOOKUP(I36,110:110,111:111)-LOOKUP(C36,110:110,111:111)+100</f>
        <v>100</v>
      </c>
      <c r="K36" s="538"/>
      <c r="L36" s="2492"/>
      <c r="M36" s="2487"/>
      <c r="N36" s="2487"/>
      <c r="O36" s="2487"/>
      <c r="P36" s="3386"/>
      <c r="Q36" s="1263" t="str">
        <f t="shared" si="11"/>
        <v>成新度</v>
      </c>
      <c r="R36" s="667" t="s">
        <v>14</v>
      </c>
      <c r="S36" s="668">
        <f t="shared" si="12"/>
        <v>100</v>
      </c>
      <c r="T36" s="667" t="s">
        <v>14</v>
      </c>
      <c r="U36" s="668">
        <f t="shared" si="13"/>
        <v>100</v>
      </c>
      <c r="V36" s="667" t="s">
        <v>14</v>
      </c>
      <c r="W36" s="668">
        <f t="shared" si="14"/>
        <v>100</v>
      </c>
      <c r="X36" s="1265"/>
      <c r="Y36" s="3388"/>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8"/>
      <c r="M37" s="2439"/>
      <c r="N37" s="2439"/>
      <c r="O37" s="2439"/>
      <c r="P37" s="3386"/>
      <c r="Q37" s="530" t="str">
        <f t="shared" si="11"/>
        <v>市政基础设施</v>
      </c>
      <c r="R37" s="664" t="s">
        <v>14</v>
      </c>
      <c r="S37" s="665">
        <f t="shared" si="12"/>
        <v>100</v>
      </c>
      <c r="T37" s="664" t="s">
        <v>14</v>
      </c>
      <c r="U37" s="665">
        <f t="shared" si="13"/>
        <v>100</v>
      </c>
      <c r="V37" s="664" t="s">
        <v>14</v>
      </c>
      <c r="W37" s="665">
        <f t="shared" si="14"/>
        <v>100</v>
      </c>
      <c r="X37" s="666"/>
      <c r="Y37" s="338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2"/>
      <c r="M38" s="2487"/>
      <c r="N38" s="2487"/>
      <c r="O38" s="2487"/>
      <c r="P38" s="3386" t="s">
        <v>1696</v>
      </c>
      <c r="Q38" s="1263" t="str">
        <f t="shared" si="11"/>
        <v>业态</v>
      </c>
      <c r="R38" s="667" t="s">
        <v>14</v>
      </c>
      <c r="S38" s="668">
        <f t="shared" si="12"/>
        <v>100</v>
      </c>
      <c r="T38" s="667" t="s">
        <v>14</v>
      </c>
      <c r="U38" s="668">
        <f t="shared" si="13"/>
        <v>100</v>
      </c>
      <c r="V38" s="667" t="s">
        <v>14</v>
      </c>
      <c r="W38" s="668">
        <f t="shared" si="14"/>
        <v>100</v>
      </c>
      <c r="X38" s="1265"/>
      <c r="Y38" s="338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2"/>
      <c r="M39" s="2487"/>
      <c r="N39" s="2487"/>
      <c r="O39" s="2487"/>
      <c r="P39" s="3386"/>
      <c r="Q39" s="1263" t="str">
        <f t="shared" si="11"/>
        <v>层高</v>
      </c>
      <c r="R39" s="667" t="s">
        <v>14</v>
      </c>
      <c r="S39" s="668">
        <f t="shared" si="12"/>
        <v>100</v>
      </c>
      <c r="T39" s="667" t="s">
        <v>14</v>
      </c>
      <c r="U39" s="668">
        <f t="shared" si="13"/>
        <v>100</v>
      </c>
      <c r="V39" s="667" t="s">
        <v>14</v>
      </c>
      <c r="W39" s="668">
        <f t="shared" si="14"/>
        <v>100</v>
      </c>
      <c r="X39" s="1265"/>
      <c r="Y39" s="338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86"/>
      <c r="Q40" s="1263" t="str">
        <f t="shared" si="11"/>
        <v>单套建筑面积</v>
      </c>
      <c r="R40" s="667" t="s">
        <v>14</v>
      </c>
      <c r="S40" s="668">
        <f t="shared" si="12"/>
        <v>100</v>
      </c>
      <c r="T40" s="667" t="s">
        <v>14</v>
      </c>
      <c r="U40" s="668">
        <f t="shared" si="13"/>
        <v>100</v>
      </c>
      <c r="V40" s="667" t="s">
        <v>14</v>
      </c>
      <c r="W40" s="668">
        <f t="shared" si="14"/>
        <v>100</v>
      </c>
      <c r="X40" s="1265"/>
      <c r="Y40" s="338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86"/>
      <c r="Q41" s="531" t="str">
        <f t="shared" si="11"/>
        <v>进深比</v>
      </c>
      <c r="R41" s="669" t="s">
        <v>14</v>
      </c>
      <c r="S41" s="670">
        <f t="shared" si="12"/>
        <v>100</v>
      </c>
      <c r="T41" s="669" t="s">
        <v>14</v>
      </c>
      <c r="U41" s="670">
        <f t="shared" si="13"/>
        <v>100</v>
      </c>
      <c r="V41" s="669" t="s">
        <v>14</v>
      </c>
      <c r="W41" s="670">
        <f t="shared" si="14"/>
        <v>100</v>
      </c>
      <c r="X41" s="671"/>
      <c r="Y41" s="338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2"/>
      <c r="M42" s="2487"/>
      <c r="N42" s="2487"/>
      <c r="O42" s="2487"/>
      <c r="P42" s="3386"/>
      <c r="Q42" s="1263" t="str">
        <f t="shared" si="11"/>
        <v>内部装修</v>
      </c>
      <c r="R42" s="667" t="s">
        <v>14</v>
      </c>
      <c r="S42" s="668">
        <f t="shared" si="12"/>
        <v>100</v>
      </c>
      <c r="T42" s="667" t="s">
        <v>14</v>
      </c>
      <c r="U42" s="668">
        <f t="shared" si="13"/>
        <v>100</v>
      </c>
      <c r="V42" s="667" t="s">
        <v>14</v>
      </c>
      <c r="W42" s="668">
        <f t="shared" si="14"/>
        <v>100</v>
      </c>
      <c r="X42" s="1265"/>
      <c r="Y42" s="3388"/>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2"/>
      <c r="M43" s="2487"/>
      <c r="N43" s="2487"/>
      <c r="O43" s="2487"/>
      <c r="P43" s="3386"/>
      <c r="Q43" s="1263" t="str">
        <f t="shared" si="11"/>
        <v>内部装修维护情况</v>
      </c>
      <c r="R43" s="667" t="s">
        <v>14</v>
      </c>
      <c r="S43" s="668">
        <f t="shared" si="12"/>
        <v>100</v>
      </c>
      <c r="T43" s="667" t="s">
        <v>14</v>
      </c>
      <c r="U43" s="668">
        <f t="shared" si="13"/>
        <v>100</v>
      </c>
      <c r="V43" s="667" t="s">
        <v>14</v>
      </c>
      <c r="W43" s="668">
        <f t="shared" si="14"/>
        <v>100</v>
      </c>
      <c r="X43" s="1265"/>
      <c r="Y43" s="338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86"/>
      <c r="Q44" s="530">
        <f t="shared" si="11"/>
        <v>111</v>
      </c>
      <c r="R44" s="664" t="s">
        <v>14</v>
      </c>
      <c r="S44" s="665">
        <f t="shared" si="12"/>
        <v>100</v>
      </c>
      <c r="T44" s="664" t="s">
        <v>14</v>
      </c>
      <c r="U44" s="665">
        <f t="shared" si="13"/>
        <v>100</v>
      </c>
      <c r="V44" s="664" t="s">
        <v>14</v>
      </c>
      <c r="W44" s="665">
        <f t="shared" si="14"/>
        <v>100</v>
      </c>
      <c r="X44" s="666"/>
      <c r="Y44" s="338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86"/>
      <c r="Q45" s="1263">
        <f t="shared" si="11"/>
        <v>111</v>
      </c>
      <c r="R45" s="667" t="s">
        <v>14</v>
      </c>
      <c r="S45" s="668">
        <f t="shared" si="12"/>
        <v>100</v>
      </c>
      <c r="T45" s="667" t="s">
        <v>14</v>
      </c>
      <c r="U45" s="668">
        <f t="shared" si="13"/>
        <v>100</v>
      </c>
      <c r="V45" s="667" t="s">
        <v>14</v>
      </c>
      <c r="W45" s="668">
        <f t="shared" si="14"/>
        <v>100</v>
      </c>
      <c r="X45" s="1265"/>
      <c r="Y45" s="3388"/>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87"/>
      <c r="Q46" s="1263">
        <f t="shared" si="11"/>
        <v>111</v>
      </c>
      <c r="R46" s="667" t="s">
        <v>14</v>
      </c>
      <c r="S46" s="668">
        <f t="shared" si="12"/>
        <v>100</v>
      </c>
      <c r="T46" s="667" t="s">
        <v>14</v>
      </c>
      <c r="U46" s="668">
        <f t="shared" si="13"/>
        <v>100</v>
      </c>
      <c r="V46" s="667" t="s">
        <v>14</v>
      </c>
      <c r="W46" s="668">
        <f t="shared" si="14"/>
        <v>100</v>
      </c>
      <c r="X46" s="1265"/>
      <c r="Y46" s="3389"/>
      <c r="Z46" s="1264">
        <f t="shared" si="15"/>
        <v>111</v>
      </c>
      <c r="AA46" s="1264">
        <f t="shared" si="3"/>
        <v>1</v>
      </c>
      <c r="AB46" s="1264">
        <f t="shared" si="4"/>
        <v>1</v>
      </c>
      <c r="AC46" s="1264">
        <f t="shared" si="5"/>
        <v>1</v>
      </c>
    </row>
    <row r="47" spans="1:29" ht="14.4">
      <c r="A47" s="416" t="s">
        <v>1708</v>
      </c>
      <c r="B47" s="417"/>
      <c r="C47" s="1081" t="s">
        <v>0</v>
      </c>
      <c r="D47" s="418"/>
      <c r="E47" s="419">
        <v>55019</v>
      </c>
      <c r="F47" s="420"/>
      <c r="G47" s="421">
        <v>55031</v>
      </c>
      <c r="H47" s="422"/>
      <c r="I47" s="419">
        <v>55001</v>
      </c>
      <c r="J47" s="422"/>
      <c r="K47" s="674"/>
      <c r="L47" s="2494"/>
      <c r="M47" s="2487"/>
      <c r="N47" s="2487"/>
      <c r="O47" s="2487"/>
      <c r="P47" s="3381" t="str">
        <f>A47</f>
        <v>成交单价（元/平方米）</v>
      </c>
      <c r="Q47" s="3381"/>
      <c r="R47" s="3382">
        <f>E47</f>
        <v>55019</v>
      </c>
      <c r="S47" s="3382"/>
      <c r="T47" s="3382">
        <f>G47</f>
        <v>55031</v>
      </c>
      <c r="U47" s="3382"/>
      <c r="V47" s="3382">
        <f>I47</f>
        <v>55001</v>
      </c>
      <c r="W47" s="3382"/>
      <c r="X47" s="385"/>
      <c r="Y47" s="673"/>
      <c r="Z47" s="385"/>
      <c r="AA47" s="385"/>
      <c r="AB47" s="385"/>
      <c r="AC47" s="385"/>
    </row>
    <row r="48" spans="1:29" ht="15" thickBot="1">
      <c r="A48" s="423" t="s">
        <v>1793</v>
      </c>
      <c r="B48" s="424"/>
      <c r="C48" s="1082">
        <f>R49</f>
        <v>52400</v>
      </c>
      <c r="D48" s="2141" t="s">
        <v>2138</v>
      </c>
      <c r="E48" s="1083">
        <f>R48</f>
        <v>52928</v>
      </c>
      <c r="F48" s="2142"/>
      <c r="G48" s="1082">
        <f>T48</f>
        <v>52410</v>
      </c>
      <c r="H48" s="2142"/>
      <c r="I48" s="1083">
        <f>V48</f>
        <v>51863</v>
      </c>
      <c r="J48" s="2142"/>
      <c r="K48" s="2144">
        <f>F48+H48+J48</f>
        <v>0</v>
      </c>
      <c r="L48" s="2494"/>
      <c r="M48" s="2487"/>
      <c r="N48" s="2487"/>
      <c r="O48" s="2487"/>
      <c r="P48" s="3381" t="str">
        <f>A48</f>
        <v>比较价值（元/平方米）</v>
      </c>
      <c r="Q48" s="3381"/>
      <c r="R48" s="3382">
        <f>IF(F1="售价",ROUND(PRODUCT(R47,AA7:AA46),0),ROUND(PRODUCT(R47,AA7:AA46),1))</f>
        <v>52928</v>
      </c>
      <c r="S48" s="3382"/>
      <c r="T48" s="3382">
        <f>IF(F1="售价",ROUND(PRODUCT(T47,AB7:AB46),0),ROUND(PRODUCT(T47,AB7:AB46),1))</f>
        <v>52410</v>
      </c>
      <c r="U48" s="3382"/>
      <c r="V48" s="3382">
        <f>IF(F1="售价",ROUND(PRODUCT(V47,AC7:AC46),0),ROUND(PRODUCT(V47,AC7:AC46),1))</f>
        <v>51863</v>
      </c>
      <c r="W48" s="3382"/>
      <c r="X48" s="385"/>
      <c r="Y48" s="385"/>
      <c r="Z48" s="385"/>
      <c r="AA48" s="385"/>
      <c r="AB48" s="385"/>
      <c r="AC48" s="385"/>
    </row>
    <row r="49" spans="1:29" ht="15" thickBot="1">
      <c r="A49" s="427" t="s">
        <v>1794</v>
      </c>
      <c r="B49" s="428"/>
      <c r="C49" s="351">
        <f>R49</f>
        <v>52400</v>
      </c>
      <c r="D49" s="351"/>
      <c r="E49" s="351"/>
      <c r="F49" s="351"/>
      <c r="G49" s="351"/>
      <c r="H49" s="351"/>
      <c r="I49" s="351"/>
      <c r="J49" s="351"/>
      <c r="K49" s="675"/>
      <c r="L49" s="2494"/>
      <c r="M49" s="2487"/>
      <c r="N49" s="2487"/>
      <c r="O49" s="2487"/>
      <c r="P49" s="3378" t="str">
        <f>A49</f>
        <v>估价对象XX用房的比较价值（楼面单价，元/平方米）</v>
      </c>
      <c r="Q49" s="3379"/>
      <c r="R49" s="3380">
        <f>IF(F1="售价",ROUND(IF(D48="简单平均",AVERAGE(R48:V48),R48*F48+T48*H48+V48*J48),0),ROUND(IF(D48="简单平均",AVERAGE(R48:V48),R48*F48+T48*H48+V48*J48),1))</f>
        <v>52400</v>
      </c>
      <c r="S49" s="3380"/>
      <c r="T49" s="3380"/>
      <c r="U49" s="3380"/>
      <c r="V49" s="3380"/>
      <c r="W49" s="3380"/>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3.950649939540507E-2</v>
      </c>
      <c r="F52" s="435" t="str">
        <f>IF(OR(E52&gt;=0.3,E52&lt;=-0.3),"超过30%","")</f>
        <v/>
      </c>
      <c r="G52" s="434">
        <f>IF(G47&lt;G48,G48/G47-1,G47/G48-1)</f>
        <v>5.000954016409076E-2</v>
      </c>
      <c r="H52" s="435" t="str">
        <f>IF(OR(G52&gt;=0.3,G52&lt;=-0.3),"超过30%","")</f>
        <v/>
      </c>
      <c r="I52" s="434">
        <f>IF(I47&lt;I48,I48/I47-1,I47/I48-1)</f>
        <v>6.0505562732583895E-2</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9.8836099980919023E-3</v>
      </c>
      <c r="F53" s="435" t="str">
        <f>IF(OR(E53&gt;=0.2,E53&lt;=-0.2),"超过20%","")</f>
        <v/>
      </c>
      <c r="G53" s="434">
        <f>IF(G48&lt;I48,I48/G48-1,G48/I48-1)</f>
        <v>1.0547018105393047E-2</v>
      </c>
      <c r="H53" s="435" t="str">
        <f>IF(OR(G53&gt;=0.2,G53&lt;=-0.2),"超过20%","")</f>
        <v/>
      </c>
      <c r="I53" s="434">
        <f>IF(I48&lt;E48,E48/I48-1,I48/E48-1)</f>
        <v>2.0534870717081599E-2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2.18106472309465E-4</v>
      </c>
      <c r="F54" s="435" t="str">
        <f>IF(OR(E54&gt;=0.3,E54&lt;=-0.3),"超过30%","")</f>
        <v/>
      </c>
      <c r="G54" s="434">
        <f>IF(G47&lt;I47,I47/G47-1,G47/I47-1)</f>
        <v>5.4544462827954554E-4</v>
      </c>
      <c r="H54" s="435" t="str">
        <f>IF(OR(G54&gt;=0.3,G54&lt;=-0.3),"超过30%","")</f>
        <v/>
      </c>
      <c r="I54" s="434">
        <f>IF(I47&lt;E47,E47/I47-1,I47/E47-1)</f>
        <v>3.272667769675941E-4</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3" t="str">
        <f>YEAR(C7)&amp;"-"&amp;MONTH(C7)</f>
        <v>2025-3</v>
      </c>
      <c r="D58" s="1104">
        <f>EDATE(C58,-1)</f>
        <v>45689</v>
      </c>
      <c r="E58" s="1104">
        <f t="shared" ref="E58:N58" si="16">EDATE(D58,-1)</f>
        <v>45658</v>
      </c>
      <c r="F58" s="1104">
        <f t="shared" si="16"/>
        <v>45627</v>
      </c>
      <c r="G58" s="1104">
        <f t="shared" si="16"/>
        <v>45597</v>
      </c>
      <c r="H58" s="1104">
        <f t="shared" si="16"/>
        <v>45566</v>
      </c>
      <c r="I58" s="1104">
        <f t="shared" si="16"/>
        <v>45536</v>
      </c>
      <c r="J58" s="1104">
        <f t="shared" si="16"/>
        <v>45505</v>
      </c>
      <c r="K58" s="1104">
        <f t="shared" si="16"/>
        <v>45474</v>
      </c>
      <c r="L58" s="1104">
        <f t="shared" si="16"/>
        <v>45444</v>
      </c>
      <c r="M58" s="1104">
        <f t="shared" si="16"/>
        <v>45413</v>
      </c>
      <c r="N58" s="1104">
        <f t="shared" si="16"/>
        <v>45383</v>
      </c>
      <c r="O58" s="1104">
        <f>EDATE(N58,-1)</f>
        <v>45352</v>
      </c>
      <c r="P58" s="2509"/>
      <c r="Q58" s="2510"/>
      <c r="R58" s="2510"/>
      <c r="S58" s="2510"/>
      <c r="T58" s="2510"/>
      <c r="U58" s="2510"/>
      <c r="V58" s="2510"/>
      <c r="W58" s="2510"/>
      <c r="X58" s="2510"/>
      <c r="Y58" s="2510"/>
      <c r="Z58" s="2510"/>
      <c r="AA58" s="2510"/>
      <c r="AB58" s="2510"/>
      <c r="AC58" s="2510"/>
    </row>
    <row r="59" spans="1:29" s="102" customFormat="1">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4.4">
      <c r="A61" s="455" t="s">
        <v>1681</v>
      </c>
      <c r="B61" s="444"/>
      <c r="C61" s="456" t="s">
        <v>1776</v>
      </c>
      <c r="D61" s="3156" t="s">
        <v>3456</v>
      </c>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0（含）-3</v>
      </c>
      <c r="D67" s="478" t="str">
        <f t="shared" ref="D67:L67" si="17">D68&amp;"（含）"&amp;"-"&amp;E68</f>
        <v>3（含）-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v>0</v>
      </c>
      <c r="D68" s="480">
        <v>3</v>
      </c>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4.4"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50(含)-100</v>
      </c>
      <c r="D102" s="509" t="str">
        <f t="shared" ref="D102:L102" si="23">D103&amp;"(含)"&amp;"-"&amp;E103</f>
        <v>100(含)-150</v>
      </c>
      <c r="E102" s="509" t="str">
        <f t="shared" si="23"/>
        <v>150(含)-200</v>
      </c>
      <c r="F102" s="509" t="str">
        <f t="shared" si="23"/>
        <v>200(含)-250</v>
      </c>
      <c r="G102" s="509" t="str">
        <f t="shared" si="23"/>
        <v>250(含)-300</v>
      </c>
      <c r="H102" s="509" t="str">
        <f t="shared" si="23"/>
        <v>300(含)-350</v>
      </c>
      <c r="I102" s="509" t="str">
        <f t="shared" si="23"/>
        <v>350(含)-400</v>
      </c>
      <c r="J102" s="509" t="str">
        <f t="shared" si="23"/>
        <v>400(含)-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50</v>
      </c>
      <c r="D103" s="6">
        <v>100</v>
      </c>
      <c r="E103" s="6">
        <v>150</v>
      </c>
      <c r="F103" s="6">
        <v>200</v>
      </c>
      <c r="G103" s="6">
        <v>250</v>
      </c>
      <c r="H103" s="6">
        <v>300</v>
      </c>
      <c r="I103" s="6">
        <v>350</v>
      </c>
      <c r="J103" s="524">
        <v>400</v>
      </c>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v>100</v>
      </c>
      <c r="D104" s="467">
        <f>C104-1</f>
        <v>99</v>
      </c>
      <c r="E104" s="467">
        <f t="shared" ref="E104:J104" si="24">D104-1</f>
        <v>98</v>
      </c>
      <c r="F104" s="467">
        <f t="shared" si="24"/>
        <v>97</v>
      </c>
      <c r="G104" s="467">
        <f t="shared" si="24"/>
        <v>96</v>
      </c>
      <c r="H104" s="467">
        <f t="shared" si="24"/>
        <v>95</v>
      </c>
      <c r="I104" s="467">
        <f t="shared" si="24"/>
        <v>94</v>
      </c>
      <c r="J104" s="467">
        <f t="shared" si="24"/>
        <v>93</v>
      </c>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100</v>
      </c>
      <c r="E111" s="475">
        <f t="shared" ref="E111:M111" si="27">D111+$K36</f>
        <v>100</v>
      </c>
      <c r="F111" s="475">
        <f t="shared" si="27"/>
        <v>100</v>
      </c>
      <c r="G111" s="475">
        <f t="shared" si="27"/>
        <v>100</v>
      </c>
      <c r="H111" s="475">
        <f t="shared" si="27"/>
        <v>100</v>
      </c>
      <c r="I111" s="475">
        <f t="shared" si="27"/>
        <v>100</v>
      </c>
      <c r="J111" s="475">
        <f t="shared" si="27"/>
        <v>100</v>
      </c>
      <c r="K111" s="475">
        <f t="shared" si="27"/>
        <v>100</v>
      </c>
      <c r="L111" s="475">
        <f t="shared" si="27"/>
        <v>100</v>
      </c>
      <c r="M111" s="475">
        <f t="shared" si="27"/>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29">C115-$K38</f>
        <v>100</v>
      </c>
      <c r="E115" s="475">
        <f t="shared" si="29"/>
        <v>100</v>
      </c>
      <c r="F115" s="475">
        <f t="shared" si="29"/>
        <v>100</v>
      </c>
      <c r="G115" s="475">
        <f t="shared" si="29"/>
        <v>100</v>
      </c>
      <c r="H115" s="475">
        <f t="shared" si="29"/>
        <v>100</v>
      </c>
      <c r="I115" s="475">
        <f t="shared" si="29"/>
        <v>100</v>
      </c>
      <c r="J115" s="475">
        <f t="shared" si="29"/>
        <v>100</v>
      </c>
      <c r="K115" s="475">
        <f t="shared" si="29"/>
        <v>100</v>
      </c>
      <c r="L115" s="475">
        <f t="shared" si="29"/>
        <v>100</v>
      </c>
      <c r="M115" s="476">
        <f t="shared" si="29"/>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4.4"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166.53</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29" t="s">
        <v>1775</v>
      </c>
      <c r="Q4" s="3430"/>
      <c r="R4" s="3433" t="s">
        <v>1771</v>
      </c>
      <c r="S4" s="3434"/>
      <c r="T4" s="3433" t="s">
        <v>1772</v>
      </c>
      <c r="U4" s="3434"/>
      <c r="V4" s="3435" t="s">
        <v>1773</v>
      </c>
      <c r="W4" s="3435"/>
      <c r="X4" s="1809"/>
      <c r="Y4" s="3433" t="s">
        <v>1775</v>
      </c>
      <c r="Z4" s="3434"/>
      <c r="AA4" s="3437" t="s">
        <v>1771</v>
      </c>
      <c r="AB4" s="3437" t="s">
        <v>1772</v>
      </c>
      <c r="AC4" s="3426" t="s">
        <v>1773</v>
      </c>
    </row>
    <row r="5" spans="1:29">
      <c r="A5" s="348"/>
      <c r="B5" s="349"/>
      <c r="C5" s="3414" t="s">
        <v>1673</v>
      </c>
      <c r="D5" s="3415"/>
      <c r="E5" s="3421" t="s">
        <v>1674</v>
      </c>
      <c r="F5" s="3422"/>
      <c r="G5" s="3414" t="s">
        <v>1675</v>
      </c>
      <c r="H5" s="3415"/>
      <c r="I5" s="3414" t="s">
        <v>1676</v>
      </c>
      <c r="J5" s="3415"/>
      <c r="K5" s="537"/>
      <c r="L5" s="2486"/>
      <c r="M5" s="2487"/>
      <c r="N5" s="2487"/>
      <c r="O5" s="2487"/>
      <c r="P5" s="3431"/>
      <c r="Q5" s="3403"/>
      <c r="R5" s="3408"/>
      <c r="S5" s="3409"/>
      <c r="T5" s="3408"/>
      <c r="U5" s="3409"/>
      <c r="V5" s="3382"/>
      <c r="W5" s="3382"/>
      <c r="X5" s="1265"/>
      <c r="Y5" s="3408"/>
      <c r="Z5" s="3409"/>
      <c r="AA5" s="3394"/>
      <c r="AB5" s="3394"/>
      <c r="AC5" s="3427"/>
    </row>
    <row r="6" spans="1:29" ht="15" thickBot="1">
      <c r="A6" s="350"/>
      <c r="B6" s="351"/>
      <c r="C6" s="3412" t="s">
        <v>1677</v>
      </c>
      <c r="D6" s="3413"/>
      <c r="E6" s="3419" t="s">
        <v>1677</v>
      </c>
      <c r="F6" s="3420"/>
      <c r="G6" s="3412" t="s">
        <v>1677</v>
      </c>
      <c r="H6" s="3413"/>
      <c r="I6" s="3412" t="s">
        <v>1677</v>
      </c>
      <c r="J6" s="3413"/>
      <c r="K6" s="537" t="s">
        <v>1678</v>
      </c>
      <c r="L6" s="2486"/>
      <c r="M6" s="2487"/>
      <c r="N6" s="2487"/>
      <c r="O6" s="2487"/>
      <c r="P6" s="3432"/>
      <c r="Q6" s="3405"/>
      <c r="R6" s="3408"/>
      <c r="S6" s="3409"/>
      <c r="T6" s="3410"/>
      <c r="U6" s="3411"/>
      <c r="V6" s="3382"/>
      <c r="W6" s="3382"/>
      <c r="X6" s="1265"/>
      <c r="Y6" s="3410"/>
      <c r="Z6" s="3411"/>
      <c r="AA6" s="3395"/>
      <c r="AB6" s="3395"/>
      <c r="AC6" s="3428"/>
    </row>
    <row r="7" spans="1:29" s="102" customFormat="1" ht="15" thickBot="1">
      <c r="A7" s="352" t="s">
        <v>1679</v>
      </c>
      <c r="B7" s="353"/>
      <c r="C7" s="354">
        <f>'数据-取费表'!B2</f>
        <v>45734</v>
      </c>
      <c r="D7" s="355">
        <v>100</v>
      </c>
      <c r="E7" s="356"/>
      <c r="F7" s="357">
        <f>SUMIF(59:59,YEAR(E7)&amp;"-"&amp;MONTH(E7),60:60)</f>
        <v>0</v>
      </c>
      <c r="G7" s="356"/>
      <c r="H7" s="355">
        <f>SUMIF(59:59,YEAR(G7)&amp;"-"&amp;MONTH(G7),60:60)</f>
        <v>0</v>
      </c>
      <c r="I7" s="356"/>
      <c r="J7" s="355">
        <f>SUMIF(59:59,YEAR(I7)&amp;"-"&amp;MONTH(I7),60:60)</f>
        <v>0</v>
      </c>
      <c r="K7" s="38"/>
      <c r="L7" s="2488"/>
      <c r="M7" s="2439"/>
      <c r="N7" s="2439"/>
      <c r="O7" s="2439"/>
      <c r="P7" s="343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36" t="s">
        <v>1683</v>
      </c>
      <c r="Q8" s="3417"/>
      <c r="R8" s="664" t="s">
        <v>14</v>
      </c>
      <c r="S8" s="665">
        <f t="shared" si="0"/>
        <v>100</v>
      </c>
      <c r="T8" s="664" t="s">
        <v>14</v>
      </c>
      <c r="U8" s="665">
        <f t="shared" si="1"/>
        <v>100</v>
      </c>
      <c r="V8" s="664" t="s">
        <v>14</v>
      </c>
      <c r="W8" s="665">
        <f t="shared" si="2"/>
        <v>100</v>
      </c>
      <c r="X8" s="666"/>
      <c r="Y8" s="3416" t="s">
        <v>1683</v>
      </c>
      <c r="Z8" s="3417"/>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92"/>
      <c r="Q11" s="530" t="str">
        <f t="shared" si="6"/>
        <v>容积率</v>
      </c>
      <c r="R11" s="664" t="s">
        <v>14</v>
      </c>
      <c r="S11" s="665">
        <f t="shared" si="0"/>
        <v>100</v>
      </c>
      <c r="T11" s="664" t="s">
        <v>14</v>
      </c>
      <c r="U11" s="665">
        <f t="shared" si="1"/>
        <v>100</v>
      </c>
      <c r="V11" s="664" t="s">
        <v>14</v>
      </c>
      <c r="W11" s="665">
        <f t="shared" si="2"/>
        <v>100</v>
      </c>
      <c r="X11" s="666"/>
      <c r="Y11" s="325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39"/>
      <c r="N12" s="2439"/>
      <c r="O12" s="2439"/>
      <c r="P12" s="3392"/>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392"/>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392"/>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90" t="s">
        <v>1691</v>
      </c>
      <c r="Q15" s="1263" t="str">
        <f t="shared" si="6"/>
        <v>办公集聚程度</v>
      </c>
      <c r="R15" s="667" t="s">
        <v>14</v>
      </c>
      <c r="S15" s="668">
        <f t="shared" si="0"/>
        <v>100</v>
      </c>
      <c r="T15" s="667" t="s">
        <v>14</v>
      </c>
      <c r="U15" s="668">
        <f t="shared" si="1"/>
        <v>100</v>
      </c>
      <c r="V15" s="667" t="s">
        <v>14</v>
      </c>
      <c r="W15" s="668">
        <f t="shared" si="2"/>
        <v>100</v>
      </c>
      <c r="X15" s="1265"/>
      <c r="Y15" s="3383"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391"/>
      <c r="Q16" s="1263"/>
      <c r="R16" s="667"/>
      <c r="S16" s="668"/>
      <c r="T16" s="667"/>
      <c r="U16" s="668"/>
      <c r="V16" s="667"/>
      <c r="W16" s="668"/>
      <c r="X16" s="1265"/>
      <c r="Y16" s="338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91"/>
      <c r="Q17" s="1263" t="str">
        <f>B17</f>
        <v>交通便捷度</v>
      </c>
      <c r="R17" s="667" t="s">
        <v>14</v>
      </c>
      <c r="S17" s="668">
        <f>F17</f>
        <v>100</v>
      </c>
      <c r="T17" s="667" t="s">
        <v>14</v>
      </c>
      <c r="U17" s="668">
        <f>H17</f>
        <v>100</v>
      </c>
      <c r="V17" s="667" t="s">
        <v>14</v>
      </c>
      <c r="W17" s="668">
        <f>J17</f>
        <v>100</v>
      </c>
      <c r="X17" s="1265"/>
      <c r="Y17" s="3384"/>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391"/>
      <c r="Q18" s="1263"/>
      <c r="R18" s="667"/>
      <c r="S18" s="668"/>
      <c r="T18" s="667"/>
      <c r="U18" s="668"/>
      <c r="V18" s="667"/>
      <c r="W18" s="668"/>
      <c r="X18" s="1265"/>
      <c r="Y18" s="338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91"/>
      <c r="Q19" s="1263" t="str">
        <f>B19</f>
        <v>公共配套设施</v>
      </c>
      <c r="R19" s="667" t="s">
        <v>14</v>
      </c>
      <c r="S19" s="668">
        <f>F19</f>
        <v>100</v>
      </c>
      <c r="T19" s="667" t="s">
        <v>14</v>
      </c>
      <c r="U19" s="668">
        <f>H19</f>
        <v>100</v>
      </c>
      <c r="V19" s="667" t="s">
        <v>14</v>
      </c>
      <c r="W19" s="668">
        <f>J19</f>
        <v>100</v>
      </c>
      <c r="X19" s="1265"/>
      <c r="Y19" s="3384"/>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391"/>
      <c r="Q20" s="1263"/>
      <c r="R20" s="667"/>
      <c r="S20" s="668"/>
      <c r="T20" s="667"/>
      <c r="U20" s="668"/>
      <c r="V20" s="667"/>
      <c r="W20" s="668"/>
      <c r="X20" s="1265"/>
      <c r="Y20" s="338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91"/>
      <c r="Q21" s="1263" t="str">
        <f>B21</f>
        <v>基础设施水平</v>
      </c>
      <c r="R21" s="667" t="s">
        <v>14</v>
      </c>
      <c r="S21" s="668">
        <f>F21</f>
        <v>100</v>
      </c>
      <c r="T21" s="667" t="s">
        <v>14</v>
      </c>
      <c r="U21" s="668">
        <f>H21</f>
        <v>100</v>
      </c>
      <c r="V21" s="667" t="s">
        <v>14</v>
      </c>
      <c r="W21" s="668">
        <f>J21</f>
        <v>100</v>
      </c>
      <c r="X21" s="1265"/>
      <c r="Y21" s="3384"/>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391"/>
      <c r="Q22" s="1263"/>
      <c r="R22" s="667"/>
      <c r="S22" s="668"/>
      <c r="T22" s="667"/>
      <c r="U22" s="668"/>
      <c r="V22" s="667"/>
      <c r="W22" s="668"/>
      <c r="X22" s="1265"/>
      <c r="Y22" s="338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91"/>
      <c r="Q23" s="1263" t="str">
        <f>B23</f>
        <v>环境质量</v>
      </c>
      <c r="R23" s="667" t="s">
        <v>14</v>
      </c>
      <c r="S23" s="668">
        <f>F23</f>
        <v>100</v>
      </c>
      <c r="T23" s="667" t="s">
        <v>14</v>
      </c>
      <c r="U23" s="668">
        <f>H23</f>
        <v>100</v>
      </c>
      <c r="V23" s="667" t="s">
        <v>14</v>
      </c>
      <c r="W23" s="668">
        <f>J23</f>
        <v>100</v>
      </c>
      <c r="X23" s="1265"/>
      <c r="Y23" s="3384"/>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391"/>
      <c r="Q24" s="1263"/>
      <c r="R24" s="667"/>
      <c r="S24" s="668"/>
      <c r="T24" s="667"/>
      <c r="U24" s="668"/>
      <c r="V24" s="667"/>
      <c r="W24" s="668"/>
      <c r="X24" s="1265"/>
      <c r="Y24" s="338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391"/>
      <c r="Q25" s="1263" t="str">
        <f>B25</f>
        <v>毗邻道路的类型与等级</v>
      </c>
      <c r="R25" s="667" t="s">
        <v>14</v>
      </c>
      <c r="S25" s="668">
        <f>F25</f>
        <v>100</v>
      </c>
      <c r="T25" s="667" t="s">
        <v>14</v>
      </c>
      <c r="U25" s="668">
        <f>H25</f>
        <v>100</v>
      </c>
      <c r="V25" s="667" t="s">
        <v>14</v>
      </c>
      <c r="W25" s="668">
        <f>J25</f>
        <v>100</v>
      </c>
      <c r="X25" s="1265"/>
      <c r="Y25" s="338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391"/>
      <c r="Q26" s="1263"/>
      <c r="R26" s="667"/>
      <c r="S26" s="668"/>
      <c r="T26" s="667"/>
      <c r="U26" s="668"/>
      <c r="V26" s="667"/>
      <c r="W26" s="668"/>
      <c r="X26" s="1265"/>
      <c r="Y26" s="3384"/>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91"/>
      <c r="Q27" s="1263" t="str">
        <f t="shared" ref="Q27:Q47" si="11">B27</f>
        <v>楼层</v>
      </c>
      <c r="R27" s="667" t="s">
        <v>14</v>
      </c>
      <c r="S27" s="668">
        <f>F27</f>
        <v>100</v>
      </c>
      <c r="T27" s="667" t="s">
        <v>14</v>
      </c>
      <c r="U27" s="668">
        <f>H27</f>
        <v>100</v>
      </c>
      <c r="V27" s="667" t="s">
        <v>14</v>
      </c>
      <c r="W27" s="668">
        <f>J27</f>
        <v>100</v>
      </c>
      <c r="X27" s="1265"/>
      <c r="Y27" s="3384"/>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39"/>
      <c r="N28" s="2439"/>
      <c r="O28" s="2439"/>
      <c r="P28" s="3391"/>
      <c r="Q28" s="530" t="str">
        <f t="shared" si="11"/>
        <v>朝向</v>
      </c>
      <c r="R28" s="664" t="s">
        <v>14</v>
      </c>
      <c r="S28" s="665">
        <f>F28</f>
        <v>100</v>
      </c>
      <c r="T28" s="664" t="s">
        <v>14</v>
      </c>
      <c r="U28" s="665">
        <f>H28</f>
        <v>100</v>
      </c>
      <c r="V28" s="664" t="s">
        <v>14</v>
      </c>
      <c r="W28" s="665">
        <f>J28</f>
        <v>100</v>
      </c>
      <c r="X28" s="666"/>
      <c r="Y28" s="338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391"/>
      <c r="Q29" s="1263">
        <f t="shared" si="11"/>
        <v>111</v>
      </c>
      <c r="R29" s="667" t="s">
        <v>14</v>
      </c>
      <c r="S29" s="668">
        <f t="shared" ref="S29:S47" si="12">F29</f>
        <v>100</v>
      </c>
      <c r="T29" s="667" t="s">
        <v>14</v>
      </c>
      <c r="U29" s="668">
        <f t="shared" ref="U29:U47" si="13">H29</f>
        <v>100</v>
      </c>
      <c r="V29" s="667" t="s">
        <v>14</v>
      </c>
      <c r="W29" s="668">
        <f t="shared" ref="W29:W47" si="14">J29</f>
        <v>100</v>
      </c>
      <c r="X29" s="1265"/>
      <c r="Y29" s="338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391"/>
      <c r="Q30" s="1263">
        <f t="shared" si="11"/>
        <v>111</v>
      </c>
      <c r="R30" s="667" t="s">
        <v>14</v>
      </c>
      <c r="S30" s="668">
        <f t="shared" si="12"/>
        <v>100</v>
      </c>
      <c r="T30" s="667" t="s">
        <v>14</v>
      </c>
      <c r="U30" s="668">
        <f t="shared" si="13"/>
        <v>100</v>
      </c>
      <c r="V30" s="667" t="s">
        <v>14</v>
      </c>
      <c r="W30" s="668">
        <f t="shared" si="14"/>
        <v>100</v>
      </c>
      <c r="X30" s="1265"/>
      <c r="Y30" s="338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391"/>
      <c r="Q31" s="1263">
        <f t="shared" si="11"/>
        <v>111</v>
      </c>
      <c r="R31" s="667" t="s">
        <v>14</v>
      </c>
      <c r="S31" s="668">
        <f t="shared" si="12"/>
        <v>100</v>
      </c>
      <c r="T31" s="667" t="s">
        <v>14</v>
      </c>
      <c r="U31" s="668">
        <f t="shared" si="13"/>
        <v>100</v>
      </c>
      <c r="V31" s="667" t="s">
        <v>14</v>
      </c>
      <c r="W31" s="668">
        <f t="shared" si="14"/>
        <v>100</v>
      </c>
      <c r="X31" s="1265"/>
      <c r="Y31" s="338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391"/>
      <c r="Q32" s="1263">
        <f t="shared" si="11"/>
        <v>111</v>
      </c>
      <c r="R32" s="667" t="s">
        <v>14</v>
      </c>
      <c r="S32" s="668">
        <f t="shared" si="12"/>
        <v>100</v>
      </c>
      <c r="T32" s="667" t="s">
        <v>14</v>
      </c>
      <c r="U32" s="668">
        <f t="shared" si="13"/>
        <v>100</v>
      </c>
      <c r="V32" s="667" t="s">
        <v>14</v>
      </c>
      <c r="W32" s="668">
        <f t="shared" si="14"/>
        <v>100</v>
      </c>
      <c r="X32" s="1265"/>
      <c r="Y32" s="3384"/>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385" t="s">
        <v>1696</v>
      </c>
      <c r="Q33" s="1263" t="str">
        <f t="shared" si="11"/>
        <v>建筑类型</v>
      </c>
      <c r="R33" s="667" t="s">
        <v>14</v>
      </c>
      <c r="S33" s="668">
        <f t="shared" si="12"/>
        <v>100</v>
      </c>
      <c r="T33" s="667" t="s">
        <v>14</v>
      </c>
      <c r="U33" s="668">
        <f t="shared" si="13"/>
        <v>100</v>
      </c>
      <c r="V33" s="667" t="s">
        <v>14</v>
      </c>
      <c r="W33" s="668">
        <f t="shared" si="14"/>
        <v>100</v>
      </c>
      <c r="X33" s="1265"/>
      <c r="Y33" s="3388"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86"/>
      <c r="Q34" s="531" t="str">
        <f t="shared" si="11"/>
        <v>项目建筑规模</v>
      </c>
      <c r="R34" s="669" t="s">
        <v>14</v>
      </c>
      <c r="S34" s="670" t="e">
        <f t="shared" si="12"/>
        <v>#N/A</v>
      </c>
      <c r="T34" s="669" t="s">
        <v>14</v>
      </c>
      <c r="U34" s="670" t="e">
        <f t="shared" si="13"/>
        <v>#N/A</v>
      </c>
      <c r="V34" s="669" t="s">
        <v>14</v>
      </c>
      <c r="W34" s="670" t="e">
        <f t="shared" si="14"/>
        <v>#N/A</v>
      </c>
      <c r="X34" s="671"/>
      <c r="Y34" s="3388"/>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86"/>
      <c r="Q35" s="1263" t="str">
        <f t="shared" si="11"/>
        <v>建筑结构</v>
      </c>
      <c r="R35" s="667" t="s">
        <v>14</v>
      </c>
      <c r="S35" s="668">
        <f t="shared" si="12"/>
        <v>100</v>
      </c>
      <c r="T35" s="667" t="s">
        <v>14</v>
      </c>
      <c r="U35" s="668">
        <f t="shared" si="13"/>
        <v>100</v>
      </c>
      <c r="V35" s="667" t="s">
        <v>14</v>
      </c>
      <c r="W35" s="668">
        <f t="shared" si="14"/>
        <v>100</v>
      </c>
      <c r="X35" s="1265"/>
      <c r="Y35" s="338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86"/>
      <c r="Q36" s="1263" t="str">
        <f t="shared" si="11"/>
        <v>公共部分装修</v>
      </c>
      <c r="R36" s="667" t="s">
        <v>14</v>
      </c>
      <c r="S36" s="668">
        <f t="shared" si="12"/>
        <v>100</v>
      </c>
      <c r="T36" s="667" t="s">
        <v>14</v>
      </c>
      <c r="U36" s="668">
        <f t="shared" si="13"/>
        <v>100</v>
      </c>
      <c r="V36" s="667" t="s">
        <v>14</v>
      </c>
      <c r="W36" s="668">
        <f t="shared" si="14"/>
        <v>100</v>
      </c>
      <c r="X36" s="1265"/>
      <c r="Y36" s="3388"/>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86"/>
      <c r="Q37" s="1263" t="str">
        <f t="shared" si="11"/>
        <v>成新度</v>
      </c>
      <c r="R37" s="667" t="s">
        <v>14</v>
      </c>
      <c r="S37" s="668" t="e">
        <f t="shared" si="12"/>
        <v>#N/A</v>
      </c>
      <c r="T37" s="667" t="s">
        <v>14</v>
      </c>
      <c r="U37" s="668" t="e">
        <f t="shared" si="13"/>
        <v>#N/A</v>
      </c>
      <c r="V37" s="667" t="s">
        <v>14</v>
      </c>
      <c r="W37" s="668" t="e">
        <f t="shared" si="14"/>
        <v>#N/A</v>
      </c>
      <c r="X37" s="1265"/>
      <c r="Y37" s="3388"/>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86"/>
      <c r="Q38" s="530" t="str">
        <f t="shared" si="11"/>
        <v>写字楼等级</v>
      </c>
      <c r="R38" s="664" t="s">
        <v>14</v>
      </c>
      <c r="S38" s="665">
        <f t="shared" si="12"/>
        <v>100</v>
      </c>
      <c r="T38" s="664" t="s">
        <v>14</v>
      </c>
      <c r="U38" s="665">
        <f t="shared" si="13"/>
        <v>100</v>
      </c>
      <c r="V38" s="664" t="s">
        <v>14</v>
      </c>
      <c r="W38" s="665">
        <f t="shared" si="14"/>
        <v>100</v>
      </c>
      <c r="X38" s="666"/>
      <c r="Y38" s="338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86" t="s">
        <v>1696</v>
      </c>
      <c r="Q39" s="1263" t="str">
        <f t="shared" si="11"/>
        <v>物业管理</v>
      </c>
      <c r="R39" s="667" t="s">
        <v>14</v>
      </c>
      <c r="S39" s="668">
        <f t="shared" si="12"/>
        <v>100</v>
      </c>
      <c r="T39" s="667" t="s">
        <v>14</v>
      </c>
      <c r="U39" s="668">
        <f t="shared" si="13"/>
        <v>100</v>
      </c>
      <c r="V39" s="667" t="s">
        <v>14</v>
      </c>
      <c r="W39" s="668">
        <f t="shared" si="14"/>
        <v>100</v>
      </c>
      <c r="X39" s="1265"/>
      <c r="Y39" s="3388"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86"/>
      <c r="Q40" s="1263" t="str">
        <f t="shared" si="11"/>
        <v>市政基础设施</v>
      </c>
      <c r="R40" s="667" t="s">
        <v>14</v>
      </c>
      <c r="S40" s="668">
        <f t="shared" si="12"/>
        <v>100</v>
      </c>
      <c r="T40" s="667" t="s">
        <v>14</v>
      </c>
      <c r="U40" s="668">
        <f t="shared" si="13"/>
        <v>100</v>
      </c>
      <c r="V40" s="667" t="s">
        <v>14</v>
      </c>
      <c r="W40" s="668">
        <f t="shared" si="14"/>
        <v>100</v>
      </c>
      <c r="X40" s="1265"/>
      <c r="Y40" s="3388"/>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86"/>
      <c r="Q41" s="1263" t="str">
        <f t="shared" si="11"/>
        <v>层高</v>
      </c>
      <c r="R41" s="667" t="s">
        <v>14</v>
      </c>
      <c r="S41" s="668">
        <f t="shared" si="12"/>
        <v>100</v>
      </c>
      <c r="T41" s="667" t="s">
        <v>14</v>
      </c>
      <c r="U41" s="668">
        <f t="shared" si="13"/>
        <v>100</v>
      </c>
      <c r="V41" s="667" t="s">
        <v>14</v>
      </c>
      <c r="W41" s="668">
        <f t="shared" si="14"/>
        <v>100</v>
      </c>
      <c r="X41" s="1265"/>
      <c r="Y41" s="338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86"/>
      <c r="Q42" s="531" t="str">
        <f t="shared" si="11"/>
        <v>单套建筑面积</v>
      </c>
      <c r="R42" s="669" t="s">
        <v>14</v>
      </c>
      <c r="S42" s="670">
        <f t="shared" si="12"/>
        <v>100</v>
      </c>
      <c r="T42" s="669" t="s">
        <v>14</v>
      </c>
      <c r="U42" s="670">
        <f t="shared" si="13"/>
        <v>100</v>
      </c>
      <c r="V42" s="669" t="s">
        <v>14</v>
      </c>
      <c r="W42" s="670">
        <f t="shared" si="14"/>
        <v>100</v>
      </c>
      <c r="X42" s="671"/>
      <c r="Y42" s="3388"/>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86"/>
      <c r="Q43" s="1263" t="str">
        <f t="shared" si="11"/>
        <v>内部装修</v>
      </c>
      <c r="R43" s="667" t="s">
        <v>14</v>
      </c>
      <c r="S43" s="668">
        <f t="shared" si="12"/>
        <v>100</v>
      </c>
      <c r="T43" s="667" t="s">
        <v>14</v>
      </c>
      <c r="U43" s="668">
        <f t="shared" si="13"/>
        <v>100</v>
      </c>
      <c r="V43" s="667" t="s">
        <v>14</v>
      </c>
      <c r="W43" s="668">
        <f t="shared" si="14"/>
        <v>100</v>
      </c>
      <c r="X43" s="1265"/>
      <c r="Y43" s="3388"/>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386"/>
      <c r="Q44" s="1263" t="str">
        <f t="shared" si="11"/>
        <v>内部装修维护情况</v>
      </c>
      <c r="R44" s="667" t="s">
        <v>14</v>
      </c>
      <c r="S44" s="668">
        <f t="shared" si="12"/>
        <v>100</v>
      </c>
      <c r="T44" s="667" t="s">
        <v>14</v>
      </c>
      <c r="U44" s="668">
        <f t="shared" si="13"/>
        <v>100</v>
      </c>
      <c r="V44" s="667" t="s">
        <v>14</v>
      </c>
      <c r="W44" s="668">
        <f t="shared" si="14"/>
        <v>100</v>
      </c>
      <c r="X44" s="1265"/>
      <c r="Y44" s="338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86"/>
      <c r="Q45" s="530">
        <f t="shared" si="11"/>
        <v>111</v>
      </c>
      <c r="R45" s="664" t="s">
        <v>14</v>
      </c>
      <c r="S45" s="665">
        <f t="shared" si="12"/>
        <v>100</v>
      </c>
      <c r="T45" s="664" t="s">
        <v>14</v>
      </c>
      <c r="U45" s="665">
        <f t="shared" si="13"/>
        <v>100</v>
      </c>
      <c r="V45" s="664" t="s">
        <v>14</v>
      </c>
      <c r="W45" s="665">
        <f t="shared" si="14"/>
        <v>100</v>
      </c>
      <c r="X45" s="666"/>
      <c r="Y45" s="338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86"/>
      <c r="Q46" s="1263">
        <f t="shared" si="11"/>
        <v>111</v>
      </c>
      <c r="R46" s="667" t="s">
        <v>14</v>
      </c>
      <c r="S46" s="668">
        <f t="shared" si="12"/>
        <v>100</v>
      </c>
      <c r="T46" s="667" t="s">
        <v>14</v>
      </c>
      <c r="U46" s="668">
        <f t="shared" si="13"/>
        <v>100</v>
      </c>
      <c r="V46" s="667" t="s">
        <v>14</v>
      </c>
      <c r="W46" s="668">
        <f t="shared" si="14"/>
        <v>100</v>
      </c>
      <c r="X46" s="1265"/>
      <c r="Y46" s="338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87"/>
      <c r="Q47" s="1263">
        <f t="shared" si="11"/>
        <v>111</v>
      </c>
      <c r="R47" s="667" t="s">
        <v>14</v>
      </c>
      <c r="S47" s="668">
        <f t="shared" si="12"/>
        <v>100</v>
      </c>
      <c r="T47" s="667" t="s">
        <v>14</v>
      </c>
      <c r="U47" s="668">
        <f t="shared" si="13"/>
        <v>100</v>
      </c>
      <c r="V47" s="667" t="s">
        <v>14</v>
      </c>
      <c r="W47" s="668">
        <f t="shared" si="14"/>
        <v>100</v>
      </c>
      <c r="X47" s="1265"/>
      <c r="Y47" s="3389"/>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4"/>
      <c r="M48" s="2487"/>
      <c r="N48" s="2487"/>
      <c r="O48" s="2487"/>
      <c r="P48" s="3392" t="str">
        <f>A48</f>
        <v>成交单价（元/平方米）</v>
      </c>
      <c r="Q48" s="3381"/>
      <c r="R48" s="3382">
        <f>E48</f>
        <v>0</v>
      </c>
      <c r="S48" s="3382"/>
      <c r="T48" s="3382">
        <f>G48</f>
        <v>0</v>
      </c>
      <c r="U48" s="3382"/>
      <c r="V48" s="3382">
        <f>I48</f>
        <v>0</v>
      </c>
      <c r="W48" s="3382"/>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392" t="str">
        <f>A49</f>
        <v>比较价值（元/平方米）</v>
      </c>
      <c r="Q49" s="3381"/>
      <c r="R49" s="3382" t="e">
        <f>IF(F1="售价",ROUND(PRODUCT(R48,AA7:AA47),0),ROUND(PRODUCT(R48,AA7:AA47),1))</f>
        <v>#DIV/0!</v>
      </c>
      <c r="S49" s="3382"/>
      <c r="T49" s="3382" t="e">
        <f>IF(F1="售价",ROUND(PRODUCT(T48,AB7:AB47),0),ROUND(PRODUCT(T48,AB7:AB47),1))</f>
        <v>#DIV/0!</v>
      </c>
      <c r="U49" s="3382"/>
      <c r="V49" s="3382" t="e">
        <f>IF(F1="售价",ROUND(PRODUCT(V48,AC7:AC47),0),ROUND(PRODUCT(V48,AC7:AC47),1))</f>
        <v>#DIV/0!</v>
      </c>
      <c r="W49" s="3382"/>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423" t="str">
        <f>A50</f>
        <v>估价对象XX用房的比较价值（楼面单价，元/平方米）</v>
      </c>
      <c r="Q50" s="3424"/>
      <c r="R50" s="3425" t="e">
        <f>IF(F1="售价",ROUND(IF(D49="简单平均",AVERAGE(R49:V49),R49*F49+T49*H49+V49*J49),0),ROUND(IF(D49="简单平均",AVERAGE(R49:V49),R49*F49+T49*H49+V49*J49),1))</f>
        <v>#DIV/0!</v>
      </c>
      <c r="S50" s="3425"/>
      <c r="T50" s="3425"/>
      <c r="U50" s="3425"/>
      <c r="V50" s="3425"/>
      <c r="W50" s="3425"/>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3" t="str">
        <f>YEAR(C7)&amp;"-"&amp;MONTH(C7)</f>
        <v>2025-3</v>
      </c>
      <c r="D59" s="1104">
        <f>EDATE(C59,-1)</f>
        <v>45689</v>
      </c>
      <c r="E59" s="1104">
        <f>EDATE(D59,-1)</f>
        <v>45658</v>
      </c>
      <c r="F59" s="1104">
        <f t="shared" ref="F59:O59" si="16">EDATE(E59,-1)</f>
        <v>45627</v>
      </c>
      <c r="G59" s="1104">
        <f t="shared" si="16"/>
        <v>45597</v>
      </c>
      <c r="H59" s="1104">
        <f t="shared" si="16"/>
        <v>45566</v>
      </c>
      <c r="I59" s="1104">
        <f t="shared" si="16"/>
        <v>45536</v>
      </c>
      <c r="J59" s="1104">
        <f t="shared" si="16"/>
        <v>45505</v>
      </c>
      <c r="K59" s="1104">
        <f t="shared" si="16"/>
        <v>45474</v>
      </c>
      <c r="L59" s="1104">
        <f t="shared" si="16"/>
        <v>45444</v>
      </c>
      <c r="M59" s="1104">
        <f t="shared" si="16"/>
        <v>45413</v>
      </c>
      <c r="N59" s="1104">
        <f t="shared" si="16"/>
        <v>45383</v>
      </c>
      <c r="O59" s="1104">
        <f t="shared" si="16"/>
        <v>45352</v>
      </c>
      <c r="P59" s="2527"/>
      <c r="Q59" s="2510"/>
      <c r="R59" s="2510"/>
      <c r="S59" s="2510"/>
      <c r="T59" s="2510"/>
      <c r="U59" s="2510"/>
      <c r="V59" s="2510"/>
      <c r="W59" s="2510"/>
      <c r="X59" s="2510"/>
      <c r="Y59" s="2510"/>
      <c r="Z59" s="2510"/>
      <c r="AA59" s="2510"/>
      <c r="AB59" s="2510"/>
      <c r="AC59" s="2510"/>
    </row>
    <row r="60" spans="1:29" s="102" customFormat="1">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166.53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96" t="s">
        <v>1770</v>
      </c>
      <c r="D4" s="3397"/>
      <c r="E4" s="3398" t="s">
        <v>1771</v>
      </c>
      <c r="F4" s="3399"/>
      <c r="G4" s="3396" t="s">
        <v>1772</v>
      </c>
      <c r="H4" s="3397"/>
      <c r="I4" s="3396" t="s">
        <v>1773</v>
      </c>
      <c r="J4" s="3397"/>
      <c r="K4" s="537" t="s">
        <v>1774</v>
      </c>
      <c r="L4" s="860"/>
      <c r="M4" s="861"/>
      <c r="N4" s="861"/>
      <c r="O4" s="861"/>
      <c r="P4" s="3400" t="s">
        <v>1775</v>
      </c>
      <c r="Q4" s="3401"/>
      <c r="R4" s="3406" t="s">
        <v>1771</v>
      </c>
      <c r="S4" s="3407"/>
      <c r="T4" s="3406" t="s">
        <v>1772</v>
      </c>
      <c r="U4" s="3407"/>
      <c r="V4" s="3382" t="s">
        <v>1773</v>
      </c>
      <c r="W4" s="3382"/>
      <c r="X4" s="1265"/>
      <c r="Y4" s="3406" t="s">
        <v>1775</v>
      </c>
      <c r="Z4" s="3407"/>
      <c r="AA4" s="3393" t="s">
        <v>1771</v>
      </c>
      <c r="AB4" s="3394" t="s">
        <v>1772</v>
      </c>
      <c r="AC4" s="3393" t="s">
        <v>1773</v>
      </c>
    </row>
    <row r="5" spans="1:29">
      <c r="A5" s="348"/>
      <c r="B5" s="349"/>
      <c r="C5" s="3414" t="s">
        <v>1673</v>
      </c>
      <c r="D5" s="3415"/>
      <c r="E5" s="3421" t="s">
        <v>1674</v>
      </c>
      <c r="F5" s="3422"/>
      <c r="G5" s="3414" t="s">
        <v>1675</v>
      </c>
      <c r="H5" s="3415"/>
      <c r="I5" s="3414" t="s">
        <v>1676</v>
      </c>
      <c r="J5" s="3415"/>
      <c r="K5" s="537"/>
      <c r="L5" s="860"/>
      <c r="M5" s="861"/>
      <c r="N5" s="861"/>
      <c r="O5" s="861"/>
      <c r="P5" s="3402"/>
      <c r="Q5" s="3403"/>
      <c r="R5" s="3408"/>
      <c r="S5" s="3409"/>
      <c r="T5" s="3408"/>
      <c r="U5" s="3409"/>
      <c r="V5" s="3382"/>
      <c r="W5" s="3382"/>
      <c r="X5" s="1265"/>
      <c r="Y5" s="3408"/>
      <c r="Z5" s="3409"/>
      <c r="AA5" s="3394"/>
      <c r="AB5" s="3394"/>
      <c r="AC5" s="3394"/>
    </row>
    <row r="6" spans="1:29" ht="15" thickBot="1">
      <c r="A6" s="350"/>
      <c r="B6" s="351"/>
      <c r="C6" s="3412" t="s">
        <v>1677</v>
      </c>
      <c r="D6" s="3413"/>
      <c r="E6" s="3419" t="s">
        <v>1677</v>
      </c>
      <c r="F6" s="3420"/>
      <c r="G6" s="3412" t="s">
        <v>1677</v>
      </c>
      <c r="H6" s="3413"/>
      <c r="I6" s="3412" t="s">
        <v>1677</v>
      </c>
      <c r="J6" s="3413"/>
      <c r="K6" s="537" t="s">
        <v>1678</v>
      </c>
      <c r="L6" s="860"/>
      <c r="M6" s="861"/>
      <c r="N6" s="861"/>
      <c r="O6" s="861"/>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SUMIF(52:52,YEAR(E7)&amp;"-"&amp;MONTH(E7),53:53)</f>
        <v>0</v>
      </c>
      <c r="G7" s="356"/>
      <c r="H7" s="355">
        <f>SUMIF(52:52,YEAR(G7)&amp;"-"&amp;MONTH(G7),53:53)</f>
        <v>0</v>
      </c>
      <c r="I7" s="356"/>
      <c r="J7" s="355">
        <f>SUMIF(52:52,YEAR(I7)&amp;"-"&amp;MONTH(I7),53:53)</f>
        <v>0</v>
      </c>
      <c r="K7" s="38"/>
      <c r="L7" s="862"/>
      <c r="M7" s="863"/>
      <c r="N7" s="863"/>
      <c r="O7" s="863"/>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6" t="s">
        <v>1683</v>
      </c>
      <c r="Q8" s="3417"/>
      <c r="R8" s="664" t="s">
        <v>14</v>
      </c>
      <c r="S8" s="665">
        <f t="shared" si="0"/>
        <v>100</v>
      </c>
      <c r="T8" s="664" t="s">
        <v>14</v>
      </c>
      <c r="U8" s="665">
        <f t="shared" si="1"/>
        <v>100</v>
      </c>
      <c r="V8" s="664" t="s">
        <v>14</v>
      </c>
      <c r="W8" s="665">
        <f t="shared" si="2"/>
        <v>100</v>
      </c>
      <c r="X8" s="666"/>
      <c r="Y8" s="3416" t="s">
        <v>1683</v>
      </c>
      <c r="Z8" s="3417"/>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1"/>
      <c r="Q11" s="530" t="str">
        <f t="shared" si="6"/>
        <v>容积率</v>
      </c>
      <c r="R11" s="664" t="s">
        <v>14</v>
      </c>
      <c r="S11" s="665">
        <f t="shared" si="0"/>
        <v>100</v>
      </c>
      <c r="T11" s="664" t="s">
        <v>14</v>
      </c>
      <c r="U11" s="665">
        <f t="shared" si="1"/>
        <v>100</v>
      </c>
      <c r="V11" s="664" t="s">
        <v>14</v>
      </c>
      <c r="W11" s="665">
        <f t="shared" si="2"/>
        <v>100</v>
      </c>
      <c r="X11" s="666"/>
      <c r="Y11" s="325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3" t="s">
        <v>1691</v>
      </c>
      <c r="Q15" s="1263" t="str">
        <f t="shared" si="6"/>
        <v>产业集聚程度</v>
      </c>
      <c r="R15" s="667" t="s">
        <v>14</v>
      </c>
      <c r="S15" s="668">
        <f t="shared" si="0"/>
        <v>100</v>
      </c>
      <c r="T15" s="667" t="s">
        <v>14</v>
      </c>
      <c r="U15" s="668">
        <f t="shared" si="1"/>
        <v>100</v>
      </c>
      <c r="V15" s="667" t="s">
        <v>14</v>
      </c>
      <c r="W15" s="668">
        <f t="shared" si="2"/>
        <v>100</v>
      </c>
      <c r="X15" s="1265"/>
      <c r="Y15" s="338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84"/>
      <c r="Q16" s="1263"/>
      <c r="R16" s="667"/>
      <c r="S16" s="668"/>
      <c r="T16" s="667"/>
      <c r="U16" s="668"/>
      <c r="V16" s="667"/>
      <c r="W16" s="668"/>
      <c r="X16" s="1265"/>
      <c r="Y16" s="3384"/>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4"/>
      <c r="Q17" s="1263" t="str">
        <f>B17</f>
        <v>交通便捷度</v>
      </c>
      <c r="R17" s="667" t="s">
        <v>14</v>
      </c>
      <c r="S17" s="668">
        <f>F17</f>
        <v>100</v>
      </c>
      <c r="T17" s="667" t="s">
        <v>14</v>
      </c>
      <c r="U17" s="668">
        <f>H17</f>
        <v>100</v>
      </c>
      <c r="V17" s="667" t="s">
        <v>14</v>
      </c>
      <c r="W17" s="668">
        <f>J17</f>
        <v>100</v>
      </c>
      <c r="X17" s="1265"/>
      <c r="Y17" s="338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84"/>
      <c r="Q18" s="1263"/>
      <c r="R18" s="667"/>
      <c r="S18" s="668"/>
      <c r="T18" s="667"/>
      <c r="U18" s="668"/>
      <c r="V18" s="667"/>
      <c r="W18" s="668"/>
      <c r="X18" s="1265"/>
      <c r="Y18" s="3384"/>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4"/>
      <c r="Q19" s="1263" t="str">
        <f>B19</f>
        <v>公共配套设施</v>
      </c>
      <c r="R19" s="667" t="s">
        <v>14</v>
      </c>
      <c r="S19" s="668">
        <f>F19</f>
        <v>100</v>
      </c>
      <c r="T19" s="667" t="s">
        <v>14</v>
      </c>
      <c r="U19" s="668">
        <f>H19</f>
        <v>100</v>
      </c>
      <c r="V19" s="667" t="s">
        <v>14</v>
      </c>
      <c r="W19" s="668">
        <f>J19</f>
        <v>100</v>
      </c>
      <c r="X19" s="1265"/>
      <c r="Y19" s="338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84"/>
      <c r="Q20" s="1263"/>
      <c r="R20" s="667"/>
      <c r="S20" s="668"/>
      <c r="T20" s="667"/>
      <c r="U20" s="668"/>
      <c r="V20" s="667"/>
      <c r="W20" s="668"/>
      <c r="X20" s="1265"/>
      <c r="Y20" s="3384"/>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4"/>
      <c r="Q21" s="1263" t="str">
        <f>B21</f>
        <v>基础设施水平</v>
      </c>
      <c r="R21" s="667" t="s">
        <v>14</v>
      </c>
      <c r="S21" s="668">
        <f>F21</f>
        <v>100</v>
      </c>
      <c r="T21" s="667" t="s">
        <v>14</v>
      </c>
      <c r="U21" s="668">
        <f>H21</f>
        <v>100</v>
      </c>
      <c r="V21" s="667" t="s">
        <v>14</v>
      </c>
      <c r="W21" s="668">
        <f>J21</f>
        <v>100</v>
      </c>
      <c r="X21" s="1265"/>
      <c r="Y21" s="338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84"/>
      <c r="Q22" s="1263"/>
      <c r="R22" s="667"/>
      <c r="S22" s="668"/>
      <c r="T22" s="667"/>
      <c r="U22" s="668"/>
      <c r="V22" s="667"/>
      <c r="W22" s="668"/>
      <c r="X22" s="1265"/>
      <c r="Y22" s="3384"/>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4"/>
      <c r="Q23" s="1263" t="str">
        <f>B23</f>
        <v>环境质量</v>
      </c>
      <c r="R23" s="667" t="s">
        <v>14</v>
      </c>
      <c r="S23" s="668">
        <f>F23</f>
        <v>100</v>
      </c>
      <c r="T23" s="667" t="s">
        <v>14</v>
      </c>
      <c r="U23" s="668">
        <f>H23</f>
        <v>100</v>
      </c>
      <c r="V23" s="667" t="s">
        <v>14</v>
      </c>
      <c r="W23" s="668">
        <f>J23</f>
        <v>100</v>
      </c>
      <c r="X23" s="1265"/>
      <c r="Y23" s="338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84"/>
      <c r="Q24" s="1263"/>
      <c r="R24" s="667"/>
      <c r="S24" s="668"/>
      <c r="T24" s="667"/>
      <c r="U24" s="668"/>
      <c r="V24" s="667"/>
      <c r="W24" s="668"/>
      <c r="X24" s="1265"/>
      <c r="Y24" s="338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4"/>
      <c r="Q25" s="1263">
        <f>B25</f>
        <v>111</v>
      </c>
      <c r="R25" s="667" t="s">
        <v>14</v>
      </c>
      <c r="S25" s="668">
        <f>F25</f>
        <v>100</v>
      </c>
      <c r="T25" s="667" t="s">
        <v>14</v>
      </c>
      <c r="U25" s="668">
        <f>H25</f>
        <v>100</v>
      </c>
      <c r="V25" s="667" t="s">
        <v>14</v>
      </c>
      <c r="W25" s="668">
        <f>J25</f>
        <v>100</v>
      </c>
      <c r="X25" s="1265"/>
      <c r="Y25" s="338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4"/>
      <c r="Q26" s="1263">
        <f t="shared" ref="Q26:Q40" si="11">B26</f>
        <v>111</v>
      </c>
      <c r="R26" s="667" t="s">
        <v>14</v>
      </c>
      <c r="S26" s="668">
        <f>F26</f>
        <v>100</v>
      </c>
      <c r="T26" s="667" t="s">
        <v>14</v>
      </c>
      <c r="U26" s="668">
        <f>H26</f>
        <v>100</v>
      </c>
      <c r="V26" s="667" t="s">
        <v>14</v>
      </c>
      <c r="W26" s="668">
        <f>J26</f>
        <v>100</v>
      </c>
      <c r="X26" s="1265"/>
      <c r="Y26" s="338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4"/>
      <c r="Q27" s="530">
        <f t="shared" si="11"/>
        <v>111</v>
      </c>
      <c r="R27" s="664" t="s">
        <v>14</v>
      </c>
      <c r="S27" s="665">
        <f>F27</f>
        <v>100</v>
      </c>
      <c r="T27" s="664" t="s">
        <v>14</v>
      </c>
      <c r="U27" s="665">
        <f>H27</f>
        <v>100</v>
      </c>
      <c r="V27" s="664" t="s">
        <v>14</v>
      </c>
      <c r="W27" s="665">
        <f>J27</f>
        <v>100</v>
      </c>
      <c r="X27" s="666"/>
      <c r="Y27" s="3384"/>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4"/>
      <c r="Q28" s="1263">
        <f t="shared" si="11"/>
        <v>111</v>
      </c>
      <c r="R28" s="667" t="s">
        <v>14</v>
      </c>
      <c r="S28" s="668">
        <f t="shared" ref="S28:S40" si="12">F28</f>
        <v>100</v>
      </c>
      <c r="T28" s="667" t="s">
        <v>14</v>
      </c>
      <c r="U28" s="668">
        <f t="shared" ref="U28:U40" si="13">H28</f>
        <v>100</v>
      </c>
      <c r="V28" s="667" t="s">
        <v>14</v>
      </c>
      <c r="W28" s="668">
        <f t="shared" ref="W28:W40" si="14">J28</f>
        <v>100</v>
      </c>
      <c r="X28" s="1265"/>
      <c r="Y28" s="3384"/>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8" t="s">
        <v>1696</v>
      </c>
      <c r="Q29" s="1263" t="str">
        <f t="shared" si="11"/>
        <v>建筑类型</v>
      </c>
      <c r="R29" s="667" t="s">
        <v>14</v>
      </c>
      <c r="S29" s="668">
        <f t="shared" si="12"/>
        <v>100</v>
      </c>
      <c r="T29" s="667" t="s">
        <v>14</v>
      </c>
      <c r="U29" s="668">
        <f t="shared" si="13"/>
        <v>100</v>
      </c>
      <c r="V29" s="667" t="s">
        <v>14</v>
      </c>
      <c r="W29" s="668">
        <f t="shared" si="14"/>
        <v>100</v>
      </c>
      <c r="X29" s="1265"/>
      <c r="Y29" s="338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8"/>
      <c r="Q30" s="531" t="str">
        <f t="shared" si="11"/>
        <v>项目建筑规模</v>
      </c>
      <c r="R30" s="669" t="s">
        <v>14</v>
      </c>
      <c r="S30" s="670" t="e">
        <f t="shared" si="12"/>
        <v>#N/A</v>
      </c>
      <c r="T30" s="669" t="s">
        <v>14</v>
      </c>
      <c r="U30" s="670" t="e">
        <f t="shared" si="13"/>
        <v>#N/A</v>
      </c>
      <c r="V30" s="669" t="s">
        <v>14</v>
      </c>
      <c r="W30" s="670" t="e">
        <f t="shared" si="14"/>
        <v>#N/A</v>
      </c>
      <c r="X30" s="671"/>
      <c r="Y30" s="338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8"/>
      <c r="Q31" s="1263" t="str">
        <f t="shared" si="11"/>
        <v>建筑结构</v>
      </c>
      <c r="R31" s="667" t="s">
        <v>14</v>
      </c>
      <c r="S31" s="668">
        <f t="shared" si="12"/>
        <v>100</v>
      </c>
      <c r="T31" s="667" t="s">
        <v>14</v>
      </c>
      <c r="U31" s="668">
        <f t="shared" si="13"/>
        <v>100</v>
      </c>
      <c r="V31" s="667" t="s">
        <v>14</v>
      </c>
      <c r="W31" s="668">
        <f t="shared" si="14"/>
        <v>100</v>
      </c>
      <c r="X31" s="1265"/>
      <c r="Y31" s="338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8"/>
      <c r="Q32" s="1263" t="str">
        <f t="shared" si="11"/>
        <v>公共部分装修</v>
      </c>
      <c r="R32" s="667" t="s">
        <v>14</v>
      </c>
      <c r="S32" s="668">
        <f t="shared" si="12"/>
        <v>100</v>
      </c>
      <c r="T32" s="667" t="s">
        <v>14</v>
      </c>
      <c r="U32" s="668">
        <f t="shared" si="13"/>
        <v>100</v>
      </c>
      <c r="V32" s="667" t="s">
        <v>14</v>
      </c>
      <c r="W32" s="668">
        <f t="shared" si="14"/>
        <v>100</v>
      </c>
      <c r="X32" s="1265"/>
      <c r="Y32" s="338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8"/>
      <c r="Q33" s="1263" t="str">
        <f t="shared" si="11"/>
        <v>成新度</v>
      </c>
      <c r="R33" s="667" t="s">
        <v>14</v>
      </c>
      <c r="S33" s="668" t="e">
        <f t="shared" si="12"/>
        <v>#N/A</v>
      </c>
      <c r="T33" s="667" t="s">
        <v>14</v>
      </c>
      <c r="U33" s="668" t="e">
        <f t="shared" si="13"/>
        <v>#N/A</v>
      </c>
      <c r="V33" s="667" t="s">
        <v>14</v>
      </c>
      <c r="W33" s="668" t="e">
        <f t="shared" si="14"/>
        <v>#N/A</v>
      </c>
      <c r="X33" s="1265"/>
      <c r="Y33" s="338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8"/>
      <c r="Q34" s="530" t="str">
        <f t="shared" si="11"/>
        <v>物业管理</v>
      </c>
      <c r="R34" s="664" t="s">
        <v>14</v>
      </c>
      <c r="S34" s="665">
        <f t="shared" si="12"/>
        <v>100</v>
      </c>
      <c r="T34" s="664" t="s">
        <v>14</v>
      </c>
      <c r="U34" s="665">
        <f t="shared" si="13"/>
        <v>100</v>
      </c>
      <c r="V34" s="664" t="s">
        <v>14</v>
      </c>
      <c r="W34" s="665">
        <f t="shared" si="14"/>
        <v>100</v>
      </c>
      <c r="X34" s="666"/>
      <c r="Y34" s="338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8" t="s">
        <v>1696</v>
      </c>
      <c r="Q35" s="1263" t="str">
        <f t="shared" si="11"/>
        <v>市政基础设施</v>
      </c>
      <c r="R35" s="667" t="s">
        <v>14</v>
      </c>
      <c r="S35" s="668">
        <f t="shared" si="12"/>
        <v>100</v>
      </c>
      <c r="T35" s="667" t="s">
        <v>14</v>
      </c>
      <c r="U35" s="668">
        <f t="shared" si="13"/>
        <v>100</v>
      </c>
      <c r="V35" s="667" t="s">
        <v>14</v>
      </c>
      <c r="W35" s="668">
        <f t="shared" si="14"/>
        <v>100</v>
      </c>
      <c r="X35" s="1265"/>
      <c r="Y35" s="338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8"/>
      <c r="Q36" s="1263" t="str">
        <f t="shared" si="11"/>
        <v>内部装修</v>
      </c>
      <c r="R36" s="667" t="s">
        <v>14</v>
      </c>
      <c r="S36" s="668">
        <f t="shared" si="12"/>
        <v>100</v>
      </c>
      <c r="T36" s="667" t="s">
        <v>14</v>
      </c>
      <c r="U36" s="668">
        <f t="shared" si="13"/>
        <v>100</v>
      </c>
      <c r="V36" s="667" t="s">
        <v>14</v>
      </c>
      <c r="W36" s="668">
        <f t="shared" si="14"/>
        <v>100</v>
      </c>
      <c r="X36" s="1265"/>
      <c r="Y36" s="338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8"/>
      <c r="Q37" s="1263" t="str">
        <f t="shared" si="11"/>
        <v>内部装修状况</v>
      </c>
      <c r="R37" s="667" t="s">
        <v>14</v>
      </c>
      <c r="S37" s="668">
        <f t="shared" si="12"/>
        <v>100</v>
      </c>
      <c r="T37" s="667" t="s">
        <v>14</v>
      </c>
      <c r="U37" s="668">
        <f t="shared" si="13"/>
        <v>100</v>
      </c>
      <c r="V37" s="667" t="s">
        <v>14</v>
      </c>
      <c r="W37" s="668">
        <f t="shared" si="14"/>
        <v>100</v>
      </c>
      <c r="X37" s="1265"/>
      <c r="Y37" s="338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8"/>
      <c r="Q38" s="531">
        <f t="shared" si="11"/>
        <v>111</v>
      </c>
      <c r="R38" s="669" t="s">
        <v>14</v>
      </c>
      <c r="S38" s="670">
        <f t="shared" si="12"/>
        <v>100</v>
      </c>
      <c r="T38" s="669" t="s">
        <v>14</v>
      </c>
      <c r="U38" s="670">
        <f t="shared" si="13"/>
        <v>100</v>
      </c>
      <c r="V38" s="669" t="s">
        <v>14</v>
      </c>
      <c r="W38" s="670">
        <f t="shared" si="14"/>
        <v>100</v>
      </c>
      <c r="X38" s="671"/>
      <c r="Y38" s="338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8"/>
      <c r="Q39" s="1263">
        <f t="shared" si="11"/>
        <v>111</v>
      </c>
      <c r="R39" s="667" t="s">
        <v>14</v>
      </c>
      <c r="S39" s="668">
        <f t="shared" si="12"/>
        <v>100</v>
      </c>
      <c r="T39" s="667" t="s">
        <v>14</v>
      </c>
      <c r="U39" s="668">
        <f t="shared" si="13"/>
        <v>100</v>
      </c>
      <c r="V39" s="667" t="s">
        <v>14</v>
      </c>
      <c r="W39" s="668">
        <f t="shared" si="14"/>
        <v>100</v>
      </c>
      <c r="X39" s="1265"/>
      <c r="Y39" s="3388"/>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9"/>
      <c r="Q40" s="1263">
        <f t="shared" si="11"/>
        <v>111</v>
      </c>
      <c r="R40" s="667" t="s">
        <v>14</v>
      </c>
      <c r="S40" s="668">
        <f t="shared" si="12"/>
        <v>100</v>
      </c>
      <c r="T40" s="667" t="s">
        <v>14</v>
      </c>
      <c r="U40" s="668">
        <f t="shared" si="13"/>
        <v>100</v>
      </c>
      <c r="V40" s="667" t="s">
        <v>14</v>
      </c>
      <c r="W40" s="668">
        <f t="shared" si="14"/>
        <v>100</v>
      </c>
      <c r="X40" s="1265"/>
      <c r="Y40" s="3389"/>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81" t="str">
        <f>A41</f>
        <v>成交单价（元/平方米）</v>
      </c>
      <c r="Q41" s="3381"/>
      <c r="R41" s="3382">
        <f>E41</f>
        <v>0</v>
      </c>
      <c r="S41" s="3382"/>
      <c r="T41" s="3382">
        <f>G41</f>
        <v>0</v>
      </c>
      <c r="U41" s="3382"/>
      <c r="V41" s="3382">
        <f>I41</f>
        <v>0</v>
      </c>
      <c r="W41" s="3382"/>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81" t="str">
        <f>A42</f>
        <v>比较价值（元/平方米）</v>
      </c>
      <c r="Q42" s="3381"/>
      <c r="R42" s="3382" t="e">
        <f>IF(F1="售价",ROUND(PRODUCT(R41,AA7:AA40),0),ROUND(PRODUCT(R41,AA7:AA40),1))</f>
        <v>#DIV/0!</v>
      </c>
      <c r="S42" s="3382"/>
      <c r="T42" s="3382" t="e">
        <f>IF(F1="售价",ROUND(PRODUCT(T41,AB7:AB40),0),ROUND(PRODUCT(T41,AB7:AB40),1))</f>
        <v>#DIV/0!</v>
      </c>
      <c r="U42" s="3382"/>
      <c r="V42" s="3382" t="e">
        <f>IF(F1="售价",ROUND(PRODUCT(V41,AC7:AC40),0),ROUND(PRODUCT(V41,AC7:AC40),1))</f>
        <v>#DIV/0!</v>
      </c>
      <c r="W42" s="3382"/>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78" t="str">
        <f>A43</f>
        <v>估价对象XX用房的比较价值（楼面单价，元/平方米）</v>
      </c>
      <c r="Q43" s="3379"/>
      <c r="R43" s="3380" t="e">
        <f>IF(F1="售价",ROUND(IF(D42="简单平均",AVERAGE(R42:V42),R42*F42+T42*H42+V42*J42),0),ROUND(IF(D42="简单平均",AVERAGE(R42:V42),R42*F42+T42*H42+V42*J42),1))</f>
        <v>#DIV/0!</v>
      </c>
      <c r="S43" s="3380"/>
      <c r="T43" s="3380"/>
      <c r="U43" s="3380"/>
      <c r="V43" s="3380"/>
      <c r="W43" s="3380"/>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2025-3</v>
      </c>
      <c r="D52" s="1104">
        <f>EDATE(C52,-1)</f>
        <v>45689</v>
      </c>
      <c r="E52" s="1104">
        <f t="shared" ref="E52:O52" si="16">EDATE(D52,-1)</f>
        <v>45658</v>
      </c>
      <c r="F52" s="1104">
        <f t="shared" si="16"/>
        <v>45627</v>
      </c>
      <c r="G52" s="1104">
        <f t="shared" si="16"/>
        <v>45597</v>
      </c>
      <c r="H52" s="1104">
        <f t="shared" si="16"/>
        <v>45566</v>
      </c>
      <c r="I52" s="1104">
        <f t="shared" si="16"/>
        <v>45536</v>
      </c>
      <c r="J52" s="1104">
        <f t="shared" si="16"/>
        <v>45505</v>
      </c>
      <c r="K52" s="1104">
        <f t="shared" si="16"/>
        <v>45474</v>
      </c>
      <c r="L52" s="1104">
        <f t="shared" si="16"/>
        <v>45444</v>
      </c>
      <c r="M52" s="1104">
        <f t="shared" si="16"/>
        <v>45413</v>
      </c>
      <c r="N52" s="1104">
        <f t="shared" si="16"/>
        <v>45383</v>
      </c>
      <c r="O52" s="1104">
        <f t="shared" si="16"/>
        <v>45352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00" t="s">
        <v>1775</v>
      </c>
      <c r="Q4" s="3401"/>
      <c r="R4" s="3406" t="s">
        <v>1771</v>
      </c>
      <c r="S4" s="3407"/>
      <c r="T4" s="3406" t="s">
        <v>1772</v>
      </c>
      <c r="U4" s="3407"/>
      <c r="V4" s="3382" t="s">
        <v>1773</v>
      </c>
      <c r="W4" s="3382"/>
      <c r="X4" s="1265"/>
      <c r="Y4" s="3406" t="s">
        <v>1775</v>
      </c>
      <c r="Z4" s="3407"/>
      <c r="AA4" s="3393" t="s">
        <v>1771</v>
      </c>
      <c r="AB4" s="3394" t="s">
        <v>1772</v>
      </c>
      <c r="AC4" s="3393" t="s">
        <v>1773</v>
      </c>
    </row>
    <row r="5" spans="1:29">
      <c r="A5" s="348"/>
      <c r="B5" s="349"/>
      <c r="C5" s="3414" t="s">
        <v>1673</v>
      </c>
      <c r="D5" s="3415"/>
      <c r="E5" s="3421" t="s">
        <v>1674</v>
      </c>
      <c r="F5" s="3422"/>
      <c r="G5" s="3414" t="s">
        <v>1675</v>
      </c>
      <c r="H5" s="3415"/>
      <c r="I5" s="3414" t="s">
        <v>1676</v>
      </c>
      <c r="J5" s="3415"/>
      <c r="K5" s="537"/>
      <c r="L5" s="2486"/>
      <c r="M5" s="2487"/>
      <c r="N5" s="2487"/>
      <c r="O5" s="2487"/>
      <c r="P5" s="3402"/>
      <c r="Q5" s="3403"/>
      <c r="R5" s="3408"/>
      <c r="S5" s="3409"/>
      <c r="T5" s="3408"/>
      <c r="U5" s="3409"/>
      <c r="V5" s="3382"/>
      <c r="W5" s="3382"/>
      <c r="X5" s="1265"/>
      <c r="Y5" s="3408"/>
      <c r="Z5" s="3409"/>
      <c r="AA5" s="3394"/>
      <c r="AB5" s="3394"/>
      <c r="AC5" s="3394"/>
    </row>
    <row r="6" spans="1:29" ht="15" thickBot="1">
      <c r="A6" s="350"/>
      <c r="B6" s="351"/>
      <c r="C6" s="3412" t="s">
        <v>1677</v>
      </c>
      <c r="D6" s="3413"/>
      <c r="E6" s="3419" t="s">
        <v>1677</v>
      </c>
      <c r="F6" s="3420"/>
      <c r="G6" s="3412" t="s">
        <v>1677</v>
      </c>
      <c r="H6" s="3413"/>
      <c r="I6" s="3412" t="s">
        <v>1677</v>
      </c>
      <c r="J6" s="3413"/>
      <c r="K6" s="537" t="s">
        <v>1678</v>
      </c>
      <c r="L6" s="2486"/>
      <c r="M6" s="2487"/>
      <c r="N6" s="2487"/>
      <c r="O6" s="2487"/>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SUMIF(48:48,YEAR(E7)&amp;"-"&amp;MONTH(E7),49:49)</f>
        <v>0</v>
      </c>
      <c r="G7" s="356"/>
      <c r="H7" s="355">
        <f>SUMIF(48:48,YEAR(G7)&amp;"-"&amp;MONTH(G7),49:49)</f>
        <v>0</v>
      </c>
      <c r="I7" s="356"/>
      <c r="J7" s="355">
        <f>SUMIF(48:48,YEAR(I7)&amp;"-"&amp;MONTH(I7),49:49)</f>
        <v>0</v>
      </c>
      <c r="K7" s="38"/>
      <c r="L7" s="2488"/>
      <c r="M7" s="2439"/>
      <c r="N7" s="2439"/>
      <c r="O7" s="2439"/>
      <c r="P7" s="3416" t="s">
        <v>1680</v>
      </c>
      <c r="Q7" s="3418"/>
      <c r="R7" s="664" t="s">
        <v>14</v>
      </c>
      <c r="S7" s="665">
        <f t="shared" ref="S7:S14" si="0">F7</f>
        <v>0</v>
      </c>
      <c r="T7" s="664" t="s">
        <v>14</v>
      </c>
      <c r="U7" s="665">
        <f t="shared" ref="U7:U14" si="1">H7</f>
        <v>0</v>
      </c>
      <c r="V7" s="664" t="s">
        <v>14</v>
      </c>
      <c r="W7" s="665">
        <f t="shared" ref="W7:W14" si="2">J7</f>
        <v>0</v>
      </c>
      <c r="X7" s="666"/>
      <c r="Y7" s="3416" t="s">
        <v>1680</v>
      </c>
      <c r="Z7" s="3417"/>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16" t="s">
        <v>1683</v>
      </c>
      <c r="Q8" s="3417"/>
      <c r="R8" s="664" t="s">
        <v>14</v>
      </c>
      <c r="S8" s="665">
        <f t="shared" si="0"/>
        <v>100</v>
      </c>
      <c r="T8" s="664" t="s">
        <v>14</v>
      </c>
      <c r="U8" s="665">
        <f t="shared" si="1"/>
        <v>100</v>
      </c>
      <c r="V8" s="664" t="s">
        <v>14</v>
      </c>
      <c r="W8" s="665">
        <f t="shared" si="2"/>
        <v>100</v>
      </c>
      <c r="X8" s="666"/>
      <c r="Y8" s="3416" t="s">
        <v>1683</v>
      </c>
      <c r="Z8" s="3417"/>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81" t="s">
        <v>1686</v>
      </c>
      <c r="Q9" s="530" t="str">
        <f t="shared" ref="Q9:Q14" si="6">B9</f>
        <v>用途</v>
      </c>
      <c r="R9" s="664" t="s">
        <v>14</v>
      </c>
      <c r="S9" s="665">
        <f t="shared" si="0"/>
        <v>100</v>
      </c>
      <c r="T9" s="664" t="s">
        <v>14</v>
      </c>
      <c r="U9" s="665">
        <f t="shared" si="1"/>
        <v>100</v>
      </c>
      <c r="V9" s="664" t="s">
        <v>14</v>
      </c>
      <c r="W9" s="665">
        <f t="shared" si="2"/>
        <v>100</v>
      </c>
      <c r="X9" s="666"/>
      <c r="Y9" s="3256"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81"/>
      <c r="Q11" s="530">
        <f t="shared" si="6"/>
        <v>111</v>
      </c>
      <c r="R11" s="664" t="s">
        <v>14</v>
      </c>
      <c r="S11" s="665">
        <f t="shared" si="0"/>
        <v>100</v>
      </c>
      <c r="T11" s="664" t="s">
        <v>14</v>
      </c>
      <c r="U11" s="665">
        <f t="shared" si="1"/>
        <v>100</v>
      </c>
      <c r="V11" s="664" t="s">
        <v>14</v>
      </c>
      <c r="W11" s="665">
        <f t="shared" si="2"/>
        <v>100</v>
      </c>
      <c r="X11" s="666"/>
      <c r="Y11" s="325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83" t="s">
        <v>1691</v>
      </c>
      <c r="Q14" s="1263" t="str">
        <f t="shared" si="6"/>
        <v>交通便捷度</v>
      </c>
      <c r="R14" s="667" t="s">
        <v>14</v>
      </c>
      <c r="S14" s="668">
        <f t="shared" si="0"/>
        <v>100</v>
      </c>
      <c r="T14" s="667" t="s">
        <v>14</v>
      </c>
      <c r="U14" s="668">
        <f t="shared" si="1"/>
        <v>100</v>
      </c>
      <c r="V14" s="667" t="s">
        <v>14</v>
      </c>
      <c r="W14" s="668">
        <f t="shared" si="2"/>
        <v>100</v>
      </c>
      <c r="X14" s="1265"/>
      <c r="Y14" s="338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384"/>
      <c r="Q15" s="1263"/>
      <c r="R15" s="667"/>
      <c r="S15" s="668"/>
      <c r="T15" s="667"/>
      <c r="U15" s="668"/>
      <c r="V15" s="667"/>
      <c r="W15" s="668"/>
      <c r="X15" s="1265"/>
      <c r="Y15" s="3384"/>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84"/>
      <c r="Q16" s="1263" t="str">
        <f>B16</f>
        <v>公共配套设施</v>
      </c>
      <c r="R16" s="667" t="s">
        <v>14</v>
      </c>
      <c r="S16" s="668">
        <f>F16</f>
        <v>100</v>
      </c>
      <c r="T16" s="667" t="s">
        <v>14</v>
      </c>
      <c r="U16" s="668">
        <f>H16</f>
        <v>100</v>
      </c>
      <c r="V16" s="667" t="s">
        <v>14</v>
      </c>
      <c r="W16" s="668">
        <f>J16</f>
        <v>100</v>
      </c>
      <c r="X16" s="1265"/>
      <c r="Y16" s="338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384"/>
      <c r="Q17" s="1263"/>
      <c r="R17" s="667"/>
      <c r="S17" s="668"/>
      <c r="T17" s="667"/>
      <c r="U17" s="668"/>
      <c r="V17" s="667"/>
      <c r="W17" s="668"/>
      <c r="X17" s="1265"/>
      <c r="Y17" s="3384"/>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84"/>
      <c r="Q18" s="1263" t="str">
        <f>B18</f>
        <v>基础设施水平</v>
      </c>
      <c r="R18" s="667" t="s">
        <v>14</v>
      </c>
      <c r="S18" s="668">
        <f>F18</f>
        <v>100</v>
      </c>
      <c r="T18" s="667" t="s">
        <v>14</v>
      </c>
      <c r="U18" s="668">
        <f>H18</f>
        <v>100</v>
      </c>
      <c r="V18" s="667" t="s">
        <v>14</v>
      </c>
      <c r="W18" s="668">
        <f>J18</f>
        <v>100</v>
      </c>
      <c r="X18" s="1265"/>
      <c r="Y18" s="338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384"/>
      <c r="Q19" s="1263"/>
      <c r="R19" s="667"/>
      <c r="S19" s="668"/>
      <c r="T19" s="667"/>
      <c r="U19" s="668"/>
      <c r="V19" s="667"/>
      <c r="W19" s="668"/>
      <c r="X19" s="1265"/>
      <c r="Y19" s="3384"/>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84"/>
      <c r="Q20" s="1263" t="str">
        <f>B20</f>
        <v>自然及人文环境</v>
      </c>
      <c r="R20" s="667" t="s">
        <v>14</v>
      </c>
      <c r="S20" s="668">
        <f>F20</f>
        <v>100</v>
      </c>
      <c r="T20" s="667" t="s">
        <v>14</v>
      </c>
      <c r="U20" s="668">
        <f>H20</f>
        <v>100</v>
      </c>
      <c r="V20" s="667" t="s">
        <v>14</v>
      </c>
      <c r="W20" s="668">
        <f>J20</f>
        <v>100</v>
      </c>
      <c r="X20" s="1265"/>
      <c r="Y20" s="338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384"/>
      <c r="Q21" s="1263"/>
      <c r="R21" s="667"/>
      <c r="S21" s="668"/>
      <c r="T21" s="667"/>
      <c r="U21" s="668"/>
      <c r="V21" s="667"/>
      <c r="W21" s="668"/>
      <c r="X21" s="1265"/>
      <c r="Y21" s="338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84"/>
      <c r="Q22" s="1263" t="str">
        <f>B22</f>
        <v>楼层</v>
      </c>
      <c r="R22" s="667" t="s">
        <v>14</v>
      </c>
      <c r="S22" s="668">
        <f>F22</f>
        <v>100</v>
      </c>
      <c r="T22" s="667" t="s">
        <v>14</v>
      </c>
      <c r="U22" s="668">
        <f>H22</f>
        <v>100</v>
      </c>
      <c r="V22" s="667" t="s">
        <v>14</v>
      </c>
      <c r="W22" s="668">
        <f>J22</f>
        <v>100</v>
      </c>
      <c r="X22" s="1265"/>
      <c r="Y22" s="338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84"/>
      <c r="Q23" s="1263">
        <f>B23</f>
        <v>111</v>
      </c>
      <c r="R23" s="667" t="s">
        <v>14</v>
      </c>
      <c r="S23" s="668">
        <f>F23</f>
        <v>100</v>
      </c>
      <c r="T23" s="667" t="s">
        <v>14</v>
      </c>
      <c r="U23" s="668">
        <f>H23</f>
        <v>100</v>
      </c>
      <c r="V23" s="667" t="s">
        <v>14</v>
      </c>
      <c r="W23" s="668">
        <f>J23</f>
        <v>100</v>
      </c>
      <c r="X23" s="1265"/>
      <c r="Y23" s="338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84"/>
      <c r="Q24" s="1263">
        <f t="shared" ref="Q24:Q36" si="11">B24</f>
        <v>111</v>
      </c>
      <c r="R24" s="667" t="s">
        <v>14</v>
      </c>
      <c r="S24" s="668">
        <f>F24</f>
        <v>100</v>
      </c>
      <c r="T24" s="667" t="s">
        <v>14</v>
      </c>
      <c r="U24" s="668">
        <f>H24</f>
        <v>100</v>
      </c>
      <c r="V24" s="667" t="s">
        <v>14</v>
      </c>
      <c r="W24" s="668">
        <f>J24</f>
        <v>100</v>
      </c>
      <c r="X24" s="1265"/>
      <c r="Y24" s="3384"/>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84"/>
      <c r="Q25" s="530">
        <f t="shared" si="11"/>
        <v>111</v>
      </c>
      <c r="R25" s="664" t="s">
        <v>14</v>
      </c>
      <c r="S25" s="665">
        <f>F25</f>
        <v>100</v>
      </c>
      <c r="T25" s="664" t="s">
        <v>14</v>
      </c>
      <c r="U25" s="665">
        <f>H25</f>
        <v>100</v>
      </c>
      <c r="V25" s="664" t="s">
        <v>14</v>
      </c>
      <c r="W25" s="665">
        <f>J25</f>
        <v>100</v>
      </c>
      <c r="X25" s="666"/>
      <c r="Y25" s="3384"/>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3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8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88"/>
      <c r="Q27" s="531" t="str">
        <f t="shared" si="11"/>
        <v>项目停车位配比</v>
      </c>
      <c r="R27" s="669" t="s">
        <v>14</v>
      </c>
      <c r="S27" s="670">
        <f t="shared" si="12"/>
        <v>100</v>
      </c>
      <c r="T27" s="669" t="s">
        <v>14</v>
      </c>
      <c r="U27" s="670">
        <f t="shared" si="13"/>
        <v>100</v>
      </c>
      <c r="V27" s="669" t="s">
        <v>14</v>
      </c>
      <c r="W27" s="670">
        <f t="shared" si="14"/>
        <v>100</v>
      </c>
      <c r="X27" s="671"/>
      <c r="Y27" s="338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88"/>
      <c r="Q28" s="1263" t="str">
        <f t="shared" si="11"/>
        <v>公共部分装修</v>
      </c>
      <c r="R28" s="667" t="s">
        <v>14</v>
      </c>
      <c r="S28" s="668">
        <f t="shared" si="12"/>
        <v>100</v>
      </c>
      <c r="T28" s="667" t="s">
        <v>14</v>
      </c>
      <c r="U28" s="668">
        <f t="shared" si="13"/>
        <v>100</v>
      </c>
      <c r="V28" s="667" t="s">
        <v>14</v>
      </c>
      <c r="W28" s="668">
        <f t="shared" si="14"/>
        <v>100</v>
      </c>
      <c r="X28" s="1265"/>
      <c r="Y28" s="338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88"/>
      <c r="Q29" s="1263" t="str">
        <f t="shared" si="11"/>
        <v>成新率</v>
      </c>
      <c r="R29" s="667" t="s">
        <v>14</v>
      </c>
      <c r="S29" s="668" t="e">
        <f t="shared" si="12"/>
        <v>#N/A</v>
      </c>
      <c r="T29" s="667" t="s">
        <v>14</v>
      </c>
      <c r="U29" s="668" t="e">
        <f t="shared" si="13"/>
        <v>#N/A</v>
      </c>
      <c r="V29" s="667" t="s">
        <v>14</v>
      </c>
      <c r="W29" s="668" t="e">
        <f t="shared" si="14"/>
        <v>#N/A</v>
      </c>
      <c r="X29" s="1265"/>
      <c r="Y29" s="338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88"/>
      <c r="Q30" s="1263" t="str">
        <f t="shared" si="11"/>
        <v>物业等级</v>
      </c>
      <c r="R30" s="667" t="s">
        <v>14</v>
      </c>
      <c r="S30" s="668">
        <f t="shared" si="12"/>
        <v>100</v>
      </c>
      <c r="T30" s="667" t="s">
        <v>14</v>
      </c>
      <c r="U30" s="668">
        <f t="shared" si="13"/>
        <v>100</v>
      </c>
      <c r="V30" s="667" t="s">
        <v>14</v>
      </c>
      <c r="W30" s="668">
        <f t="shared" si="14"/>
        <v>100</v>
      </c>
      <c r="X30" s="1265"/>
      <c r="Y30" s="338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88"/>
      <c r="Q31" s="530" t="str">
        <f t="shared" si="11"/>
        <v>停车位面积</v>
      </c>
      <c r="R31" s="664" t="s">
        <v>14</v>
      </c>
      <c r="S31" s="665" t="e">
        <f t="shared" si="12"/>
        <v>#N/A</v>
      </c>
      <c r="T31" s="664" t="s">
        <v>14</v>
      </c>
      <c r="U31" s="665" t="e">
        <f t="shared" si="13"/>
        <v>#N/A</v>
      </c>
      <c r="V31" s="664" t="s">
        <v>14</v>
      </c>
      <c r="W31" s="665" t="e">
        <f t="shared" si="14"/>
        <v>#N/A</v>
      </c>
      <c r="X31" s="666"/>
      <c r="Y31" s="338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88" t="s">
        <v>1696</v>
      </c>
      <c r="Q32" s="1263" t="str">
        <f t="shared" si="11"/>
        <v>车位类型</v>
      </c>
      <c r="R32" s="667" t="s">
        <v>14</v>
      </c>
      <c r="S32" s="668">
        <f t="shared" si="12"/>
        <v>100</v>
      </c>
      <c r="T32" s="667" t="s">
        <v>14</v>
      </c>
      <c r="U32" s="668">
        <f t="shared" si="13"/>
        <v>100</v>
      </c>
      <c r="V32" s="667" t="s">
        <v>14</v>
      </c>
      <c r="W32" s="668">
        <f t="shared" si="14"/>
        <v>100</v>
      </c>
      <c r="X32" s="1265"/>
      <c r="Y32" s="338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88"/>
      <c r="Q33" s="1263" t="str">
        <f t="shared" si="11"/>
        <v>是否直接入户</v>
      </c>
      <c r="R33" s="667" t="s">
        <v>14</v>
      </c>
      <c r="S33" s="668">
        <f t="shared" si="12"/>
        <v>100</v>
      </c>
      <c r="T33" s="667" t="s">
        <v>14</v>
      </c>
      <c r="U33" s="668">
        <f t="shared" si="13"/>
        <v>100</v>
      </c>
      <c r="V33" s="667" t="s">
        <v>14</v>
      </c>
      <c r="W33" s="668">
        <f t="shared" si="14"/>
        <v>100</v>
      </c>
      <c r="X33" s="1265"/>
      <c r="Y33" s="338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88"/>
      <c r="Q34" s="1263">
        <f t="shared" si="11"/>
        <v>111</v>
      </c>
      <c r="R34" s="667" t="s">
        <v>14</v>
      </c>
      <c r="S34" s="668">
        <f t="shared" si="12"/>
        <v>100</v>
      </c>
      <c r="T34" s="667" t="s">
        <v>14</v>
      </c>
      <c r="U34" s="668">
        <f t="shared" si="13"/>
        <v>100</v>
      </c>
      <c r="V34" s="667" t="s">
        <v>14</v>
      </c>
      <c r="W34" s="668">
        <f t="shared" si="14"/>
        <v>100</v>
      </c>
      <c r="X34" s="1265"/>
      <c r="Y34" s="338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88"/>
      <c r="Q35" s="531">
        <f t="shared" si="11"/>
        <v>111</v>
      </c>
      <c r="R35" s="669" t="s">
        <v>14</v>
      </c>
      <c r="S35" s="670">
        <f t="shared" si="12"/>
        <v>100</v>
      </c>
      <c r="T35" s="669" t="s">
        <v>14</v>
      </c>
      <c r="U35" s="670">
        <f t="shared" si="13"/>
        <v>100</v>
      </c>
      <c r="V35" s="669" t="s">
        <v>14</v>
      </c>
      <c r="W35" s="670">
        <f t="shared" si="14"/>
        <v>100</v>
      </c>
      <c r="X35" s="671"/>
      <c r="Y35" s="3388"/>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88"/>
      <c r="Q36" s="1263">
        <f t="shared" si="11"/>
        <v>111</v>
      </c>
      <c r="R36" s="667" t="s">
        <v>14</v>
      </c>
      <c r="S36" s="668">
        <f t="shared" si="12"/>
        <v>100</v>
      </c>
      <c r="T36" s="667" t="s">
        <v>14</v>
      </c>
      <c r="U36" s="668">
        <f t="shared" si="13"/>
        <v>100</v>
      </c>
      <c r="V36" s="667" t="s">
        <v>14</v>
      </c>
      <c r="W36" s="668">
        <f t="shared" si="14"/>
        <v>100</v>
      </c>
      <c r="X36" s="1265"/>
      <c r="Y36" s="3388"/>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4"/>
      <c r="M37" s="2487"/>
      <c r="N37" s="2487"/>
      <c r="O37" s="2487"/>
      <c r="P37" s="3381" t="str">
        <f>A37</f>
        <v>成交单价</v>
      </c>
      <c r="Q37" s="3381"/>
      <c r="R37" s="3382">
        <f>E37</f>
        <v>0</v>
      </c>
      <c r="S37" s="3382"/>
      <c r="T37" s="3382">
        <f>G37</f>
        <v>0</v>
      </c>
      <c r="U37" s="3382"/>
      <c r="V37" s="3382">
        <f>I37</f>
        <v>0</v>
      </c>
      <c r="W37" s="3382"/>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381" t="str">
        <f>A38</f>
        <v>比较价值（元/平方米）</v>
      </c>
      <c r="Q38" s="3381"/>
      <c r="R38" s="3382" t="e">
        <f>IF(F1="售价",ROUND(PRODUCT(R37,AA7:AA36),0),ROUND(PRODUCT(R37,AA7:AA36),1))</f>
        <v>#DIV/0!</v>
      </c>
      <c r="S38" s="3382"/>
      <c r="T38" s="3382" t="e">
        <f>IF(F1="售价",ROUND(PRODUCT(T37,AB7:AB36),0),ROUND(PRODUCT(T37,AB7:AB36),1))</f>
        <v>#DIV/0!</v>
      </c>
      <c r="U38" s="3382"/>
      <c r="V38" s="3382" t="e">
        <f>IF(F1="售价",ROUND(PRODUCT(V37,AC7:AC36),0),ROUND(PRODUCT(V37,AC7:AC36),1))</f>
        <v>#DIV/0!</v>
      </c>
      <c r="W38" s="3382"/>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378" t="str">
        <f>A39</f>
        <v>估价对象XX用房的比较价值（楼面单价，元/平方米）</v>
      </c>
      <c r="Q39" s="3379"/>
      <c r="R39" s="3439" t="e">
        <f>IF(F1="售价",ROUND(IF(D38="简单平均",AVERAGE(R38:W38),R38*F38+T38*H38+V38*J38),0),ROUND(IF(D38="简单平均",AVERAGE(R38:V38),R38*F38+T38*H38+V38*J38),1))</f>
        <v>#DIV/0!</v>
      </c>
      <c r="S39" s="3439"/>
      <c r="T39" s="3439"/>
      <c r="U39" s="3439"/>
      <c r="V39" s="3439"/>
      <c r="W39" s="3439"/>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3" t="str">
        <f>YEAR(C7)&amp;"-"&amp;MONTH(C7)</f>
        <v>2025-3</v>
      </c>
      <c r="D48" s="1104">
        <f>EDATE(C48,-1)</f>
        <v>45689</v>
      </c>
      <c r="E48" s="1104">
        <f t="shared" ref="E48:O48" si="16">EDATE(D48,-1)</f>
        <v>45658</v>
      </c>
      <c r="F48" s="1104">
        <f t="shared" si="16"/>
        <v>45627</v>
      </c>
      <c r="G48" s="1104">
        <f t="shared" si="16"/>
        <v>45597</v>
      </c>
      <c r="H48" s="1104">
        <f t="shared" si="16"/>
        <v>45566</v>
      </c>
      <c r="I48" s="1104">
        <f t="shared" si="16"/>
        <v>45536</v>
      </c>
      <c r="J48" s="1104">
        <f t="shared" si="16"/>
        <v>45505</v>
      </c>
      <c r="K48" s="1104">
        <f t="shared" si="16"/>
        <v>45474</v>
      </c>
      <c r="L48" s="1104">
        <f t="shared" si="16"/>
        <v>45444</v>
      </c>
      <c r="M48" s="1104">
        <f t="shared" si="16"/>
        <v>45413</v>
      </c>
      <c r="N48" s="1104">
        <f t="shared" si="16"/>
        <v>45383</v>
      </c>
      <c r="O48" s="1104">
        <f t="shared" si="16"/>
        <v>45352</v>
      </c>
      <c r="P48" s="2527"/>
      <c r="Q48" s="2510"/>
      <c r="R48" s="2510"/>
      <c r="S48" s="2510"/>
      <c r="T48" s="2510"/>
      <c r="U48" s="2510"/>
      <c r="V48" s="2510"/>
      <c r="W48" s="2510"/>
      <c r="X48" s="2510"/>
      <c r="Y48" s="2510"/>
      <c r="Z48" s="2510"/>
      <c r="AA48" s="2510"/>
      <c r="AB48" s="2510"/>
      <c r="AC48" s="2510"/>
    </row>
    <row r="49" spans="1:29" s="102" customFormat="1">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00" t="s">
        <v>1775</v>
      </c>
      <c r="Q4" s="3401"/>
      <c r="R4" s="3406" t="s">
        <v>1771</v>
      </c>
      <c r="S4" s="3407"/>
      <c r="T4" s="3406" t="s">
        <v>1772</v>
      </c>
      <c r="U4" s="3407"/>
      <c r="V4" s="3382" t="s">
        <v>1773</v>
      </c>
      <c r="W4" s="3382"/>
      <c r="X4" s="1265"/>
      <c r="Y4" s="3406" t="s">
        <v>1775</v>
      </c>
      <c r="Z4" s="3407"/>
      <c r="AA4" s="3393" t="s">
        <v>1771</v>
      </c>
      <c r="AB4" s="3394" t="s">
        <v>1772</v>
      </c>
      <c r="AC4" s="3393" t="s">
        <v>1773</v>
      </c>
    </row>
    <row r="5" spans="1:29">
      <c r="A5" s="348"/>
      <c r="B5" s="349"/>
      <c r="C5" s="3414" t="s">
        <v>1673</v>
      </c>
      <c r="D5" s="3415"/>
      <c r="E5" s="3421" t="s">
        <v>1674</v>
      </c>
      <c r="F5" s="3422"/>
      <c r="G5" s="3414" t="s">
        <v>1675</v>
      </c>
      <c r="H5" s="3415"/>
      <c r="I5" s="3414" t="s">
        <v>1676</v>
      </c>
      <c r="J5" s="3415"/>
      <c r="K5" s="537"/>
      <c r="L5" s="2486"/>
      <c r="M5" s="2487"/>
      <c r="N5" s="2487"/>
      <c r="O5" s="2487"/>
      <c r="P5" s="3402"/>
      <c r="Q5" s="3403"/>
      <c r="R5" s="3408"/>
      <c r="S5" s="3409"/>
      <c r="T5" s="3408"/>
      <c r="U5" s="3409"/>
      <c r="V5" s="3382"/>
      <c r="W5" s="3382"/>
      <c r="X5" s="1265"/>
      <c r="Y5" s="3408"/>
      <c r="Z5" s="3409"/>
      <c r="AA5" s="3394"/>
      <c r="AB5" s="3394"/>
      <c r="AC5" s="3394"/>
    </row>
    <row r="6" spans="1:29" ht="15" thickBot="1">
      <c r="A6" s="350"/>
      <c r="B6" s="351"/>
      <c r="C6" s="3412" t="s">
        <v>1677</v>
      </c>
      <c r="D6" s="3413"/>
      <c r="E6" s="3419" t="s">
        <v>1677</v>
      </c>
      <c r="F6" s="3420"/>
      <c r="G6" s="3412" t="s">
        <v>1677</v>
      </c>
      <c r="H6" s="3413"/>
      <c r="I6" s="3412" t="s">
        <v>1677</v>
      </c>
      <c r="J6" s="3413"/>
      <c r="K6" s="537" t="s">
        <v>1678</v>
      </c>
      <c r="L6" s="2486"/>
      <c r="M6" s="2487"/>
      <c r="N6" s="2487"/>
      <c r="O6" s="2487"/>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SUMIF(46:46,YEAR(E7)&amp;"-"&amp;MONTH(E7),47:47)</f>
        <v>0</v>
      </c>
      <c r="G7" s="1822"/>
      <c r="H7" s="355">
        <f>SUMIF(46:46,YEAR(G7)&amp;"-"&amp;MONTH(G7),47:47)</f>
        <v>0</v>
      </c>
      <c r="I7" s="356"/>
      <c r="J7" s="355">
        <f>SUMIF(46:46,YEAR(I7)&amp;"-"&amp;MONTH(I7),47:47)</f>
        <v>0</v>
      </c>
      <c r="K7" s="38"/>
      <c r="L7" s="2488"/>
      <c r="M7" s="2439"/>
      <c r="N7" s="2439"/>
      <c r="O7" s="2439"/>
      <c r="P7" s="3416" t="s">
        <v>1680</v>
      </c>
      <c r="Q7" s="3418"/>
      <c r="R7" s="664" t="s">
        <v>14</v>
      </c>
      <c r="S7" s="665">
        <f t="shared" ref="S7:S14" si="0">F7</f>
        <v>0</v>
      </c>
      <c r="T7" s="664" t="s">
        <v>14</v>
      </c>
      <c r="U7" s="665">
        <f t="shared" ref="U7:U14" si="1">H7</f>
        <v>0</v>
      </c>
      <c r="V7" s="664" t="s">
        <v>14</v>
      </c>
      <c r="W7" s="665">
        <f t="shared" ref="W7:W14" si="2">J7</f>
        <v>0</v>
      </c>
      <c r="X7" s="666"/>
      <c r="Y7" s="3416" t="s">
        <v>1680</v>
      </c>
      <c r="Z7" s="3417"/>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16" t="s">
        <v>1683</v>
      </c>
      <c r="Q8" s="3417"/>
      <c r="R8" s="664" t="s">
        <v>14</v>
      </c>
      <c r="S8" s="665">
        <f t="shared" si="0"/>
        <v>100</v>
      </c>
      <c r="T8" s="664" t="s">
        <v>14</v>
      </c>
      <c r="U8" s="665">
        <f t="shared" si="1"/>
        <v>100</v>
      </c>
      <c r="V8" s="664" t="s">
        <v>14</v>
      </c>
      <c r="W8" s="665">
        <f t="shared" si="2"/>
        <v>100</v>
      </c>
      <c r="X8" s="666"/>
      <c r="Y8" s="3416" t="s">
        <v>1683</v>
      </c>
      <c r="Z8" s="3417"/>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81" t="s">
        <v>1686</v>
      </c>
      <c r="Q9" s="530" t="str">
        <f t="shared" ref="Q9:Q14" si="6">B9</f>
        <v>用途</v>
      </c>
      <c r="R9" s="664" t="s">
        <v>14</v>
      </c>
      <c r="S9" s="665">
        <f t="shared" si="0"/>
        <v>100</v>
      </c>
      <c r="T9" s="664" t="s">
        <v>14</v>
      </c>
      <c r="U9" s="665">
        <f t="shared" si="1"/>
        <v>100</v>
      </c>
      <c r="V9" s="664" t="s">
        <v>14</v>
      </c>
      <c r="W9" s="665">
        <f t="shared" si="2"/>
        <v>100</v>
      </c>
      <c r="X9" s="666"/>
      <c r="Y9" s="3256"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81"/>
      <c r="Q11" s="530">
        <f t="shared" si="6"/>
        <v>111</v>
      </c>
      <c r="R11" s="664" t="s">
        <v>14</v>
      </c>
      <c r="S11" s="665">
        <f t="shared" si="0"/>
        <v>100</v>
      </c>
      <c r="T11" s="664" t="s">
        <v>14</v>
      </c>
      <c r="U11" s="665">
        <f t="shared" si="1"/>
        <v>100</v>
      </c>
      <c r="V11" s="664" t="s">
        <v>14</v>
      </c>
      <c r="W11" s="665">
        <f t="shared" si="2"/>
        <v>100</v>
      </c>
      <c r="X11" s="666"/>
      <c r="Y11" s="325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83" t="s">
        <v>1691</v>
      </c>
      <c r="Q14" s="1263" t="str">
        <f t="shared" si="6"/>
        <v>交通便捷度</v>
      </c>
      <c r="R14" s="667" t="s">
        <v>14</v>
      </c>
      <c r="S14" s="668">
        <f t="shared" si="0"/>
        <v>100</v>
      </c>
      <c r="T14" s="667" t="s">
        <v>14</v>
      </c>
      <c r="U14" s="668">
        <f t="shared" si="1"/>
        <v>100</v>
      </c>
      <c r="V14" s="667" t="s">
        <v>14</v>
      </c>
      <c r="W14" s="668">
        <f t="shared" si="2"/>
        <v>100</v>
      </c>
      <c r="X14" s="1265"/>
      <c r="Y14" s="338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384"/>
      <c r="Q15" s="1263"/>
      <c r="R15" s="667"/>
      <c r="S15" s="668"/>
      <c r="T15" s="667"/>
      <c r="U15" s="668"/>
      <c r="V15" s="667"/>
      <c r="W15" s="668"/>
      <c r="X15" s="1265"/>
      <c r="Y15" s="3384"/>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84"/>
      <c r="Q16" s="1263" t="str">
        <f>B16</f>
        <v>公共配套设施</v>
      </c>
      <c r="R16" s="667" t="s">
        <v>14</v>
      </c>
      <c r="S16" s="668">
        <f>F16</f>
        <v>100</v>
      </c>
      <c r="T16" s="667" t="s">
        <v>14</v>
      </c>
      <c r="U16" s="668">
        <f>H16</f>
        <v>100</v>
      </c>
      <c r="V16" s="667" t="s">
        <v>14</v>
      </c>
      <c r="W16" s="668">
        <f>J16</f>
        <v>100</v>
      </c>
      <c r="X16" s="1265"/>
      <c r="Y16" s="338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2"/>
      <c r="M17" s="2487"/>
      <c r="N17" s="2487"/>
      <c r="O17" s="2542"/>
      <c r="P17" s="3384"/>
      <c r="Q17" s="1263"/>
      <c r="R17" s="667"/>
      <c r="S17" s="668"/>
      <c r="T17" s="667"/>
      <c r="U17" s="668"/>
      <c r="V17" s="667"/>
      <c r="W17" s="668"/>
      <c r="X17" s="1265"/>
      <c r="Y17" s="3384"/>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84"/>
      <c r="Q18" s="1263" t="str">
        <f>B18</f>
        <v>基础设施水平</v>
      </c>
      <c r="R18" s="667" t="s">
        <v>14</v>
      </c>
      <c r="S18" s="668">
        <f>F18</f>
        <v>100</v>
      </c>
      <c r="T18" s="667" t="s">
        <v>14</v>
      </c>
      <c r="U18" s="668">
        <f>H18</f>
        <v>100</v>
      </c>
      <c r="V18" s="667" t="s">
        <v>14</v>
      </c>
      <c r="W18" s="668">
        <f>J18</f>
        <v>100</v>
      </c>
      <c r="X18" s="1265"/>
      <c r="Y18" s="338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2"/>
      <c r="M19" s="2487"/>
      <c r="N19" s="2487"/>
      <c r="O19" s="2542"/>
      <c r="P19" s="3384"/>
      <c r="Q19" s="1263"/>
      <c r="R19" s="667"/>
      <c r="S19" s="668"/>
      <c r="T19" s="667"/>
      <c r="U19" s="668"/>
      <c r="V19" s="667"/>
      <c r="W19" s="668"/>
      <c r="X19" s="1265"/>
      <c r="Y19" s="3384"/>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84"/>
      <c r="Q20" s="1263" t="str">
        <f>B20</f>
        <v>自然及人文环境</v>
      </c>
      <c r="R20" s="667" t="s">
        <v>14</v>
      </c>
      <c r="S20" s="668">
        <f>F20</f>
        <v>100</v>
      </c>
      <c r="T20" s="667" t="s">
        <v>14</v>
      </c>
      <c r="U20" s="668">
        <f>H20</f>
        <v>100</v>
      </c>
      <c r="V20" s="667" t="s">
        <v>14</v>
      </c>
      <c r="W20" s="668">
        <f>J20</f>
        <v>100</v>
      </c>
      <c r="X20" s="1265"/>
      <c r="Y20" s="338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384"/>
      <c r="Q21" s="1263"/>
      <c r="R21" s="667"/>
      <c r="S21" s="668"/>
      <c r="T21" s="667"/>
      <c r="U21" s="668"/>
      <c r="V21" s="667"/>
      <c r="W21" s="668"/>
      <c r="X21" s="1265"/>
      <c r="Y21" s="338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84"/>
      <c r="Q22" s="1263" t="str">
        <f>B22</f>
        <v>楼层</v>
      </c>
      <c r="R22" s="667" t="s">
        <v>14</v>
      </c>
      <c r="S22" s="668">
        <f>F22</f>
        <v>100</v>
      </c>
      <c r="T22" s="667" t="s">
        <v>14</v>
      </c>
      <c r="U22" s="668">
        <f>H22</f>
        <v>100</v>
      </c>
      <c r="V22" s="667" t="s">
        <v>14</v>
      </c>
      <c r="W22" s="668">
        <f>J22</f>
        <v>100</v>
      </c>
      <c r="X22" s="1265"/>
      <c r="Y22" s="338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84"/>
      <c r="Q23" s="1263">
        <f>B23</f>
        <v>111</v>
      </c>
      <c r="R23" s="667" t="s">
        <v>14</v>
      </c>
      <c r="S23" s="668">
        <f>F23</f>
        <v>100</v>
      </c>
      <c r="T23" s="667" t="s">
        <v>14</v>
      </c>
      <c r="U23" s="668">
        <f>H23</f>
        <v>100</v>
      </c>
      <c r="V23" s="667" t="s">
        <v>14</v>
      </c>
      <c r="W23" s="668">
        <f>J23</f>
        <v>100</v>
      </c>
      <c r="X23" s="1265"/>
      <c r="Y23" s="338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84"/>
      <c r="Q24" s="1263">
        <f t="shared" ref="Q24:Q34" si="11">B24</f>
        <v>111</v>
      </c>
      <c r="R24" s="667" t="s">
        <v>14</v>
      </c>
      <c r="S24" s="668">
        <f>F24</f>
        <v>100</v>
      </c>
      <c r="T24" s="667" t="s">
        <v>14</v>
      </c>
      <c r="U24" s="668">
        <f>H24</f>
        <v>100</v>
      </c>
      <c r="V24" s="667" t="s">
        <v>14</v>
      </c>
      <c r="W24" s="668">
        <f>J24</f>
        <v>100</v>
      </c>
      <c r="X24" s="1265"/>
      <c r="Y24" s="3384"/>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39"/>
      <c r="N25" s="2439"/>
      <c r="O25" s="2540"/>
      <c r="P25" s="3384"/>
      <c r="Q25" s="530">
        <f t="shared" si="11"/>
        <v>111</v>
      </c>
      <c r="R25" s="664" t="s">
        <v>14</v>
      </c>
      <c r="S25" s="665">
        <f>F25</f>
        <v>100</v>
      </c>
      <c r="T25" s="664" t="s">
        <v>14</v>
      </c>
      <c r="U25" s="665">
        <f>H25</f>
        <v>100</v>
      </c>
      <c r="V25" s="664" t="s">
        <v>14</v>
      </c>
      <c r="W25" s="665">
        <f>J25</f>
        <v>100</v>
      </c>
      <c r="X25" s="666"/>
      <c r="Y25" s="3384"/>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2"/>
      <c r="M26" s="2487"/>
      <c r="N26" s="2487"/>
      <c r="O26" s="2542"/>
      <c r="P26" s="343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8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88"/>
      <c r="Q27" s="531" t="str">
        <f t="shared" si="11"/>
        <v>成新率</v>
      </c>
      <c r="R27" s="669" t="s">
        <v>14</v>
      </c>
      <c r="S27" s="670" t="e">
        <f t="shared" si="12"/>
        <v>#N/A</v>
      </c>
      <c r="T27" s="669" t="s">
        <v>14</v>
      </c>
      <c r="U27" s="670" t="e">
        <f t="shared" si="13"/>
        <v>#N/A</v>
      </c>
      <c r="V27" s="669" t="s">
        <v>14</v>
      </c>
      <c r="W27" s="670" t="e">
        <f t="shared" si="14"/>
        <v>#N/A</v>
      </c>
      <c r="X27" s="671"/>
      <c r="Y27" s="338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88"/>
      <c r="Q28" s="1263" t="str">
        <f t="shared" si="11"/>
        <v>物业等级</v>
      </c>
      <c r="R28" s="667" t="s">
        <v>14</v>
      </c>
      <c r="S28" s="668">
        <f t="shared" si="12"/>
        <v>100</v>
      </c>
      <c r="T28" s="667" t="s">
        <v>14</v>
      </c>
      <c r="U28" s="668">
        <f t="shared" si="13"/>
        <v>100</v>
      </c>
      <c r="V28" s="667" t="s">
        <v>14</v>
      </c>
      <c r="W28" s="668">
        <f t="shared" si="14"/>
        <v>100</v>
      </c>
      <c r="X28" s="1265"/>
      <c r="Y28" s="338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88"/>
      <c r="Q29" s="1263" t="str">
        <f t="shared" si="11"/>
        <v>有无电梯</v>
      </c>
      <c r="R29" s="667" t="s">
        <v>14</v>
      </c>
      <c r="S29" s="668">
        <f t="shared" si="12"/>
        <v>100</v>
      </c>
      <c r="T29" s="667" t="s">
        <v>14</v>
      </c>
      <c r="U29" s="668">
        <f t="shared" si="13"/>
        <v>100</v>
      </c>
      <c r="V29" s="667" t="s">
        <v>14</v>
      </c>
      <c r="W29" s="668">
        <f t="shared" si="14"/>
        <v>100</v>
      </c>
      <c r="X29" s="1265"/>
      <c r="Y29" s="338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88"/>
      <c r="Q30" s="1263" t="str">
        <f t="shared" si="11"/>
        <v>建筑面积</v>
      </c>
      <c r="R30" s="667" t="s">
        <v>14</v>
      </c>
      <c r="S30" s="668" t="e">
        <f t="shared" si="12"/>
        <v>#N/A</v>
      </c>
      <c r="T30" s="667" t="s">
        <v>14</v>
      </c>
      <c r="U30" s="668" t="e">
        <f t="shared" si="13"/>
        <v>#N/A</v>
      </c>
      <c r="V30" s="667" t="s">
        <v>14</v>
      </c>
      <c r="W30" s="668" t="e">
        <f t="shared" si="14"/>
        <v>#N/A</v>
      </c>
      <c r="X30" s="1265"/>
      <c r="Y30" s="338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88"/>
      <c r="Q31" s="530" t="str">
        <f t="shared" si="11"/>
        <v>是否封闭</v>
      </c>
      <c r="R31" s="664" t="s">
        <v>14</v>
      </c>
      <c r="S31" s="665">
        <f t="shared" si="12"/>
        <v>100</v>
      </c>
      <c r="T31" s="664" t="s">
        <v>14</v>
      </c>
      <c r="U31" s="665">
        <f t="shared" si="13"/>
        <v>100</v>
      </c>
      <c r="V31" s="664" t="s">
        <v>14</v>
      </c>
      <c r="W31" s="665">
        <f t="shared" si="14"/>
        <v>100</v>
      </c>
      <c r="X31" s="666"/>
      <c r="Y31" s="338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88" t="s">
        <v>1696</v>
      </c>
      <c r="Q32" s="1263">
        <f t="shared" si="11"/>
        <v>111</v>
      </c>
      <c r="R32" s="667" t="s">
        <v>14</v>
      </c>
      <c r="S32" s="668">
        <f t="shared" si="12"/>
        <v>100</v>
      </c>
      <c r="T32" s="667" t="s">
        <v>14</v>
      </c>
      <c r="U32" s="668">
        <f t="shared" si="13"/>
        <v>100</v>
      </c>
      <c r="V32" s="667" t="s">
        <v>14</v>
      </c>
      <c r="W32" s="668">
        <f t="shared" si="14"/>
        <v>100</v>
      </c>
      <c r="X32" s="1265"/>
      <c r="Y32" s="338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88"/>
      <c r="Q33" s="1263">
        <f t="shared" si="11"/>
        <v>111</v>
      </c>
      <c r="R33" s="667" t="s">
        <v>14</v>
      </c>
      <c r="S33" s="668">
        <f t="shared" si="12"/>
        <v>100</v>
      </c>
      <c r="T33" s="667" t="s">
        <v>14</v>
      </c>
      <c r="U33" s="668">
        <f t="shared" si="13"/>
        <v>100</v>
      </c>
      <c r="V33" s="667" t="s">
        <v>14</v>
      </c>
      <c r="W33" s="668">
        <f t="shared" si="14"/>
        <v>100</v>
      </c>
      <c r="X33" s="1265"/>
      <c r="Y33" s="3388"/>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388"/>
      <c r="Q34" s="1263">
        <f t="shared" si="11"/>
        <v>111</v>
      </c>
      <c r="R34" s="667" t="s">
        <v>14</v>
      </c>
      <c r="S34" s="668">
        <f t="shared" si="12"/>
        <v>100</v>
      </c>
      <c r="T34" s="667" t="s">
        <v>14</v>
      </c>
      <c r="U34" s="668">
        <f t="shared" si="13"/>
        <v>100</v>
      </c>
      <c r="V34" s="667" t="s">
        <v>14</v>
      </c>
      <c r="W34" s="668">
        <f t="shared" si="14"/>
        <v>100</v>
      </c>
      <c r="X34" s="1265"/>
      <c r="Y34" s="3388"/>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4"/>
      <c r="M35" s="2487"/>
      <c r="N35" s="2487"/>
      <c r="O35" s="2487"/>
      <c r="P35" s="3381" t="str">
        <f>A35</f>
        <v>成交单价（元/平方米）</v>
      </c>
      <c r="Q35" s="3381"/>
      <c r="R35" s="3382">
        <f>E35</f>
        <v>0</v>
      </c>
      <c r="S35" s="3382"/>
      <c r="T35" s="3382">
        <f>G35</f>
        <v>0</v>
      </c>
      <c r="U35" s="3382"/>
      <c r="V35" s="3382">
        <f>I35</f>
        <v>0</v>
      </c>
      <c r="W35" s="3382"/>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381" t="str">
        <f>A36</f>
        <v>比较价值（元/平方米）</v>
      </c>
      <c r="Q36" s="3381"/>
      <c r="R36" s="3382" t="e">
        <f>IF(F1="售价",ROUND(PRODUCT(R35,AA7:AA34),0),ROUND(PRODUCT(R35,AA7:AA34),1))</f>
        <v>#DIV/0!</v>
      </c>
      <c r="S36" s="3382"/>
      <c r="T36" s="3382" t="e">
        <f>IF(F1="售价",ROUND(PRODUCT(T35,AB7:AB34),0),ROUND(PRODUCT(T35,AB7:AB34),1))</f>
        <v>#DIV/0!</v>
      </c>
      <c r="U36" s="3382"/>
      <c r="V36" s="3382" t="e">
        <f>IF(F1="售价",ROUND(PRODUCT(V35,AC7:AC34),0),ROUND(PRODUCT(V35,AC7:AC34),1))</f>
        <v>#DIV/0!</v>
      </c>
      <c r="W36" s="3382"/>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378" t="str">
        <f>A37</f>
        <v>估价对象XX用房的比较价值（楼面单价，元/平方米）</v>
      </c>
      <c r="Q37" s="3379"/>
      <c r="R37" s="3439" t="e">
        <f>IF(F1="售价",ROUND(IF(D36="简单平均",AVERAGE(R36:W36),R36*F36+T36*H36+V36*J36),0),ROUND(IF(D36="简单平均",AVERAGE(R36:V36),R36*F36+T36*H36+V36*J36),1))</f>
        <v>#DIV/0!</v>
      </c>
      <c r="S37" s="3439"/>
      <c r="T37" s="3439"/>
      <c r="U37" s="3439"/>
      <c r="V37" s="3439"/>
      <c r="W37" s="3439"/>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3" t="str">
        <f>YEAR(C7)&amp;"-"&amp;MONTH(C7)</f>
        <v>2025-3</v>
      </c>
      <c r="D46" s="1104">
        <f>EDATE(C46,-1)</f>
        <v>45689</v>
      </c>
      <c r="E46" s="1104">
        <f t="shared" ref="E46:O46" si="16">EDATE(D46,-1)</f>
        <v>45658</v>
      </c>
      <c r="F46" s="1104">
        <f t="shared" si="16"/>
        <v>45627</v>
      </c>
      <c r="G46" s="1104">
        <f t="shared" si="16"/>
        <v>45597</v>
      </c>
      <c r="H46" s="1104">
        <f t="shared" si="16"/>
        <v>45566</v>
      </c>
      <c r="I46" s="1104">
        <f t="shared" si="16"/>
        <v>45536</v>
      </c>
      <c r="J46" s="1104">
        <f t="shared" si="16"/>
        <v>45505</v>
      </c>
      <c r="K46" s="1104">
        <f t="shared" si="16"/>
        <v>45474</v>
      </c>
      <c r="L46" s="1104">
        <f t="shared" si="16"/>
        <v>45444</v>
      </c>
      <c r="M46" s="1104">
        <f t="shared" si="16"/>
        <v>45413</v>
      </c>
      <c r="N46" s="1104">
        <f t="shared" si="16"/>
        <v>45383</v>
      </c>
      <c r="O46" s="1104">
        <f t="shared" si="16"/>
        <v>45352</v>
      </c>
      <c r="P46" s="2510"/>
      <c r="Q46" s="2510"/>
      <c r="R46" s="2510"/>
      <c r="S46" s="2510"/>
      <c r="T46" s="2510"/>
      <c r="U46" s="2510"/>
      <c r="V46" s="2510"/>
      <c r="W46" s="2510"/>
      <c r="X46" s="2510"/>
      <c r="Y46" s="2510"/>
      <c r="Z46" s="2510"/>
      <c r="AA46" s="2510"/>
      <c r="AB46" s="2510"/>
      <c r="AC46" s="2510"/>
      <c r="AD46" s="2510"/>
    </row>
    <row r="47" spans="1:30" s="102" customFormat="1">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00" t="s">
        <v>1775</v>
      </c>
      <c r="Q4" s="3401"/>
      <c r="R4" s="3406" t="s">
        <v>1771</v>
      </c>
      <c r="S4" s="3407"/>
      <c r="T4" s="3406" t="s">
        <v>1772</v>
      </c>
      <c r="U4" s="3407"/>
      <c r="V4" s="3382" t="s">
        <v>1773</v>
      </c>
      <c r="W4" s="3382"/>
      <c r="X4" s="1265"/>
      <c r="Y4" s="3406" t="s">
        <v>1775</v>
      </c>
      <c r="Z4" s="3407"/>
      <c r="AA4" s="3393" t="s">
        <v>1771</v>
      </c>
      <c r="AB4" s="3394" t="s">
        <v>1772</v>
      </c>
      <c r="AC4" s="3393" t="s">
        <v>1773</v>
      </c>
    </row>
    <row r="5" spans="1:29">
      <c r="A5" s="348"/>
      <c r="B5" s="349"/>
      <c r="C5" s="3414" t="s">
        <v>1673</v>
      </c>
      <c r="D5" s="3415"/>
      <c r="E5" s="3421" t="s">
        <v>1674</v>
      </c>
      <c r="F5" s="3422"/>
      <c r="G5" s="3414" t="s">
        <v>1675</v>
      </c>
      <c r="H5" s="3415"/>
      <c r="I5" s="3414" t="s">
        <v>1676</v>
      </c>
      <c r="J5" s="3415"/>
      <c r="K5" s="537"/>
      <c r="L5" s="2486"/>
      <c r="M5" s="2487"/>
      <c r="N5" s="2487"/>
      <c r="O5" s="2487"/>
      <c r="P5" s="3402"/>
      <c r="Q5" s="3403"/>
      <c r="R5" s="3408"/>
      <c r="S5" s="3409"/>
      <c r="T5" s="3408"/>
      <c r="U5" s="3409"/>
      <c r="V5" s="3382"/>
      <c r="W5" s="3382"/>
      <c r="X5" s="1265"/>
      <c r="Y5" s="3408"/>
      <c r="Z5" s="3409"/>
      <c r="AA5" s="3394"/>
      <c r="AB5" s="3394"/>
      <c r="AC5" s="3394"/>
    </row>
    <row r="6" spans="1:29" ht="15" thickBot="1">
      <c r="A6" s="350"/>
      <c r="B6" s="351"/>
      <c r="C6" s="3412" t="s">
        <v>1677</v>
      </c>
      <c r="D6" s="3413"/>
      <c r="E6" s="3419" t="s">
        <v>1677</v>
      </c>
      <c r="F6" s="3420"/>
      <c r="G6" s="3412" t="s">
        <v>1677</v>
      </c>
      <c r="H6" s="3413"/>
      <c r="I6" s="3412" t="s">
        <v>1677</v>
      </c>
      <c r="J6" s="3413"/>
      <c r="K6" s="537" t="s">
        <v>1678</v>
      </c>
      <c r="L6" s="2486"/>
      <c r="M6" s="2487"/>
      <c r="N6" s="2487"/>
      <c r="O6" s="2487"/>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SUMIF(69:69,YEAR(E7)&amp;"-"&amp;INT((MONTH(E7)+2)/3),70:70)</f>
        <v>0</v>
      </c>
      <c r="G7" s="1822"/>
      <c r="H7" s="355">
        <f>SUMIF(69:69,YEAR(G7)&amp;"-"&amp;INT((MONTH(G7)+2)/3),70:70)</f>
        <v>0</v>
      </c>
      <c r="I7" s="1822"/>
      <c r="J7" s="355">
        <f>SUMIF(69:69,YEAR(I7)&amp;"-"&amp;INT((MONTH(I7)+2)/3),70:70)</f>
        <v>0</v>
      </c>
      <c r="K7" s="38"/>
      <c r="L7" s="2488"/>
      <c r="M7" s="2439"/>
      <c r="N7" s="2439"/>
      <c r="O7" s="2439"/>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16" t="s">
        <v>1683</v>
      </c>
      <c r="Q8" s="3417"/>
      <c r="R8" s="664" t="s">
        <v>14</v>
      </c>
      <c r="S8" s="665">
        <f t="shared" si="0"/>
        <v>0</v>
      </c>
      <c r="T8" s="664" t="s">
        <v>14</v>
      </c>
      <c r="U8" s="665">
        <f t="shared" si="1"/>
        <v>0</v>
      </c>
      <c r="V8" s="664" t="s">
        <v>14</v>
      </c>
      <c r="W8" s="665">
        <f t="shared" si="2"/>
        <v>0</v>
      </c>
      <c r="X8" s="666"/>
      <c r="Y8" s="3416" t="s">
        <v>1683</v>
      </c>
      <c r="Z8" s="3417"/>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39"/>
      <c r="N9" s="2439"/>
      <c r="O9" s="2540"/>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381"/>
      <c r="Q10" s="530" t="str">
        <f t="shared" si="6"/>
        <v>土地使用年限（年）</v>
      </c>
      <c r="R10" s="664" t="s">
        <v>14</v>
      </c>
      <c r="S10" s="665" t="e">
        <f t="shared" si="0"/>
        <v>#DIV/0!</v>
      </c>
      <c r="T10" s="664" t="s">
        <v>14</v>
      </c>
      <c r="U10" s="665" t="e">
        <f t="shared" si="1"/>
        <v>#DIV/0!</v>
      </c>
      <c r="V10" s="664" t="s">
        <v>14</v>
      </c>
      <c r="W10" s="665" t="e">
        <f t="shared" si="2"/>
        <v>#DIV/0!</v>
      </c>
      <c r="X10" s="666"/>
      <c r="Y10" s="325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81"/>
      <c r="Q11" s="530" t="str">
        <f t="shared" si="6"/>
        <v>容积率</v>
      </c>
      <c r="R11" s="664" t="s">
        <v>14</v>
      </c>
      <c r="S11" s="665" t="e">
        <f t="shared" si="0"/>
        <v>#N/A</v>
      </c>
      <c r="T11" s="664" t="s">
        <v>14</v>
      </c>
      <c r="U11" s="665" t="e">
        <f t="shared" si="1"/>
        <v>#N/A</v>
      </c>
      <c r="V11" s="664" t="s">
        <v>14</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81"/>
      <c r="Q12" s="530" t="str">
        <f t="shared" si="6"/>
        <v>配建</v>
      </c>
      <c r="R12" s="664" t="s">
        <v>14</v>
      </c>
      <c r="S12" s="665">
        <f t="shared" si="0"/>
        <v>100</v>
      </c>
      <c r="T12" s="664" t="s">
        <v>14</v>
      </c>
      <c r="U12" s="665">
        <f t="shared" si="1"/>
        <v>100</v>
      </c>
      <c r="V12" s="664" t="s">
        <v>14</v>
      </c>
      <c r="W12" s="665">
        <f t="shared" si="2"/>
        <v>100</v>
      </c>
      <c r="X12" s="666"/>
      <c r="Y12" s="325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83" t="s">
        <v>1691</v>
      </c>
      <c r="Q15" s="1263" t="str">
        <f t="shared" si="6"/>
        <v>居住社区成熟度</v>
      </c>
      <c r="R15" s="667" t="s">
        <v>14</v>
      </c>
      <c r="S15" s="668">
        <f t="shared" si="0"/>
        <v>100</v>
      </c>
      <c r="T15" s="667" t="s">
        <v>14</v>
      </c>
      <c r="U15" s="668">
        <f t="shared" si="1"/>
        <v>100</v>
      </c>
      <c r="V15" s="667" t="s">
        <v>14</v>
      </c>
      <c r="W15" s="668">
        <f t="shared" si="2"/>
        <v>100</v>
      </c>
      <c r="X15" s="1265"/>
      <c r="Y15" s="338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384"/>
      <c r="Q16" s="1263"/>
      <c r="R16" s="667"/>
      <c r="S16" s="668"/>
      <c r="T16" s="667"/>
      <c r="U16" s="668"/>
      <c r="V16" s="667"/>
      <c r="W16" s="668"/>
      <c r="X16" s="1265"/>
      <c r="Y16" s="3384"/>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84"/>
      <c r="Q17" s="1263" t="str">
        <f>B17</f>
        <v>商业繁华度</v>
      </c>
      <c r="R17" s="667" t="s">
        <v>14</v>
      </c>
      <c r="S17" s="668">
        <f>F17</f>
        <v>100</v>
      </c>
      <c r="T17" s="667" t="s">
        <v>14</v>
      </c>
      <c r="U17" s="668">
        <f>H17</f>
        <v>100</v>
      </c>
      <c r="V17" s="667" t="s">
        <v>14</v>
      </c>
      <c r="W17" s="668">
        <f>J17</f>
        <v>100</v>
      </c>
      <c r="X17" s="1265"/>
      <c r="Y17" s="338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384"/>
      <c r="Q18" s="1263"/>
      <c r="R18" s="667"/>
      <c r="S18" s="668"/>
      <c r="T18" s="667"/>
      <c r="U18" s="668"/>
      <c r="V18" s="667"/>
      <c r="W18" s="668"/>
      <c r="X18" s="1265"/>
      <c r="Y18" s="3384"/>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84"/>
      <c r="Q19" s="1263" t="str">
        <f>B19</f>
        <v>办公集聚程度</v>
      </c>
      <c r="R19" s="667" t="s">
        <v>14</v>
      </c>
      <c r="S19" s="668">
        <f>F19</f>
        <v>100</v>
      </c>
      <c r="T19" s="667" t="s">
        <v>14</v>
      </c>
      <c r="U19" s="668">
        <f>H19</f>
        <v>100</v>
      </c>
      <c r="V19" s="667" t="s">
        <v>14</v>
      </c>
      <c r="W19" s="668">
        <f>J19</f>
        <v>100</v>
      </c>
      <c r="X19" s="1265"/>
      <c r="Y19" s="338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384"/>
      <c r="Q20" s="1263"/>
      <c r="R20" s="667"/>
      <c r="S20" s="668"/>
      <c r="T20" s="667"/>
      <c r="U20" s="668"/>
      <c r="V20" s="667"/>
      <c r="W20" s="668"/>
      <c r="X20" s="1265"/>
      <c r="Y20" s="3384"/>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84"/>
      <c r="Q21" s="1263" t="str">
        <f>B21</f>
        <v>交通便捷度</v>
      </c>
      <c r="R21" s="667" t="s">
        <v>14</v>
      </c>
      <c r="S21" s="668">
        <f>F21</f>
        <v>100</v>
      </c>
      <c r="T21" s="667" t="s">
        <v>14</v>
      </c>
      <c r="U21" s="668">
        <f>H21</f>
        <v>100</v>
      </c>
      <c r="V21" s="667" t="s">
        <v>14</v>
      </c>
      <c r="W21" s="668">
        <f>J21</f>
        <v>100</v>
      </c>
      <c r="X21" s="1265"/>
      <c r="Y21" s="338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384"/>
      <c r="Q22" s="1263"/>
      <c r="R22" s="667"/>
      <c r="S22" s="668"/>
      <c r="T22" s="667"/>
      <c r="U22" s="668"/>
      <c r="V22" s="667"/>
      <c r="W22" s="668"/>
      <c r="X22" s="1265"/>
      <c r="Y22" s="3384"/>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84"/>
      <c r="Q23" s="1263" t="str">
        <f t="shared" ref="Q23:Q37" si="8">B23</f>
        <v>区域土地利用方向</v>
      </c>
      <c r="R23" s="667" t="s">
        <v>14</v>
      </c>
      <c r="S23" s="668">
        <f>F23</f>
        <v>100</v>
      </c>
      <c r="T23" s="667" t="s">
        <v>14</v>
      </c>
      <c r="U23" s="668">
        <f>H23</f>
        <v>100</v>
      </c>
      <c r="V23" s="667" t="s">
        <v>14</v>
      </c>
      <c r="W23" s="668">
        <f>J23</f>
        <v>100</v>
      </c>
      <c r="X23" s="1265"/>
      <c r="Y23" s="338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384"/>
      <c r="Q24" s="1263"/>
      <c r="R24" s="667"/>
      <c r="S24" s="668"/>
      <c r="T24" s="667"/>
      <c r="U24" s="668"/>
      <c r="V24" s="667"/>
      <c r="W24" s="668"/>
      <c r="X24" s="1265"/>
      <c r="Y24" s="3384"/>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84"/>
      <c r="Q25" s="1263" t="str">
        <f t="shared" si="8"/>
        <v>自然及人文环境状况</v>
      </c>
      <c r="R25" s="667" t="s">
        <v>14</v>
      </c>
      <c r="S25" s="668">
        <f>F25</f>
        <v>100</v>
      </c>
      <c r="T25" s="667" t="s">
        <v>14</v>
      </c>
      <c r="U25" s="668">
        <f>H25</f>
        <v>100</v>
      </c>
      <c r="V25" s="667" t="s">
        <v>14</v>
      </c>
      <c r="W25" s="668">
        <f>J25</f>
        <v>100</v>
      </c>
      <c r="X25" s="1265"/>
      <c r="Y25" s="338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384"/>
      <c r="Q26" s="1263"/>
      <c r="R26" s="667"/>
      <c r="S26" s="668"/>
      <c r="T26" s="667"/>
      <c r="U26" s="668"/>
      <c r="V26" s="667"/>
      <c r="W26" s="668"/>
      <c r="X26" s="1265"/>
      <c r="Y26" s="3384"/>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84"/>
      <c r="Q27" s="530" t="str">
        <f t="shared" si="8"/>
        <v>公共配套设施</v>
      </c>
      <c r="R27" s="664" t="s">
        <v>14</v>
      </c>
      <c r="S27" s="665">
        <f>F27</f>
        <v>100</v>
      </c>
      <c r="T27" s="664" t="s">
        <v>14</v>
      </c>
      <c r="U27" s="665">
        <f>H27</f>
        <v>100</v>
      </c>
      <c r="V27" s="664" t="s">
        <v>14</v>
      </c>
      <c r="W27" s="665">
        <f>J27</f>
        <v>100</v>
      </c>
      <c r="X27" s="666"/>
      <c r="Y27" s="338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39"/>
      <c r="N28" s="2439"/>
      <c r="O28" s="2540"/>
      <c r="P28" s="3384"/>
      <c r="Q28" s="530"/>
      <c r="R28" s="664"/>
      <c r="S28" s="665"/>
      <c r="T28" s="664"/>
      <c r="U28" s="665"/>
      <c r="V28" s="664"/>
      <c r="W28" s="665"/>
      <c r="X28" s="666"/>
      <c r="Y28" s="3384"/>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84"/>
      <c r="Q29" s="530" t="str">
        <f t="shared" ref="Q29" si="9">B29</f>
        <v>基础设施水平</v>
      </c>
      <c r="R29" s="664" t="s">
        <v>14</v>
      </c>
      <c r="S29" s="665">
        <f>F29</f>
        <v>100</v>
      </c>
      <c r="T29" s="664" t="s">
        <v>14</v>
      </c>
      <c r="U29" s="665">
        <f>H29</f>
        <v>100</v>
      </c>
      <c r="V29" s="664" t="s">
        <v>14</v>
      </c>
      <c r="W29" s="665">
        <f>J29</f>
        <v>100</v>
      </c>
      <c r="X29" s="666"/>
      <c r="Y29" s="338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39"/>
      <c r="N30" s="2439"/>
      <c r="O30" s="2540"/>
      <c r="P30" s="3384"/>
      <c r="Q30" s="530"/>
      <c r="R30" s="664"/>
      <c r="S30" s="665"/>
      <c r="T30" s="664"/>
      <c r="U30" s="665"/>
      <c r="V30" s="664"/>
      <c r="W30" s="665"/>
      <c r="X30" s="666"/>
      <c r="Y30" s="338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8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84"/>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84"/>
      <c r="Q32" s="1263" t="str">
        <f t="shared" si="8"/>
        <v>毗邻道路的类型与等级</v>
      </c>
      <c r="R32" s="667" t="s">
        <v>14</v>
      </c>
      <c r="S32" s="668">
        <f t="shared" si="10"/>
        <v>100</v>
      </c>
      <c r="T32" s="667" t="s">
        <v>14</v>
      </c>
      <c r="U32" s="668">
        <f t="shared" si="11"/>
        <v>100</v>
      </c>
      <c r="V32" s="667" t="s">
        <v>14</v>
      </c>
      <c r="W32" s="668">
        <f t="shared" si="12"/>
        <v>100</v>
      </c>
      <c r="X32" s="1265"/>
      <c r="Y32" s="338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384"/>
      <c r="Q33" s="1263"/>
      <c r="R33" s="667"/>
      <c r="S33" s="668"/>
      <c r="T33" s="667"/>
      <c r="U33" s="668"/>
      <c r="V33" s="667"/>
      <c r="W33" s="668"/>
      <c r="X33" s="1265"/>
      <c r="Y33" s="338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84"/>
      <c r="Q34" s="1263" t="str">
        <f t="shared" si="8"/>
        <v>土地级别</v>
      </c>
      <c r="R34" s="667" t="s">
        <v>14</v>
      </c>
      <c r="S34" s="668">
        <f t="shared" si="10"/>
        <v>100</v>
      </c>
      <c r="T34" s="667" t="s">
        <v>14</v>
      </c>
      <c r="U34" s="668">
        <f t="shared" si="11"/>
        <v>100</v>
      </c>
      <c r="V34" s="667" t="s">
        <v>14</v>
      </c>
      <c r="W34" s="668">
        <f t="shared" si="12"/>
        <v>100</v>
      </c>
      <c r="X34" s="1265"/>
      <c r="Y34" s="338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84"/>
      <c r="Q35" s="1263">
        <f t="shared" si="8"/>
        <v>111</v>
      </c>
      <c r="R35" s="667" t="s">
        <v>14</v>
      </c>
      <c r="S35" s="668">
        <f t="shared" si="10"/>
        <v>100</v>
      </c>
      <c r="T35" s="667" t="s">
        <v>14</v>
      </c>
      <c r="U35" s="668">
        <f t="shared" si="11"/>
        <v>100</v>
      </c>
      <c r="V35" s="667" t="s">
        <v>14</v>
      </c>
      <c r="W35" s="668">
        <f t="shared" si="12"/>
        <v>100</v>
      </c>
      <c r="X35" s="1265"/>
      <c r="Y35" s="338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38" t="s">
        <v>1696</v>
      </c>
      <c r="Q36" s="1263">
        <f t="shared" si="8"/>
        <v>111</v>
      </c>
      <c r="R36" s="667" t="s">
        <v>14</v>
      </c>
      <c r="S36" s="668">
        <f t="shared" si="10"/>
        <v>100</v>
      </c>
      <c r="T36" s="667" t="s">
        <v>14</v>
      </c>
      <c r="U36" s="668">
        <f t="shared" si="11"/>
        <v>100</v>
      </c>
      <c r="V36" s="667" t="s">
        <v>14</v>
      </c>
      <c r="W36" s="668">
        <f t="shared" si="12"/>
        <v>100</v>
      </c>
      <c r="X36" s="1265"/>
      <c r="Y36" s="3388"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88"/>
      <c r="Q37" s="1263">
        <f t="shared" si="8"/>
        <v>111</v>
      </c>
      <c r="R37" s="669" t="s">
        <v>14</v>
      </c>
      <c r="S37" s="670">
        <f t="shared" si="10"/>
        <v>100</v>
      </c>
      <c r="T37" s="669" t="s">
        <v>14</v>
      </c>
      <c r="U37" s="670">
        <f t="shared" si="11"/>
        <v>100</v>
      </c>
      <c r="V37" s="669" t="s">
        <v>14</v>
      </c>
      <c r="W37" s="670">
        <f t="shared" si="12"/>
        <v>100</v>
      </c>
      <c r="X37" s="671"/>
      <c r="Y37" s="3388"/>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88"/>
      <c r="Q38" s="1263" t="str">
        <f>B38</f>
        <v>宗地面积</v>
      </c>
      <c r="R38" s="667" t="s">
        <v>14</v>
      </c>
      <c r="S38" s="668" t="e">
        <f t="shared" si="10"/>
        <v>#N/A</v>
      </c>
      <c r="T38" s="667" t="s">
        <v>14</v>
      </c>
      <c r="U38" s="668" t="e">
        <f t="shared" si="11"/>
        <v>#N/A</v>
      </c>
      <c r="V38" s="667" t="s">
        <v>14</v>
      </c>
      <c r="W38" s="668" t="e">
        <f t="shared" si="12"/>
        <v>#N/A</v>
      </c>
      <c r="X38" s="1265"/>
      <c r="Y38" s="338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388"/>
      <c r="Q39" s="1263" t="str">
        <f t="shared" ref="Q39:Q45" si="14">B39</f>
        <v>宗地形状</v>
      </c>
      <c r="R39" s="667" t="s">
        <v>14</v>
      </c>
      <c r="S39" s="668">
        <f t="shared" si="10"/>
        <v>100</v>
      </c>
      <c r="T39" s="667" t="s">
        <v>14</v>
      </c>
      <c r="U39" s="668">
        <f t="shared" si="11"/>
        <v>100</v>
      </c>
      <c r="V39" s="667" t="s">
        <v>14</v>
      </c>
      <c r="W39" s="668">
        <f t="shared" si="12"/>
        <v>100</v>
      </c>
      <c r="X39" s="1265"/>
      <c r="Y39" s="338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388"/>
      <c r="Q40" s="1263" t="str">
        <f t="shared" si="14"/>
        <v>临街宽度及深度</v>
      </c>
      <c r="R40" s="667" t="s">
        <v>14</v>
      </c>
      <c r="S40" s="668">
        <f t="shared" si="10"/>
        <v>100</v>
      </c>
      <c r="T40" s="667" t="s">
        <v>14</v>
      </c>
      <c r="U40" s="668">
        <f t="shared" si="11"/>
        <v>100</v>
      </c>
      <c r="V40" s="667" t="s">
        <v>14</v>
      </c>
      <c r="W40" s="668">
        <f t="shared" si="12"/>
        <v>100</v>
      </c>
      <c r="X40" s="1265"/>
      <c r="Y40" s="338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39"/>
      <c r="N41" s="2439"/>
      <c r="O41" s="2540"/>
      <c r="P41" s="3388"/>
      <c r="Q41" s="1263" t="str">
        <f t="shared" si="14"/>
        <v>宗地开发程度</v>
      </c>
      <c r="R41" s="664" t="s">
        <v>14</v>
      </c>
      <c r="S41" s="665">
        <f t="shared" si="10"/>
        <v>100</v>
      </c>
      <c r="T41" s="664" t="s">
        <v>14</v>
      </c>
      <c r="U41" s="665">
        <f t="shared" si="11"/>
        <v>100</v>
      </c>
      <c r="V41" s="664" t="s">
        <v>14</v>
      </c>
      <c r="W41" s="665">
        <f t="shared" si="12"/>
        <v>100</v>
      </c>
      <c r="X41" s="666"/>
      <c r="Y41" s="338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388" t="s">
        <v>1696</v>
      </c>
      <c r="Q42" s="1263" t="str">
        <f t="shared" si="14"/>
        <v>工程地质条件</v>
      </c>
      <c r="R42" s="667" t="s">
        <v>14</v>
      </c>
      <c r="S42" s="668">
        <f t="shared" si="10"/>
        <v>100</v>
      </c>
      <c r="T42" s="667" t="s">
        <v>14</v>
      </c>
      <c r="U42" s="668">
        <f t="shared" si="11"/>
        <v>100</v>
      </c>
      <c r="V42" s="667" t="s">
        <v>14</v>
      </c>
      <c r="W42" s="668">
        <f t="shared" si="12"/>
        <v>100</v>
      </c>
      <c r="X42" s="1265"/>
      <c r="Y42" s="338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88"/>
      <c r="Q43" s="1263">
        <f t="shared" si="14"/>
        <v>111</v>
      </c>
      <c r="R43" s="667" t="s">
        <v>14</v>
      </c>
      <c r="S43" s="668">
        <f t="shared" si="10"/>
        <v>100</v>
      </c>
      <c r="T43" s="667" t="s">
        <v>14</v>
      </c>
      <c r="U43" s="668">
        <f t="shared" si="11"/>
        <v>100</v>
      </c>
      <c r="V43" s="667" t="s">
        <v>14</v>
      </c>
      <c r="W43" s="668">
        <f t="shared" si="12"/>
        <v>100</v>
      </c>
      <c r="X43" s="1265"/>
      <c r="Y43" s="338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88"/>
      <c r="Q44" s="1263">
        <f t="shared" si="14"/>
        <v>111</v>
      </c>
      <c r="R44" s="667" t="s">
        <v>14</v>
      </c>
      <c r="S44" s="668">
        <f t="shared" si="10"/>
        <v>100</v>
      </c>
      <c r="T44" s="667" t="s">
        <v>14</v>
      </c>
      <c r="U44" s="668">
        <f t="shared" si="11"/>
        <v>100</v>
      </c>
      <c r="V44" s="667" t="s">
        <v>14</v>
      </c>
      <c r="W44" s="668">
        <f t="shared" si="12"/>
        <v>100</v>
      </c>
      <c r="X44" s="1265"/>
      <c r="Y44" s="3388"/>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88"/>
      <c r="Q45" s="1263">
        <f t="shared" si="14"/>
        <v>111</v>
      </c>
      <c r="R45" s="669" t="s">
        <v>14</v>
      </c>
      <c r="S45" s="670">
        <f t="shared" si="10"/>
        <v>100</v>
      </c>
      <c r="T45" s="669" t="s">
        <v>14</v>
      </c>
      <c r="U45" s="670">
        <f t="shared" si="11"/>
        <v>100</v>
      </c>
      <c r="V45" s="669" t="s">
        <v>14</v>
      </c>
      <c r="W45" s="670">
        <f t="shared" si="12"/>
        <v>100</v>
      </c>
      <c r="X45" s="671"/>
      <c r="Y45" s="3388"/>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4"/>
      <c r="M46" s="2487"/>
      <c r="N46" s="2487"/>
      <c r="O46" s="2487"/>
      <c r="P46" s="3381" t="str">
        <f>A46</f>
        <v>成交单价</v>
      </c>
      <c r="Q46" s="3381"/>
      <c r="R46" s="3382">
        <f>E46</f>
        <v>0</v>
      </c>
      <c r="S46" s="3382"/>
      <c r="T46" s="3382">
        <f>G46</f>
        <v>0</v>
      </c>
      <c r="U46" s="3382"/>
      <c r="V46" s="3382">
        <f>I46</f>
        <v>0</v>
      </c>
      <c r="W46" s="3382"/>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381" t="str">
        <f>A47</f>
        <v>比较价值（元/平方米）</v>
      </c>
      <c r="Q47" s="3381"/>
      <c r="R47" s="3440" t="e">
        <f>ROUND(PRODUCT(R46,AA7:AA45),0)</f>
        <v>#DIV/0!</v>
      </c>
      <c r="S47" s="3440"/>
      <c r="T47" s="3440" t="e">
        <f>ROUND(PRODUCT(T46,AB7:AB45),0)</f>
        <v>#DIV/0!</v>
      </c>
      <c r="U47" s="3440"/>
      <c r="V47" s="3440" t="e">
        <f>ROUND(PRODUCT(V46,AC7:AC45),0)</f>
        <v>#DIV/0!</v>
      </c>
      <c r="W47" s="3440"/>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4"/>
      <c r="M48" s="2487"/>
      <c r="N48" s="2487"/>
      <c r="O48" s="2487"/>
      <c r="P48" s="3378" t="str">
        <f>A48</f>
        <v>估价对象XX用房的比较价值（楼面单价，元/平方米）</v>
      </c>
      <c r="Q48" s="3379"/>
      <c r="R48" s="3441" t="e">
        <f>ROUND(IF(D47="简单平均",AVERAGE(R47:W47),R47*F47+T47*H47+V47*J47),0)</f>
        <v>#DIV/0!</v>
      </c>
      <c r="S48" s="3441"/>
      <c r="T48" s="3441"/>
      <c r="U48" s="3441"/>
      <c r="V48" s="3441"/>
      <c r="W48" s="3441"/>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396" t="s">
        <v>1887</v>
      </c>
      <c r="H55" s="3442"/>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166.53</v>
      </c>
      <c r="F56" s="833" t="e">
        <f t="shared" ref="F56:F64" si="15">ROUND(B56*E56/10000,0)</f>
        <v>#DIV/0!</v>
      </c>
      <c r="G56" s="3392"/>
      <c r="H56" s="3381"/>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166.53</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2025-3-1</v>
      </c>
      <c r="D67" s="656">
        <f>EDATE(C67,-3)</f>
        <v>45627</v>
      </c>
      <c r="E67" s="656">
        <f>EDATE(D67,-3)</f>
        <v>45536</v>
      </c>
      <c r="F67" s="656">
        <f t="shared" ref="F67:O67" si="18">EDATE(E67,-3)</f>
        <v>45444</v>
      </c>
      <c r="G67" s="656">
        <f t="shared" si="18"/>
        <v>45352</v>
      </c>
      <c r="H67" s="656">
        <f t="shared" si="18"/>
        <v>45261</v>
      </c>
      <c r="I67" s="656">
        <f t="shared" si="18"/>
        <v>45170</v>
      </c>
      <c r="J67" s="656">
        <f t="shared" si="18"/>
        <v>45078</v>
      </c>
      <c r="K67" s="656">
        <f t="shared" si="18"/>
        <v>44986</v>
      </c>
      <c r="L67" s="656">
        <f t="shared" si="18"/>
        <v>44896</v>
      </c>
      <c r="M67" s="656">
        <f t="shared" si="18"/>
        <v>44805</v>
      </c>
      <c r="N67" s="656">
        <f t="shared" si="18"/>
        <v>44713</v>
      </c>
      <c r="O67" s="656">
        <f t="shared" si="18"/>
        <v>44621</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96" t="s">
        <v>1770</v>
      </c>
      <c r="D4" s="3397"/>
      <c r="E4" s="3398" t="s">
        <v>1771</v>
      </c>
      <c r="F4" s="3399"/>
      <c r="G4" s="3396" t="s">
        <v>1772</v>
      </c>
      <c r="H4" s="3397"/>
      <c r="I4" s="3396" t="s">
        <v>1773</v>
      </c>
      <c r="J4" s="3397"/>
      <c r="K4" s="537" t="s">
        <v>1774</v>
      </c>
      <c r="L4" s="2486"/>
      <c r="M4" s="2487"/>
      <c r="N4" s="2487"/>
      <c r="O4" s="2487"/>
      <c r="P4" s="3400" t="s">
        <v>1775</v>
      </c>
      <c r="Q4" s="3401"/>
      <c r="R4" s="3406" t="s">
        <v>1771</v>
      </c>
      <c r="S4" s="3407"/>
      <c r="T4" s="3406" t="s">
        <v>1772</v>
      </c>
      <c r="U4" s="3407"/>
      <c r="V4" s="3382" t="s">
        <v>1773</v>
      </c>
      <c r="W4" s="3382"/>
      <c r="X4" s="1265"/>
      <c r="Y4" s="3406" t="s">
        <v>1775</v>
      </c>
      <c r="Z4" s="3407"/>
      <c r="AA4" s="3393" t="s">
        <v>1771</v>
      </c>
      <c r="AB4" s="3394" t="s">
        <v>1772</v>
      </c>
      <c r="AC4" s="3393" t="s">
        <v>1773</v>
      </c>
    </row>
    <row r="5" spans="1:29">
      <c r="A5" s="348"/>
      <c r="B5" s="349"/>
      <c r="C5" s="3414" t="s">
        <v>1673</v>
      </c>
      <c r="D5" s="3415"/>
      <c r="E5" s="3421" t="s">
        <v>1674</v>
      </c>
      <c r="F5" s="3422"/>
      <c r="G5" s="3414" t="s">
        <v>1675</v>
      </c>
      <c r="H5" s="3415"/>
      <c r="I5" s="3414" t="s">
        <v>1676</v>
      </c>
      <c r="J5" s="3415"/>
      <c r="K5" s="537"/>
      <c r="L5" s="2486"/>
      <c r="M5" s="2487"/>
      <c r="N5" s="2487"/>
      <c r="O5" s="2487"/>
      <c r="P5" s="3402"/>
      <c r="Q5" s="3403"/>
      <c r="R5" s="3408"/>
      <c r="S5" s="3409"/>
      <c r="T5" s="3408"/>
      <c r="U5" s="3409"/>
      <c r="V5" s="3382"/>
      <c r="W5" s="3382"/>
      <c r="X5" s="1265"/>
      <c r="Y5" s="3408"/>
      <c r="Z5" s="3409"/>
      <c r="AA5" s="3394"/>
      <c r="AB5" s="3394"/>
      <c r="AC5" s="3394"/>
    </row>
    <row r="6" spans="1:29" ht="15" thickBot="1">
      <c r="A6" s="350"/>
      <c r="B6" s="351"/>
      <c r="C6" s="3443" t="s">
        <v>1919</v>
      </c>
      <c r="D6" s="3444"/>
      <c r="E6" s="3445" t="s">
        <v>1919</v>
      </c>
      <c r="F6" s="3446"/>
      <c r="G6" s="3443" t="s">
        <v>1919</v>
      </c>
      <c r="H6" s="3444"/>
      <c r="I6" s="3443" t="s">
        <v>1919</v>
      </c>
      <c r="J6" s="3444"/>
      <c r="K6" s="537" t="s">
        <v>1678</v>
      </c>
      <c r="L6" s="2486"/>
      <c r="M6" s="2487"/>
      <c r="N6" s="2487"/>
      <c r="O6" s="2487"/>
      <c r="P6" s="3404"/>
      <c r="Q6" s="3405"/>
      <c r="R6" s="3408"/>
      <c r="S6" s="3409"/>
      <c r="T6" s="3410"/>
      <c r="U6" s="3411"/>
      <c r="V6" s="3382"/>
      <c r="W6" s="3382"/>
      <c r="X6" s="1265"/>
      <c r="Y6" s="3410"/>
      <c r="Z6" s="3411"/>
      <c r="AA6" s="3395"/>
      <c r="AB6" s="3395"/>
      <c r="AC6" s="3395"/>
    </row>
    <row r="7" spans="1:29" s="102" customFormat="1" ht="15" thickBot="1">
      <c r="A7" s="352" t="s">
        <v>1679</v>
      </c>
      <c r="B7" s="353"/>
      <c r="C7" s="354">
        <f>'数据-取费表'!B2</f>
        <v>45734</v>
      </c>
      <c r="D7" s="355">
        <v>100</v>
      </c>
      <c r="E7" s="356"/>
      <c r="F7" s="357">
        <f>SUMIF(65:65,YEAR(E7)&amp;"-"&amp;INT((MONTH(E7)+2)/3),66:66)</f>
        <v>0</v>
      </c>
      <c r="G7" s="1822"/>
      <c r="H7" s="355">
        <f>SUMIF(65:65,YEAR(G7)&amp;"-"&amp;INT((MONTH(G7)+2)/3),66:66)</f>
        <v>0</v>
      </c>
      <c r="I7" s="1822"/>
      <c r="J7" s="355">
        <f>SUMIF(65:65,YEAR(I7)&amp;"-"&amp;INT((MONTH(I7)+2)/3),66:66)</f>
        <v>0</v>
      </c>
      <c r="K7" s="38"/>
      <c r="L7" s="2488"/>
      <c r="M7" s="2439"/>
      <c r="N7" s="2439"/>
      <c r="O7" s="2439"/>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16" t="s">
        <v>1683</v>
      </c>
      <c r="Q8" s="3417"/>
      <c r="R8" s="664" t="s">
        <v>14</v>
      </c>
      <c r="S8" s="665">
        <f t="shared" si="0"/>
        <v>0</v>
      </c>
      <c r="T8" s="664" t="s">
        <v>14</v>
      </c>
      <c r="U8" s="665">
        <f t="shared" si="1"/>
        <v>0</v>
      </c>
      <c r="V8" s="664" t="s">
        <v>14</v>
      </c>
      <c r="W8" s="665">
        <f t="shared" si="2"/>
        <v>0</v>
      </c>
      <c r="X8" s="666"/>
      <c r="Y8" s="3416" t="s">
        <v>1683</v>
      </c>
      <c r="Z8" s="3417"/>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39"/>
      <c r="N9" s="2439"/>
      <c r="O9" s="2540"/>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381"/>
      <c r="Q10" s="530" t="str">
        <f t="shared" si="6"/>
        <v>土地使用年限（年）</v>
      </c>
      <c r="R10" s="664" t="s">
        <v>14</v>
      </c>
      <c r="S10" s="665" t="e">
        <f t="shared" si="0"/>
        <v>#DIV/0!</v>
      </c>
      <c r="T10" s="664" t="s">
        <v>14</v>
      </c>
      <c r="U10" s="665" t="e">
        <f t="shared" si="1"/>
        <v>#DIV/0!</v>
      </c>
      <c r="V10" s="664" t="s">
        <v>14</v>
      </c>
      <c r="W10" s="665" t="e">
        <f t="shared" si="2"/>
        <v>#DIV/0!</v>
      </c>
      <c r="X10" s="666"/>
      <c r="Y10" s="325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81"/>
      <c r="Q11" s="530" t="str">
        <f t="shared" si="6"/>
        <v>容积率</v>
      </c>
      <c r="R11" s="664" t="s">
        <v>14</v>
      </c>
      <c r="S11" s="665" t="e">
        <f t="shared" si="0"/>
        <v>#N/A</v>
      </c>
      <c r="T11" s="664" t="s">
        <v>14</v>
      </c>
      <c r="U11" s="665" t="e">
        <f t="shared" si="1"/>
        <v>#N/A</v>
      </c>
      <c r="V11" s="664" t="s">
        <v>14</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83" t="s">
        <v>1691</v>
      </c>
      <c r="Q15" s="1263" t="str">
        <f t="shared" si="6"/>
        <v>产业集聚程度</v>
      </c>
      <c r="R15" s="667" t="s">
        <v>14</v>
      </c>
      <c r="S15" s="668">
        <f t="shared" si="0"/>
        <v>100</v>
      </c>
      <c r="T15" s="667" t="s">
        <v>14</v>
      </c>
      <c r="U15" s="668">
        <f t="shared" si="1"/>
        <v>100</v>
      </c>
      <c r="V15" s="667" t="s">
        <v>14</v>
      </c>
      <c r="W15" s="668">
        <f t="shared" si="2"/>
        <v>100</v>
      </c>
      <c r="X15" s="1265"/>
      <c r="Y15" s="338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384"/>
      <c r="Q16" s="1263"/>
      <c r="R16" s="667"/>
      <c r="S16" s="668"/>
      <c r="T16" s="667"/>
      <c r="U16" s="668"/>
      <c r="V16" s="667"/>
      <c r="W16" s="668"/>
      <c r="X16" s="1265"/>
      <c r="Y16" s="3384"/>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84"/>
      <c r="Q17" s="1263" t="str">
        <f>B17</f>
        <v>交通便捷度</v>
      </c>
      <c r="R17" s="667" t="s">
        <v>14</v>
      </c>
      <c r="S17" s="668">
        <f>F17</f>
        <v>100</v>
      </c>
      <c r="T17" s="667" t="s">
        <v>14</v>
      </c>
      <c r="U17" s="668">
        <f>H17</f>
        <v>100</v>
      </c>
      <c r="V17" s="667" t="s">
        <v>14</v>
      </c>
      <c r="W17" s="668">
        <f>J17</f>
        <v>100</v>
      </c>
      <c r="X17" s="1265"/>
      <c r="Y17" s="338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384"/>
      <c r="Q18" s="1263"/>
      <c r="R18" s="667"/>
      <c r="S18" s="668"/>
      <c r="T18" s="667"/>
      <c r="U18" s="668"/>
      <c r="V18" s="667"/>
      <c r="W18" s="668"/>
      <c r="X18" s="1265"/>
      <c r="Y18" s="3384"/>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84"/>
      <c r="Q19" s="1263" t="str">
        <f t="shared" ref="Q19:Q33" si="8">B19</f>
        <v>区域土地利用方向</v>
      </c>
      <c r="R19" s="667" t="s">
        <v>14</v>
      </c>
      <c r="S19" s="668">
        <f>F19</f>
        <v>100</v>
      </c>
      <c r="T19" s="667" t="s">
        <v>14</v>
      </c>
      <c r="U19" s="668">
        <f>H19</f>
        <v>100</v>
      </c>
      <c r="V19" s="667" t="s">
        <v>14</v>
      </c>
      <c r="W19" s="668">
        <f>J19</f>
        <v>100</v>
      </c>
      <c r="X19" s="1265"/>
      <c r="Y19" s="338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384"/>
      <c r="Q20" s="1263"/>
      <c r="R20" s="667"/>
      <c r="S20" s="668"/>
      <c r="T20" s="667"/>
      <c r="U20" s="668"/>
      <c r="V20" s="667"/>
      <c r="W20" s="668"/>
      <c r="X20" s="1265"/>
      <c r="Y20" s="3384"/>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84"/>
      <c r="Q21" s="1263" t="str">
        <f t="shared" si="8"/>
        <v>环境状况</v>
      </c>
      <c r="R21" s="667" t="s">
        <v>14</v>
      </c>
      <c r="S21" s="668">
        <f>F21</f>
        <v>100</v>
      </c>
      <c r="T21" s="667" t="s">
        <v>14</v>
      </c>
      <c r="U21" s="668">
        <f>H21</f>
        <v>100</v>
      </c>
      <c r="V21" s="667" t="s">
        <v>14</v>
      </c>
      <c r="W21" s="668">
        <f>J21</f>
        <v>100</v>
      </c>
      <c r="X21" s="1265"/>
      <c r="Y21" s="338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384"/>
      <c r="Q22" s="1263"/>
      <c r="R22" s="667"/>
      <c r="S22" s="668"/>
      <c r="T22" s="667"/>
      <c r="U22" s="668"/>
      <c r="V22" s="667"/>
      <c r="W22" s="668"/>
      <c r="X22" s="1265"/>
      <c r="Y22" s="3384"/>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84"/>
      <c r="Q23" s="530" t="str">
        <f t="shared" si="8"/>
        <v>公共配套设施</v>
      </c>
      <c r="R23" s="664" t="s">
        <v>14</v>
      </c>
      <c r="S23" s="665">
        <f>F23</f>
        <v>100</v>
      </c>
      <c r="T23" s="664" t="s">
        <v>14</v>
      </c>
      <c r="U23" s="665">
        <f>H23</f>
        <v>100</v>
      </c>
      <c r="V23" s="664" t="s">
        <v>14</v>
      </c>
      <c r="W23" s="665">
        <f>J23</f>
        <v>100</v>
      </c>
      <c r="X23" s="666"/>
      <c r="Y23" s="338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39"/>
      <c r="N24" s="2439"/>
      <c r="O24" s="2540"/>
      <c r="P24" s="3384"/>
      <c r="Q24" s="530"/>
      <c r="R24" s="664"/>
      <c r="S24" s="665"/>
      <c r="T24" s="664"/>
      <c r="U24" s="665"/>
      <c r="V24" s="664"/>
      <c r="W24" s="665"/>
      <c r="X24" s="666"/>
      <c r="Y24" s="3384"/>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84"/>
      <c r="Q25" s="530" t="str">
        <f t="shared" ref="Q25" si="9">B25</f>
        <v>基础设施水平</v>
      </c>
      <c r="R25" s="664" t="s">
        <v>14</v>
      </c>
      <c r="S25" s="665">
        <f>F25</f>
        <v>100</v>
      </c>
      <c r="T25" s="664" t="s">
        <v>14</v>
      </c>
      <c r="U25" s="665">
        <f>H25</f>
        <v>100</v>
      </c>
      <c r="V25" s="664" t="s">
        <v>14</v>
      </c>
      <c r="W25" s="665">
        <f>J25</f>
        <v>100</v>
      </c>
      <c r="X25" s="666"/>
      <c r="Y25" s="338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39"/>
      <c r="N26" s="2439"/>
      <c r="O26" s="2540"/>
      <c r="P26" s="3384"/>
      <c r="Q26" s="530"/>
      <c r="R26" s="664"/>
      <c r="S26" s="665"/>
      <c r="T26" s="664"/>
      <c r="U26" s="665"/>
      <c r="V26" s="664"/>
      <c r="W26" s="665"/>
      <c r="X26" s="666"/>
      <c r="Y26" s="338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8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84"/>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84"/>
      <c r="Q28" s="1263" t="str">
        <f t="shared" si="8"/>
        <v>毗邻道路的类型与等级</v>
      </c>
      <c r="R28" s="667" t="s">
        <v>14</v>
      </c>
      <c r="S28" s="668">
        <f t="shared" si="10"/>
        <v>100</v>
      </c>
      <c r="T28" s="667" t="s">
        <v>14</v>
      </c>
      <c r="U28" s="668">
        <f t="shared" si="11"/>
        <v>100</v>
      </c>
      <c r="V28" s="667" t="s">
        <v>14</v>
      </c>
      <c r="W28" s="668">
        <f t="shared" si="12"/>
        <v>100</v>
      </c>
      <c r="X28" s="1265"/>
      <c r="Y28" s="338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384"/>
      <c r="Q29" s="1263"/>
      <c r="R29" s="667"/>
      <c r="S29" s="668"/>
      <c r="T29" s="667"/>
      <c r="U29" s="668"/>
      <c r="V29" s="667"/>
      <c r="W29" s="668"/>
      <c r="X29" s="1265"/>
      <c r="Y29" s="338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84"/>
      <c r="Q30" s="1263" t="str">
        <f t="shared" si="8"/>
        <v>土地级别</v>
      </c>
      <c r="R30" s="667" t="s">
        <v>14</v>
      </c>
      <c r="S30" s="668">
        <f t="shared" si="10"/>
        <v>100</v>
      </c>
      <c r="T30" s="667" t="s">
        <v>14</v>
      </c>
      <c r="U30" s="668">
        <f t="shared" si="11"/>
        <v>100</v>
      </c>
      <c r="V30" s="667" t="s">
        <v>14</v>
      </c>
      <c r="W30" s="668">
        <f t="shared" si="12"/>
        <v>100</v>
      </c>
      <c r="X30" s="1265"/>
      <c r="Y30" s="338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84"/>
      <c r="Q31" s="1263">
        <f t="shared" si="8"/>
        <v>111</v>
      </c>
      <c r="R31" s="667" t="s">
        <v>14</v>
      </c>
      <c r="S31" s="668">
        <f t="shared" si="10"/>
        <v>100</v>
      </c>
      <c r="T31" s="667" t="s">
        <v>14</v>
      </c>
      <c r="U31" s="668">
        <f t="shared" si="11"/>
        <v>100</v>
      </c>
      <c r="V31" s="667" t="s">
        <v>14</v>
      </c>
      <c r="W31" s="668">
        <f t="shared" si="12"/>
        <v>100</v>
      </c>
      <c r="X31" s="1265"/>
      <c r="Y31" s="338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38" t="s">
        <v>1696</v>
      </c>
      <c r="Q32" s="1263">
        <f t="shared" si="8"/>
        <v>111</v>
      </c>
      <c r="R32" s="667" t="s">
        <v>14</v>
      </c>
      <c r="S32" s="668">
        <f t="shared" si="10"/>
        <v>100</v>
      </c>
      <c r="T32" s="667" t="s">
        <v>14</v>
      </c>
      <c r="U32" s="668">
        <f t="shared" si="11"/>
        <v>100</v>
      </c>
      <c r="V32" s="667" t="s">
        <v>14</v>
      </c>
      <c r="W32" s="668">
        <f t="shared" si="12"/>
        <v>100</v>
      </c>
      <c r="X32" s="1265"/>
      <c r="Y32" s="3388"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88"/>
      <c r="Q33" s="1263">
        <f t="shared" si="8"/>
        <v>111</v>
      </c>
      <c r="R33" s="669" t="s">
        <v>14</v>
      </c>
      <c r="S33" s="670">
        <f t="shared" si="10"/>
        <v>100</v>
      </c>
      <c r="T33" s="669" t="s">
        <v>14</v>
      </c>
      <c r="U33" s="670">
        <f t="shared" si="11"/>
        <v>100</v>
      </c>
      <c r="V33" s="669" t="s">
        <v>14</v>
      </c>
      <c r="W33" s="670">
        <f t="shared" si="12"/>
        <v>100</v>
      </c>
      <c r="X33" s="671"/>
      <c r="Y33" s="338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88"/>
      <c r="Q34" s="1263" t="str">
        <f>B34</f>
        <v>宗地面积</v>
      </c>
      <c r="R34" s="667" t="s">
        <v>14</v>
      </c>
      <c r="S34" s="668" t="e">
        <f t="shared" si="10"/>
        <v>#N/A</v>
      </c>
      <c r="T34" s="667" t="s">
        <v>14</v>
      </c>
      <c r="U34" s="668" t="e">
        <f t="shared" si="11"/>
        <v>#N/A</v>
      </c>
      <c r="V34" s="667" t="s">
        <v>14</v>
      </c>
      <c r="W34" s="668" t="e">
        <f t="shared" si="12"/>
        <v>#N/A</v>
      </c>
      <c r="X34" s="1265"/>
      <c r="Y34" s="338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388"/>
      <c r="Q35" s="1263" t="str">
        <f t="shared" ref="Q35:Q40" si="14">B35</f>
        <v>宗地形状</v>
      </c>
      <c r="R35" s="667" t="s">
        <v>14</v>
      </c>
      <c r="S35" s="668">
        <f t="shared" si="10"/>
        <v>100</v>
      </c>
      <c r="T35" s="667" t="s">
        <v>14</v>
      </c>
      <c r="U35" s="668">
        <f t="shared" si="11"/>
        <v>100</v>
      </c>
      <c r="V35" s="667" t="s">
        <v>14</v>
      </c>
      <c r="W35" s="668">
        <f t="shared" si="12"/>
        <v>100</v>
      </c>
      <c r="X35" s="1265"/>
      <c r="Y35" s="338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39"/>
      <c r="N36" s="2439"/>
      <c r="O36" s="2540"/>
      <c r="P36" s="3388"/>
      <c r="Q36" s="1263" t="str">
        <f t="shared" si="14"/>
        <v>宗地开发程度</v>
      </c>
      <c r="R36" s="664" t="s">
        <v>14</v>
      </c>
      <c r="S36" s="665">
        <f t="shared" si="10"/>
        <v>100</v>
      </c>
      <c r="T36" s="664" t="s">
        <v>14</v>
      </c>
      <c r="U36" s="665">
        <f t="shared" si="11"/>
        <v>100</v>
      </c>
      <c r="V36" s="664" t="s">
        <v>14</v>
      </c>
      <c r="W36" s="665">
        <f t="shared" si="12"/>
        <v>100</v>
      </c>
      <c r="X36" s="666"/>
      <c r="Y36" s="338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388" t="s">
        <v>1696</v>
      </c>
      <c r="Q37" s="1263" t="str">
        <f t="shared" si="14"/>
        <v>工程地质条件</v>
      </c>
      <c r="R37" s="667" t="s">
        <v>14</v>
      </c>
      <c r="S37" s="668">
        <f t="shared" si="10"/>
        <v>100</v>
      </c>
      <c r="T37" s="667" t="s">
        <v>14</v>
      </c>
      <c r="U37" s="668">
        <f t="shared" si="11"/>
        <v>100</v>
      </c>
      <c r="V37" s="667" t="s">
        <v>14</v>
      </c>
      <c r="W37" s="668">
        <f t="shared" si="12"/>
        <v>100</v>
      </c>
      <c r="X37" s="1265"/>
      <c r="Y37" s="338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88"/>
      <c r="Q38" s="1263">
        <f t="shared" si="14"/>
        <v>111</v>
      </c>
      <c r="R38" s="667" t="s">
        <v>14</v>
      </c>
      <c r="S38" s="668">
        <f t="shared" si="10"/>
        <v>100</v>
      </c>
      <c r="T38" s="667" t="s">
        <v>14</v>
      </c>
      <c r="U38" s="668">
        <f t="shared" si="11"/>
        <v>100</v>
      </c>
      <c r="V38" s="667" t="s">
        <v>14</v>
      </c>
      <c r="W38" s="668">
        <f t="shared" si="12"/>
        <v>100</v>
      </c>
      <c r="X38" s="1265"/>
      <c r="Y38" s="338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88"/>
      <c r="Q39" s="1263">
        <f t="shared" si="14"/>
        <v>111</v>
      </c>
      <c r="R39" s="667" t="s">
        <v>14</v>
      </c>
      <c r="S39" s="668">
        <f t="shared" si="10"/>
        <v>100</v>
      </c>
      <c r="T39" s="667" t="s">
        <v>14</v>
      </c>
      <c r="U39" s="668">
        <f t="shared" si="11"/>
        <v>100</v>
      </c>
      <c r="V39" s="667" t="s">
        <v>14</v>
      </c>
      <c r="W39" s="668">
        <f t="shared" si="12"/>
        <v>100</v>
      </c>
      <c r="X39" s="1265"/>
      <c r="Y39" s="3388"/>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88"/>
      <c r="Q40" s="1263">
        <f t="shared" si="14"/>
        <v>111</v>
      </c>
      <c r="R40" s="669" t="s">
        <v>14</v>
      </c>
      <c r="S40" s="670">
        <f t="shared" si="10"/>
        <v>100</v>
      </c>
      <c r="T40" s="669" t="s">
        <v>14</v>
      </c>
      <c r="U40" s="670">
        <f t="shared" si="11"/>
        <v>100</v>
      </c>
      <c r="V40" s="669" t="s">
        <v>14</v>
      </c>
      <c r="W40" s="670">
        <f t="shared" si="12"/>
        <v>100</v>
      </c>
      <c r="X40" s="671"/>
      <c r="Y40" s="3388"/>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4"/>
      <c r="M41" s="2487"/>
      <c r="N41" s="2487"/>
      <c r="O41" s="2487"/>
      <c r="P41" s="3381" t="str">
        <f>A41</f>
        <v>成交单价</v>
      </c>
      <c r="Q41" s="3381"/>
      <c r="R41" s="3382">
        <f>E41</f>
        <v>0</v>
      </c>
      <c r="S41" s="3382"/>
      <c r="T41" s="3382">
        <f>G41</f>
        <v>0</v>
      </c>
      <c r="U41" s="3382"/>
      <c r="V41" s="3382">
        <f>I41</f>
        <v>0</v>
      </c>
      <c r="W41" s="3382"/>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381" t="str">
        <f>A42</f>
        <v>比较价值（元/平方米）</v>
      </c>
      <c r="Q42" s="3381"/>
      <c r="R42" s="3440" t="e">
        <f>ROUND(PRODUCT(R41,AA7:AA40),0)</f>
        <v>#DIV/0!</v>
      </c>
      <c r="S42" s="3440"/>
      <c r="T42" s="3440" t="e">
        <f>ROUND(PRODUCT(T41,AB7:AB40),0)</f>
        <v>#DIV/0!</v>
      </c>
      <c r="U42" s="3440"/>
      <c r="V42" s="3440" t="e">
        <f>ROUND(PRODUCT(V41,AC7:AC40),0)</f>
        <v>#DIV/0!</v>
      </c>
      <c r="W42" s="3440"/>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378" t="str">
        <f>A43</f>
        <v>估价对象XX用房的比较价值（楼面单价，元/平方米）</v>
      </c>
      <c r="Q43" s="3379"/>
      <c r="R43" s="3441" t="e">
        <f>ROUND(IF(D42="简单平均",AVERAGE(R42:W42),R42*F42+T42*H42+V42*J42),0)</f>
        <v>#DIV/0!</v>
      </c>
      <c r="S43" s="3441"/>
      <c r="T43" s="3441"/>
      <c r="U43" s="3441"/>
      <c r="V43" s="3441"/>
      <c r="W43" s="3441"/>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1" t="s">
        <v>1883</v>
      </c>
      <c r="D50" s="1832" t="s">
        <v>1884</v>
      </c>
      <c r="E50" s="606" t="s">
        <v>1885</v>
      </c>
      <c r="F50" s="607" t="s">
        <v>1886</v>
      </c>
      <c r="G50" s="3396" t="s">
        <v>1887</v>
      </c>
      <c r="H50" s="3442"/>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166.53</v>
      </c>
      <c r="F51" s="611" t="e">
        <f t="shared" ref="F51:F60" si="15">ROUND(B51*E51/10000,0)</f>
        <v>#DIV/0!</v>
      </c>
      <c r="G51" s="3392"/>
      <c r="H51" s="3381"/>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2025-3-1</v>
      </c>
      <c r="D63" s="656">
        <f>EDATE(C63,-3)</f>
        <v>45627</v>
      </c>
      <c r="E63" s="656">
        <f>EDATE(D63,-3)</f>
        <v>45536</v>
      </c>
      <c r="F63" s="656">
        <f t="shared" ref="F63:O63" si="18">EDATE(E63,-3)</f>
        <v>45444</v>
      </c>
      <c r="G63" s="656">
        <f t="shared" si="18"/>
        <v>45352</v>
      </c>
      <c r="H63" s="656">
        <f t="shared" si="18"/>
        <v>45261</v>
      </c>
      <c r="I63" s="656">
        <f t="shared" si="18"/>
        <v>45170</v>
      </c>
      <c r="J63" s="656">
        <f t="shared" si="18"/>
        <v>45078</v>
      </c>
      <c r="K63" s="656">
        <f t="shared" si="18"/>
        <v>44986</v>
      </c>
      <c r="L63" s="656">
        <f t="shared" si="18"/>
        <v>44896</v>
      </c>
      <c r="M63" s="656">
        <f t="shared" si="18"/>
        <v>44805</v>
      </c>
      <c r="N63" s="656">
        <f t="shared" si="18"/>
        <v>44713</v>
      </c>
      <c r="O63" s="656">
        <f t="shared" si="18"/>
        <v>44621</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0" t="s">
        <v>2084</v>
      </c>
      <c r="D1" s="3451"/>
      <c r="E1" s="3451"/>
      <c r="F1" s="3451"/>
      <c r="G1" s="3451"/>
      <c r="H1" s="3451"/>
      <c r="I1" s="3451"/>
      <c r="J1" s="3451"/>
      <c r="K1" s="3451"/>
      <c r="L1" s="3451"/>
      <c r="M1" s="3451"/>
      <c r="N1" s="3451"/>
      <c r="O1" s="3451"/>
      <c r="P1" s="3451"/>
      <c r="Q1" s="3451"/>
      <c r="R1" s="3451"/>
      <c r="S1" s="345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7" t="s">
        <v>27</v>
      </c>
      <c r="D22" s="3448"/>
      <c r="E22" s="3448"/>
      <c r="F22" s="3448"/>
      <c r="G22" s="3448"/>
      <c r="H22" s="3448"/>
      <c r="I22" s="3448"/>
      <c r="J22" s="3448"/>
      <c r="K22" s="3448"/>
      <c r="L22" s="3448"/>
      <c r="M22" s="3448"/>
      <c r="N22" s="3448"/>
      <c r="O22" s="3448"/>
      <c r="P22" s="3448"/>
      <c r="Q22" s="344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4"/>
      <c r="G1" s="2544"/>
      <c r="H1" s="2544"/>
      <c r="I1" s="2544"/>
      <c r="J1" s="2544"/>
      <c r="K1" s="2544"/>
      <c r="L1" s="2544"/>
      <c r="M1" s="2544"/>
      <c r="N1" s="2544"/>
      <c r="O1" s="2544"/>
      <c r="P1" s="2544"/>
    </row>
    <row r="2" spans="1:16" ht="15.6">
      <c r="A2" s="1984" t="s">
        <v>2073</v>
      </c>
      <c r="B2" s="2387" t="e">
        <f ca="1">SUMIF(B6:B13,"&lt;&gt;#ref!",B6:B13)</f>
        <v>#DIV/0!</v>
      </c>
      <c r="C2" s="1984" t="s">
        <v>2074</v>
      </c>
      <c r="D2" s="1984" t="s">
        <v>2075</v>
      </c>
      <c r="E2" s="2397">
        <f ca="1">SUMIF(E6:E13,"&lt;&gt;#ref!",E6:E13)</f>
        <v>0</v>
      </c>
      <c r="F2" s="2544"/>
      <c r="G2" s="2544"/>
      <c r="H2" s="2544"/>
      <c r="I2" s="2544"/>
      <c r="J2" s="2544"/>
      <c r="K2" s="2544"/>
      <c r="L2" s="2544"/>
      <c r="M2" s="2544"/>
      <c r="N2" s="2544"/>
      <c r="O2" s="2544"/>
      <c r="P2" s="2544"/>
    </row>
    <row r="3" spans="1:16" ht="15.6">
      <c r="A3" s="1984" t="s">
        <v>2076</v>
      </c>
      <c r="B3" s="2387" t="e">
        <f ca="1">ROUND(B2*10000/E2,0)</f>
        <v>#DIV/0!</v>
      </c>
      <c r="C3" s="1984"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3" t="s">
        <v>2077</v>
      </c>
      <c r="B5" s="2395" t="s">
        <v>2078</v>
      </c>
      <c r="C5" s="1985"/>
      <c r="D5" s="2544"/>
      <c r="E5" s="2396" t="s">
        <v>2079</v>
      </c>
      <c r="F5" s="2544"/>
      <c r="G5" s="2544"/>
      <c r="H5" s="2544"/>
      <c r="I5" s="2544"/>
      <c r="J5" s="2544"/>
      <c r="K5" s="2544"/>
      <c r="L5" s="2544"/>
      <c r="M5" s="2544"/>
      <c r="N5" s="2544"/>
      <c r="O5" s="2544"/>
      <c r="P5" s="2544"/>
    </row>
    <row r="6" spans="1:16" ht="15.6">
      <c r="A6" s="2394" t="s">
        <v>2080</v>
      </c>
      <c r="B6" s="2387" t="e">
        <f ca="1">SUMIF(INDIRECT("'"&amp;A6&amp;"'"&amp;"!A:A"),"总价",INDIRECT("'"&amp;A6&amp;"'"&amp;"!B:B"))</f>
        <v>#DIV/0!</v>
      </c>
      <c r="C6" s="1984" t="s">
        <v>2074</v>
      </c>
      <c r="D6" s="2544"/>
      <c r="E6" s="2397">
        <f ca="1">SUMIF(INDIRECT("'"&amp;A6&amp;"'"&amp;"!C:C"),"建筑面积",INDIRECT("'"&amp;A6&amp;"'"&amp;"!D:D"))</f>
        <v>0</v>
      </c>
      <c r="F6" s="2544"/>
      <c r="G6" s="2544"/>
      <c r="H6" s="2544"/>
      <c r="I6" s="2544"/>
      <c r="J6" s="2544"/>
      <c r="K6" s="2544"/>
      <c r="L6" s="2544"/>
      <c r="M6" s="2544"/>
      <c r="N6" s="2544"/>
      <c r="O6" s="2544"/>
      <c r="P6" s="2544"/>
    </row>
    <row r="7" spans="1:16" ht="15.6">
      <c r="A7" s="2394"/>
      <c r="B7" s="2387" t="e">
        <f ca="1">SUMIF(INDIRECT("'"&amp;A7&amp;"'"&amp;"!A:A"),"总价",INDIRECT("'"&amp;A7&amp;"'"&amp;"!B:B"))</f>
        <v>#REF!</v>
      </c>
      <c r="C7" s="1984"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6">
      <c r="A8" s="2394"/>
      <c r="B8" s="2387" t="e">
        <f t="shared" ref="B8:B13" ca="1" si="1">SUMIF(INDIRECT("'"&amp;A8&amp;"'"&amp;"!A:A"),"总价",INDIRECT("'"&amp;A8&amp;"'"&amp;"!B:B"))</f>
        <v>#REF!</v>
      </c>
      <c r="C8" s="1984" t="s">
        <v>2074</v>
      </c>
      <c r="D8" s="2544"/>
      <c r="E8" s="2397" t="e">
        <f t="shared" ca="1" si="0"/>
        <v>#REF!</v>
      </c>
      <c r="F8" s="2544"/>
      <c r="G8" s="2544"/>
      <c r="H8" s="2544"/>
      <c r="I8" s="2544"/>
      <c r="J8" s="2544"/>
      <c r="K8" s="2544"/>
      <c r="L8" s="2544"/>
      <c r="M8" s="2544"/>
      <c r="N8" s="2544"/>
      <c r="O8" s="2544"/>
      <c r="P8" s="2544"/>
    </row>
    <row r="9" spans="1:16" ht="15.6">
      <c r="A9" s="2394"/>
      <c r="B9" s="2387" t="e">
        <f t="shared" ca="1" si="1"/>
        <v>#REF!</v>
      </c>
      <c r="C9" s="1984" t="s">
        <v>2074</v>
      </c>
      <c r="D9" s="2544"/>
      <c r="E9" s="2397" t="e">
        <f t="shared" ca="1" si="0"/>
        <v>#REF!</v>
      </c>
      <c r="F9" s="2544"/>
      <c r="G9" s="2544"/>
      <c r="H9" s="2544"/>
      <c r="I9" s="2544"/>
      <c r="J9" s="2544"/>
      <c r="K9" s="2544"/>
      <c r="L9" s="2544"/>
      <c r="M9" s="2544"/>
      <c r="N9" s="2544"/>
      <c r="O9" s="2544"/>
      <c r="P9" s="2544"/>
    </row>
    <row r="10" spans="1:16" ht="15.6">
      <c r="A10" s="2394"/>
      <c r="B10" s="2387" t="e">
        <f t="shared" ca="1" si="1"/>
        <v>#REF!</v>
      </c>
      <c r="C10" s="1984" t="s">
        <v>2074</v>
      </c>
      <c r="D10" s="2544"/>
      <c r="E10" s="2397" t="e">
        <f t="shared" ca="1" si="0"/>
        <v>#REF!</v>
      </c>
      <c r="F10" s="2544"/>
      <c r="G10" s="2544"/>
      <c r="H10" s="2544"/>
      <c r="I10" s="2544"/>
      <c r="J10" s="2544"/>
      <c r="K10" s="2544"/>
      <c r="L10" s="2544"/>
      <c r="M10" s="2544"/>
      <c r="N10" s="2544"/>
      <c r="O10" s="2544"/>
      <c r="P10" s="2544"/>
    </row>
    <row r="11" spans="1:16" ht="15.6">
      <c r="A11" s="2394"/>
      <c r="B11" s="2387" t="e">
        <f t="shared" ca="1" si="1"/>
        <v>#REF!</v>
      </c>
      <c r="C11" s="1984" t="s">
        <v>2074</v>
      </c>
      <c r="D11" s="2544"/>
      <c r="E11" s="2397" t="e">
        <f t="shared" ca="1" si="0"/>
        <v>#REF!</v>
      </c>
      <c r="F11" s="2544"/>
      <c r="G11" s="2544"/>
      <c r="H11" s="2544"/>
      <c r="I11" s="2544"/>
      <c r="J11" s="2544"/>
      <c r="K11" s="2544"/>
      <c r="L11" s="2544"/>
      <c r="M11" s="2544"/>
      <c r="N11" s="2544"/>
      <c r="O11" s="2544"/>
      <c r="P11" s="2544"/>
    </row>
    <row r="12" spans="1:16" ht="15.6">
      <c r="A12" s="2394"/>
      <c r="B12" s="2387" t="e">
        <f t="shared" ca="1" si="1"/>
        <v>#REF!</v>
      </c>
      <c r="C12" s="1984" t="s">
        <v>2074</v>
      </c>
      <c r="D12" s="2544"/>
      <c r="E12" s="2397" t="e">
        <f t="shared" ca="1" si="0"/>
        <v>#REF!</v>
      </c>
      <c r="F12" s="2544"/>
      <c r="G12" s="2544"/>
      <c r="H12" s="2544"/>
      <c r="I12" s="2544"/>
      <c r="J12" s="2544"/>
      <c r="K12" s="2544"/>
      <c r="L12" s="2544"/>
      <c r="M12" s="2544"/>
      <c r="N12" s="2544"/>
      <c r="O12" s="2544"/>
      <c r="P12" s="2544"/>
    </row>
    <row r="13" spans="1:16" ht="15.6">
      <c r="A13" s="2394"/>
      <c r="B13" s="2387" t="e">
        <f t="shared" ca="1" si="1"/>
        <v>#REF!</v>
      </c>
      <c r="C13" s="1984"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E3" sqref="E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8"/>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6">
      <c r="A4" s="3460"/>
      <c r="B4" s="3461"/>
      <c r="C4" s="3461"/>
      <c r="D4" s="3462"/>
      <c r="E4" s="3462"/>
      <c r="F4" s="3462"/>
      <c r="G4" s="3462"/>
      <c r="H4" s="3462"/>
      <c r="I4" s="3462"/>
      <c r="J4" s="3463"/>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6" thickBot="1">
      <c r="A7" s="3012"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457" t="s">
        <v>1960</v>
      </c>
      <c r="X8" s="345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459"/>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459"/>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8" thickBot="1">
      <c r="A12" s="3012" t="s">
        <v>3238</v>
      </c>
      <c r="B12" s="3013" t="s">
        <v>3239</v>
      </c>
      <c r="C12" s="3014"/>
      <c r="D12" s="3015" t="s">
        <v>3240</v>
      </c>
      <c r="E12" s="3016" t="s">
        <v>3241</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24.6" thickBot="1">
      <c r="A13" s="3012" t="s">
        <v>3242</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24">
      <c r="A14" s="3008"/>
      <c r="B14" s="1883" t="s">
        <v>1985</v>
      </c>
      <c r="C14" s="1884" t="s">
        <v>1986</v>
      </c>
      <c r="D14" s="1261" t="s">
        <v>1987</v>
      </c>
      <c r="E14" s="27" t="s">
        <v>1988</v>
      </c>
      <c r="F14" s="3020" t="s">
        <v>3243</v>
      </c>
      <c r="G14" s="3020" t="s">
        <v>3243</v>
      </c>
      <c r="H14" s="3020" t="s">
        <v>3243</v>
      </c>
      <c r="I14" s="3020" t="s">
        <v>3243</v>
      </c>
      <c r="J14" s="3020" t="s">
        <v>3243</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3244</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ht="24">
      <c r="A17" s="3035" t="s">
        <v>3245</v>
      </c>
      <c r="B17" s="3027" t="s">
        <v>3246</v>
      </c>
      <c r="C17" s="3036">
        <f>ROUND(IF(OR(E2="工业",E2="公共服务"),1,IF(AND(E18=0,E19=0),1,IF(AND(E18=J24,E19=G19),0.8,IF(E19=0,1+E17*(-0.2),1+E17*G17*(-0.2))))),4)</f>
        <v>1</v>
      </c>
      <c r="D17" s="3028" t="s">
        <v>3247</v>
      </c>
      <c r="E17" s="3036" t="e">
        <f>ROUND(G18/I18,2)</f>
        <v>#DIV/0!</v>
      </c>
      <c r="F17" s="3028" t="s">
        <v>3250</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8"/>
      <c r="B18" s="2309"/>
      <c r="C18" s="3034"/>
      <c r="D18" s="3029" t="s">
        <v>3248</v>
      </c>
      <c r="E18" s="2356"/>
      <c r="F18" s="3030" t="s">
        <v>3251</v>
      </c>
      <c r="G18" s="3034">
        <f>ROUND(1-(1/(POWER(1+G24,E18))),4)</f>
        <v>0</v>
      </c>
      <c r="H18" s="3030" t="s">
        <v>3253</v>
      </c>
      <c r="I18" s="3034">
        <f>ROUND(1-(1/(POWER(1+G24,J24))),4)</f>
        <v>0</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4.4" thickBot="1">
      <c r="A19" s="3040"/>
      <c r="B19" s="3041"/>
      <c r="C19" s="3042"/>
      <c r="D19" s="3042" t="s">
        <v>3249</v>
      </c>
      <c r="E19" s="3043"/>
      <c r="F19" s="3044" t="s">
        <v>3252</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3.8">
      <c r="A20" s="3464" t="s">
        <v>3254</v>
      </c>
      <c r="B20" s="159" t="s">
        <v>1994</v>
      </c>
      <c r="C20" s="3031" t="e">
        <f>ROUND(IF(F21="与级别开发程度一致",0,(G21-E21)/C21),0)</f>
        <v>#DIV/0!</v>
      </c>
      <c r="D20" s="3046" t="s">
        <v>1998</v>
      </c>
      <c r="E20" s="3047"/>
      <c r="F20" s="3470" t="s">
        <v>1995</v>
      </c>
      <c r="G20" s="3471"/>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14.4" thickBot="1">
      <c r="A21" s="3465"/>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 thickBot="1">
      <c r="A22" s="1996" t="s">
        <v>363</v>
      </c>
      <c r="B22" s="1997" t="s">
        <v>2000</v>
      </c>
      <c r="C22" s="1998">
        <f>SUMIF(修正!C20:C51,E3,修正!E20:E51)</f>
        <v>0</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6" t="s">
        <v>2002</v>
      </c>
      <c r="E23" s="717">
        <v>44197</v>
      </c>
      <c r="F23" s="1896" t="s">
        <v>2003</v>
      </c>
      <c r="G23" s="718">
        <f>'数据-取费表'!B2</f>
        <v>45734</v>
      </c>
      <c r="H23" s="3048" t="s">
        <v>3256</v>
      </c>
      <c r="I23" s="3049" t="str">
        <f>IF(H23="季度增幅（自定义）",SUMIF(N25:N28,E2,O25:O28),"")</f>
        <v/>
      </c>
      <c r="J23" s="3141" t="s">
        <v>3255</v>
      </c>
      <c r="K23" s="1061"/>
      <c r="L23" s="1897" t="s">
        <v>2004</v>
      </c>
      <c r="M23" s="1241">
        <f>ROUND(SUMIF(地价!B2:G2,E2,地价!B16:G16),0)</f>
        <v>0</v>
      </c>
      <c r="N23" s="1898" t="s">
        <v>2005</v>
      </c>
      <c r="O23" s="719">
        <f>ROUNDDOWN(DATEDIF(E23,G23,"M")/3,0)</f>
        <v>16</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7" t="s">
        <v>366</v>
      </c>
      <c r="B25" s="1908" t="s">
        <v>3335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0" t="s">
        <v>3260</v>
      </c>
      <c r="G33" s="1941"/>
      <c r="H33" s="1941"/>
      <c r="I33" s="1941"/>
      <c r="J33" s="1942"/>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8"/>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3266</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9"/>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9"/>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2"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3269</v>
      </c>
      <c r="B52" s="1262">
        <f>估价对象房地状况!C19</f>
        <v>0</v>
      </c>
      <c r="C52" s="1887"/>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0" t="s">
        <v>3269</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0" t="s">
        <v>3269</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48">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3.8">
      <c r="A91" s="3078" t="s">
        <v>2612</v>
      </c>
      <c r="B91" s="3079">
        <f>1+E93</f>
        <v>1</v>
      </c>
      <c r="C91" s="3072"/>
      <c r="D91" s="3073"/>
      <c r="E91" s="1675"/>
      <c r="F91" s="1675"/>
      <c r="G91" s="3074"/>
      <c r="H91" s="3075"/>
      <c r="I91" s="3076"/>
      <c r="J91" s="3077"/>
      <c r="K91" s="3077"/>
      <c r="L91" s="3077"/>
      <c r="M91" s="3077"/>
      <c r="N91" s="3077"/>
    </row>
    <row r="92" spans="1:37" ht="25.2">
      <c r="A92" s="3080" t="s">
        <v>3271</v>
      </c>
      <c r="B92" s="2309"/>
      <c r="C92" s="2309" t="s">
        <v>3280</v>
      </c>
      <c r="D92" s="2309" t="s">
        <v>3281</v>
      </c>
      <c r="E92" s="3052" t="s">
        <v>3282</v>
      </c>
      <c r="F92" s="3082" t="s">
        <v>3283</v>
      </c>
      <c r="G92" s="2309" t="s">
        <v>3284</v>
      </c>
      <c r="H92" s="3089" t="s">
        <v>3287</v>
      </c>
      <c r="I92" s="2309" t="s">
        <v>3288</v>
      </c>
      <c r="J92" s="2150" t="s">
        <v>3289</v>
      </c>
      <c r="K92" s="2150" t="s">
        <v>3290</v>
      </c>
      <c r="L92" s="2150" t="s">
        <v>3291</v>
      </c>
      <c r="M92" s="2150" t="s">
        <v>3292</v>
      </c>
      <c r="N92" s="2150" t="s">
        <v>3293</v>
      </c>
    </row>
    <row r="93" spans="1:37" ht="24">
      <c r="A93" s="3070" t="s">
        <v>3272</v>
      </c>
      <c r="B93" s="1221"/>
      <c r="C93" s="1887"/>
      <c r="D93" s="2309">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52.8">
      <c r="A94" s="3080" t="s">
        <v>3273</v>
      </c>
      <c r="B94" s="3071" t="str">
        <f>估价对象房地状况!C18</f>
        <v>估价对象周边道路状况、公共交通通达情况、停车便捷程度，综合评价交通便捷度较好</v>
      </c>
      <c r="C94" s="1887"/>
      <c r="D94" s="2309">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48">
      <c r="A95" s="3070" t="s">
        <v>3269</v>
      </c>
      <c r="B95" s="3071">
        <f>估价对象房地状况!C19</f>
        <v>0</v>
      </c>
      <c r="C95" s="1887"/>
      <c r="D95" s="2309">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7.200000000000003">
      <c r="A96" s="3080" t="s">
        <v>3274</v>
      </c>
      <c r="B96" s="3086" t="s">
        <v>3285</v>
      </c>
      <c r="C96" s="1887"/>
      <c r="D96" s="2309">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3275</v>
      </c>
      <c r="B97" s="3071">
        <f>估价对象房地状况!C24</f>
        <v>0</v>
      </c>
      <c r="C97" s="1887"/>
      <c r="D97" s="2309">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36">
      <c r="A98" s="3080" t="s">
        <v>3276</v>
      </c>
      <c r="B98" s="3087" t="s">
        <v>3286</v>
      </c>
      <c r="C98" s="1887"/>
      <c r="D98" s="2309">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26.4">
      <c r="A99" s="3080" t="s">
        <v>3277</v>
      </c>
      <c r="B99" s="3071" t="str">
        <f>估价对象房地状况!C21</f>
        <v>估价对象所在区域公共配套设施齐备情况</v>
      </c>
      <c r="C99" s="1887"/>
      <c r="D99" s="2309">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6.4">
      <c r="A100" s="3080" t="s">
        <v>3278</v>
      </c>
      <c r="B100" s="3071" t="str">
        <f>估价对象房地状况!C22</f>
        <v>估价对象所在区域基础设施水平</v>
      </c>
      <c r="C100" s="1887"/>
      <c r="D100" s="2309">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40.200000000000003" thickBot="1">
      <c r="A101" s="3081" t="s">
        <v>3279</v>
      </c>
      <c r="B101" s="3088" t="str">
        <f>估价对象房地状况!C20</f>
        <v>区域自然环境：；人文环境；综合评价环境状况一般</v>
      </c>
      <c r="C101" s="1887"/>
      <c r="D101" s="2309">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466" t="s">
        <v>3294</v>
      </c>
      <c r="B103" s="3466"/>
      <c r="C103" s="3466"/>
      <c r="D103" s="3466"/>
      <c r="E103" s="3466"/>
      <c r="F103" s="3466"/>
      <c r="G103" s="3466"/>
      <c r="H103" s="3466"/>
      <c r="I103" s="3466"/>
      <c r="J103" s="3466"/>
      <c r="K103" s="1667"/>
      <c r="L103" s="1667"/>
      <c r="M103" s="1667"/>
      <c r="N103" s="1667"/>
    </row>
    <row r="104" spans="1:14">
      <c r="A104" s="3467" t="s">
        <v>3295</v>
      </c>
      <c r="B104" s="3467" t="s">
        <v>3296</v>
      </c>
      <c r="C104" s="3090" t="s">
        <v>3297</v>
      </c>
      <c r="D104" s="3091"/>
      <c r="E104" s="3091"/>
      <c r="F104" s="3091"/>
      <c r="G104" s="3091"/>
      <c r="H104" s="3091"/>
      <c r="I104" s="3091"/>
      <c r="J104" s="3092"/>
      <c r="K104" s="3093"/>
      <c r="L104" s="3093"/>
      <c r="M104" s="3093"/>
      <c r="N104" s="3093"/>
    </row>
    <row r="105" spans="1:14">
      <c r="A105" s="3467"/>
      <c r="B105" s="3467"/>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453"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54"/>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54"/>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54"/>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54"/>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54"/>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55"/>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56" t="s">
        <v>3311</v>
      </c>
      <c r="B113" s="3456"/>
      <c r="C113" s="3456"/>
      <c r="D113" s="3456"/>
      <c r="E113" s="3456"/>
      <c r="F113" s="3456"/>
      <c r="G113" s="3456"/>
      <c r="H113" s="3456"/>
      <c r="I113" s="3456"/>
      <c r="J113" s="3456"/>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8" thickBot="1">
      <c r="A115" s="3097"/>
      <c r="B115" s="3097"/>
      <c r="C115" s="3097"/>
      <c r="D115" s="3097"/>
      <c r="E115" s="3097"/>
      <c r="F115" s="3097"/>
      <c r="G115" s="3097"/>
      <c r="H115" s="3097"/>
      <c r="I115" s="3097"/>
      <c r="J115" s="3097"/>
      <c r="K115" s="1964"/>
      <c r="L115" s="3097"/>
      <c r="M115" s="3097"/>
      <c r="N115" s="3097"/>
    </row>
    <row r="116" spans="1:14" ht="25.8" thickBot="1">
      <c r="A116" s="3098" t="s">
        <v>3312</v>
      </c>
      <c r="B116" s="3114">
        <f>G3</f>
        <v>0</v>
      </c>
      <c r="C116" s="3099" t="s">
        <v>3313</v>
      </c>
      <c r="D116" s="3100">
        <f>SUMPRODUCT((A118:A122=F116)*(B117:M117=H116)*B118:M122)</f>
        <v>0</v>
      </c>
      <c r="E116" s="162" t="s">
        <v>3314</v>
      </c>
      <c r="F116" s="3101">
        <f>E2</f>
        <v>0</v>
      </c>
      <c r="G116" s="162" t="s">
        <v>3315</v>
      </c>
      <c r="H116" s="3101">
        <f>G2</f>
        <v>0</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3329</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3330</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8" thickBot="1">
      <c r="A121" s="3110" t="s">
        <v>3331</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2612</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481" t="s">
        <v>2607</v>
      </c>
      <c r="B20" s="3476" t="s">
        <v>2628</v>
      </c>
      <c r="C20" s="2842" t="s">
        <v>2439</v>
      </c>
      <c r="D20" s="2843"/>
      <c r="E20" s="2844">
        <v>1</v>
      </c>
      <c r="F20" s="2845" t="s">
        <v>2440</v>
      </c>
      <c r="G20" s="2845"/>
    </row>
    <row r="21" spans="1:13" ht="19.5" customHeight="1">
      <c r="A21" s="3482"/>
      <c r="B21" s="3475"/>
      <c r="C21" s="2846" t="s">
        <v>2441</v>
      </c>
      <c r="D21" s="2847"/>
      <c r="E21" s="2848">
        <v>1</v>
      </c>
      <c r="F21" s="2845" t="s">
        <v>2442</v>
      </c>
      <c r="G21" s="2845"/>
    </row>
    <row r="22" spans="1:13" ht="19.5" customHeight="1">
      <c r="A22" s="3482"/>
      <c r="B22" s="3475"/>
      <c r="C22" s="2846" t="s">
        <v>2443</v>
      </c>
      <c r="D22" s="2847"/>
      <c r="E22" s="2848">
        <v>0.9</v>
      </c>
      <c r="F22" s="2845" t="s">
        <v>2444</v>
      </c>
      <c r="G22" s="2845"/>
    </row>
    <row r="23" spans="1:13" ht="19.5" customHeight="1">
      <c r="A23" s="3482"/>
      <c r="B23" s="3475"/>
      <c r="C23" s="2846" t="s">
        <v>2445</v>
      </c>
      <c r="D23" s="2847"/>
      <c r="E23" s="2848">
        <v>0.9</v>
      </c>
      <c r="F23" s="2845" t="s">
        <v>2446</v>
      </c>
      <c r="G23" s="2845"/>
    </row>
    <row r="24" spans="1:13" ht="19.5" customHeight="1">
      <c r="A24" s="3482"/>
      <c r="B24" s="3475"/>
      <c r="C24" s="2846" t="s">
        <v>2447</v>
      </c>
      <c r="D24" s="2847"/>
      <c r="E24" s="2848">
        <v>0.8</v>
      </c>
      <c r="F24" s="2845" t="s">
        <v>2448</v>
      </c>
      <c r="G24" s="2845"/>
    </row>
    <row r="25" spans="1:13" ht="19.5" customHeight="1" thickBot="1">
      <c r="A25" s="3483"/>
      <c r="B25" s="3477"/>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478" t="s">
        <v>2631</v>
      </c>
      <c r="B27" s="3476" t="s">
        <v>2612</v>
      </c>
      <c r="C27" s="2842" t="s">
        <v>2452</v>
      </c>
      <c r="D27" s="2843"/>
      <c r="E27" s="2844">
        <v>1</v>
      </c>
      <c r="F27" s="2845" t="s">
        <v>2453</v>
      </c>
      <c r="G27" s="2845"/>
    </row>
    <row r="28" spans="1:13" ht="19.5" customHeight="1">
      <c r="A28" s="3479"/>
      <c r="B28" s="3475"/>
      <c r="C28" s="2846" t="s">
        <v>2454</v>
      </c>
      <c r="D28" s="2847"/>
      <c r="E28" s="2848">
        <v>1</v>
      </c>
      <c r="F28" s="2845" t="s">
        <v>2455</v>
      </c>
      <c r="G28" s="2845"/>
    </row>
    <row r="29" spans="1:13" ht="19.5" customHeight="1">
      <c r="A29" s="3479"/>
      <c r="B29" s="3475"/>
      <c r="C29" s="2846" t="s">
        <v>2456</v>
      </c>
      <c r="D29" s="2847"/>
      <c r="E29" s="2848">
        <v>0.8</v>
      </c>
      <c r="F29" s="2845" t="s">
        <v>2457</v>
      </c>
      <c r="G29" s="2845"/>
    </row>
    <row r="30" spans="1:13" ht="19.5" customHeight="1">
      <c r="A30" s="3479"/>
      <c r="B30" s="3475"/>
      <c r="C30" s="2846" t="s">
        <v>2458</v>
      </c>
      <c r="D30" s="2847"/>
      <c r="E30" s="2848">
        <v>0.8</v>
      </c>
      <c r="F30" s="2845" t="s">
        <v>2459</v>
      </c>
      <c r="G30" s="2845"/>
    </row>
    <row r="31" spans="1:13" ht="19.5" customHeight="1">
      <c r="A31" s="3479"/>
      <c r="B31" s="3475"/>
      <c r="C31" s="2846" t="s">
        <v>2460</v>
      </c>
      <c r="D31" s="2847"/>
      <c r="E31" s="2848">
        <v>0.8</v>
      </c>
      <c r="F31" s="2845" t="s">
        <v>2461</v>
      </c>
      <c r="G31" s="2845"/>
    </row>
    <row r="32" spans="1:13" ht="19.5" customHeight="1">
      <c r="A32" s="3479"/>
      <c r="B32" s="3475"/>
      <c r="C32" s="2846" t="s">
        <v>2462</v>
      </c>
      <c r="D32" s="2847"/>
      <c r="E32" s="2848">
        <v>0.7</v>
      </c>
      <c r="F32" s="2845" t="s">
        <v>2463</v>
      </c>
      <c r="G32" s="2845"/>
    </row>
    <row r="33" spans="1:7" ht="19.5" customHeight="1">
      <c r="A33" s="3479"/>
      <c r="B33" s="3475"/>
      <c r="C33" s="2846" t="s">
        <v>2464</v>
      </c>
      <c r="D33" s="2847"/>
      <c r="E33" s="2848">
        <v>0.8</v>
      </c>
      <c r="F33" s="2845" t="s">
        <v>2465</v>
      </c>
      <c r="G33" s="2845"/>
    </row>
    <row r="34" spans="1:7" ht="19.5" customHeight="1">
      <c r="A34" s="3479"/>
      <c r="B34" s="3475"/>
      <c r="C34" s="2846" t="s">
        <v>2466</v>
      </c>
      <c r="D34" s="2847"/>
      <c r="E34" s="2848">
        <v>0.6</v>
      </c>
      <c r="F34" s="2845" t="s">
        <v>2467</v>
      </c>
      <c r="G34" s="2845"/>
    </row>
    <row r="35" spans="1:7" ht="19.5" customHeight="1">
      <c r="A35" s="3479"/>
      <c r="B35" s="3475"/>
      <c r="C35" s="2846" t="s">
        <v>2468</v>
      </c>
      <c r="D35" s="2847"/>
      <c r="E35" s="2848">
        <v>0.2</v>
      </c>
      <c r="F35" s="2845" t="s">
        <v>2469</v>
      </c>
      <c r="G35" s="2845"/>
    </row>
    <row r="36" spans="1:7" ht="19.5" customHeight="1">
      <c r="A36" s="3479"/>
      <c r="B36" s="3475"/>
      <c r="C36" s="2846" t="s">
        <v>2470</v>
      </c>
      <c r="D36" s="2847"/>
      <c r="E36" s="2848">
        <v>0.2</v>
      </c>
      <c r="F36" s="2845" t="s">
        <v>2471</v>
      </c>
      <c r="G36" s="2845"/>
    </row>
    <row r="37" spans="1:7" ht="19.5" customHeight="1">
      <c r="A37" s="3479"/>
      <c r="B37" s="3473" t="s">
        <v>2632</v>
      </c>
      <c r="C37" s="2846" t="s">
        <v>2472</v>
      </c>
      <c r="D37" s="2847"/>
      <c r="E37" s="2848">
        <v>0.6</v>
      </c>
      <c r="F37" s="2845" t="s">
        <v>2473</v>
      </c>
      <c r="G37" s="2845"/>
    </row>
    <row r="38" spans="1:7" ht="19.5" customHeight="1">
      <c r="A38" s="3479"/>
      <c r="B38" s="3475"/>
      <c r="C38" s="2846" t="s">
        <v>2474</v>
      </c>
      <c r="D38" s="2847"/>
      <c r="E38" s="2848">
        <v>0.6</v>
      </c>
      <c r="F38" s="2845" t="s">
        <v>2475</v>
      </c>
      <c r="G38" s="2845"/>
    </row>
    <row r="39" spans="1:7" ht="19.5" customHeight="1" thickBot="1">
      <c r="A39" s="3480"/>
      <c r="B39" s="3477"/>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481" t="s">
        <v>2610</v>
      </c>
      <c r="B41" s="3476" t="s">
        <v>2634</v>
      </c>
      <c r="C41" s="2842" t="s">
        <v>2479</v>
      </c>
      <c r="D41" s="2843"/>
      <c r="E41" s="2844">
        <v>1</v>
      </c>
      <c r="F41" s="2845" t="s">
        <v>2480</v>
      </c>
      <c r="G41" s="2845"/>
    </row>
    <row r="42" spans="1:7" ht="19.5" customHeight="1">
      <c r="A42" s="3482"/>
      <c r="B42" s="3475"/>
      <c r="C42" s="2846" t="s">
        <v>2481</v>
      </c>
      <c r="D42" s="2847"/>
      <c r="E42" s="2848">
        <v>1</v>
      </c>
      <c r="F42" s="2845" t="s">
        <v>2482</v>
      </c>
      <c r="G42" s="2845"/>
    </row>
    <row r="43" spans="1:7" ht="19.5" customHeight="1">
      <c r="A43" s="3482"/>
      <c r="B43" s="3474"/>
      <c r="C43" s="2846" t="s">
        <v>2483</v>
      </c>
      <c r="D43" s="2847"/>
      <c r="E43" s="2848">
        <v>1.5</v>
      </c>
      <c r="F43" s="2845" t="s">
        <v>2484</v>
      </c>
      <c r="G43" s="2845"/>
    </row>
    <row r="44" spans="1:7" ht="19.5" customHeight="1">
      <c r="A44" s="3482"/>
      <c r="B44" s="2857" t="s">
        <v>2635</v>
      </c>
      <c r="C44" s="2846" t="s">
        <v>2636</v>
      </c>
      <c r="D44" s="2847"/>
      <c r="E44" s="2848">
        <v>2</v>
      </c>
      <c r="F44" s="2845" t="s">
        <v>2485</v>
      </c>
      <c r="G44" s="2845"/>
    </row>
    <row r="45" spans="1:7" ht="19.5" customHeight="1">
      <c r="A45" s="3482"/>
      <c r="B45" s="3473" t="s">
        <v>2637</v>
      </c>
      <c r="C45" s="2846" t="s">
        <v>2486</v>
      </c>
      <c r="D45" s="2847"/>
      <c r="E45" s="2848">
        <v>1</v>
      </c>
      <c r="F45" s="2845" t="s">
        <v>2487</v>
      </c>
      <c r="G45" s="2845"/>
    </row>
    <row r="46" spans="1:7" ht="19.5" customHeight="1">
      <c r="A46" s="3482"/>
      <c r="B46" s="3475"/>
      <c r="C46" s="2846" t="s">
        <v>2488</v>
      </c>
      <c r="D46" s="2847"/>
      <c r="E46" s="2848">
        <v>1</v>
      </c>
      <c r="F46" s="2845" t="s">
        <v>2489</v>
      </c>
      <c r="G46" s="2845"/>
    </row>
    <row r="47" spans="1:7" ht="19.5" customHeight="1">
      <c r="A47" s="3482"/>
      <c r="B47" s="3475"/>
      <c r="C47" s="2846" t="s">
        <v>2490</v>
      </c>
      <c r="D47" s="2847"/>
      <c r="E47" s="2848">
        <v>1</v>
      </c>
      <c r="F47" s="2845" t="s">
        <v>2491</v>
      </c>
      <c r="G47" s="2845"/>
    </row>
    <row r="48" spans="1:7" ht="19.5" customHeight="1">
      <c r="A48" s="3482"/>
      <c r="B48" s="3475"/>
      <c r="C48" s="2846" t="s">
        <v>2492</v>
      </c>
      <c r="D48" s="2847"/>
      <c r="E48" s="2848">
        <v>1</v>
      </c>
      <c r="F48" s="2845" t="s">
        <v>2493</v>
      </c>
      <c r="G48" s="2845"/>
    </row>
    <row r="49" spans="1:7" ht="19.5" customHeight="1">
      <c r="A49" s="3482"/>
      <c r="B49" s="3475"/>
      <c r="C49" s="2846" t="s">
        <v>2494</v>
      </c>
      <c r="D49" s="2847"/>
      <c r="E49" s="2848">
        <v>1</v>
      </c>
      <c r="F49" s="2845" t="s">
        <v>2495</v>
      </c>
      <c r="G49" s="2845"/>
    </row>
    <row r="50" spans="1:7" ht="19.5" customHeight="1">
      <c r="A50" s="3482"/>
      <c r="B50" s="3475"/>
      <c r="C50" s="2846" t="s">
        <v>2496</v>
      </c>
      <c r="D50" s="2847"/>
      <c r="E50" s="2848">
        <v>1</v>
      </c>
      <c r="F50" s="2845" t="s">
        <v>2497</v>
      </c>
      <c r="G50" s="2845"/>
    </row>
    <row r="51" spans="1:7" ht="19.5" customHeight="1" thickBot="1">
      <c r="A51" s="3483"/>
      <c r="B51" s="3477"/>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4.4">
      <c r="A72" s="2857"/>
      <c r="B72" s="2857"/>
      <c r="C72" s="2857" t="s">
        <v>2650</v>
      </c>
      <c r="D72" s="2857"/>
      <c r="E72" s="2857" t="s">
        <v>2621</v>
      </c>
      <c r="F72" s="2857" t="s">
        <v>2621</v>
      </c>
    </row>
    <row r="73" spans="1:7" ht="14.4">
      <c r="A73" s="2857">
        <v>1</v>
      </c>
      <c r="B73" s="3473" t="s">
        <v>2651</v>
      </c>
      <c r="C73" s="2831" t="s">
        <v>2652</v>
      </c>
      <c r="D73" s="2831" t="s">
        <v>2653</v>
      </c>
      <c r="E73" s="2857">
        <v>0.2</v>
      </c>
      <c r="F73" s="2857">
        <v>25</v>
      </c>
    </row>
    <row r="74" spans="1:7" ht="24">
      <c r="A74" s="2857">
        <v>2</v>
      </c>
      <c r="B74" s="3475"/>
      <c r="C74" s="2831" t="s">
        <v>2654</v>
      </c>
      <c r="D74" s="2831" t="s">
        <v>2655</v>
      </c>
      <c r="E74" s="2857">
        <v>0.2</v>
      </c>
      <c r="F74" s="2857">
        <v>25</v>
      </c>
    </row>
    <row r="75" spans="1:7" ht="24">
      <c r="A75" s="2857">
        <v>3</v>
      </c>
      <c r="B75" s="3475"/>
      <c r="C75" s="2831" t="s">
        <v>2656</v>
      </c>
      <c r="D75" s="2831" t="s">
        <v>2657</v>
      </c>
      <c r="E75" s="2857">
        <v>0.2</v>
      </c>
      <c r="F75" s="2857">
        <v>25</v>
      </c>
    </row>
    <row r="76" spans="1:7" ht="14.4">
      <c r="A76" s="2857">
        <v>4</v>
      </c>
      <c r="B76" s="3475"/>
      <c r="C76" s="2831" t="s">
        <v>2658</v>
      </c>
      <c r="D76" s="2831" t="s">
        <v>2659</v>
      </c>
      <c r="E76" s="2857">
        <v>0.15</v>
      </c>
      <c r="F76" s="2857">
        <v>20</v>
      </c>
    </row>
    <row r="77" spans="1:7" ht="24">
      <c r="A77" s="2857">
        <v>5</v>
      </c>
      <c r="B77" s="3475"/>
      <c r="C77" s="2831" t="s">
        <v>2660</v>
      </c>
      <c r="D77" s="2831" t="s">
        <v>2661</v>
      </c>
      <c r="E77" s="2857">
        <v>0.15</v>
      </c>
      <c r="F77" s="2857">
        <v>20</v>
      </c>
    </row>
    <row r="78" spans="1:7" ht="24">
      <c r="A78" s="2857">
        <v>6</v>
      </c>
      <c r="B78" s="3475"/>
      <c r="C78" s="2831" t="s">
        <v>2662</v>
      </c>
      <c r="D78" s="2831" t="s">
        <v>2663</v>
      </c>
      <c r="E78" s="2857">
        <v>0.15</v>
      </c>
      <c r="F78" s="2857">
        <v>20</v>
      </c>
    </row>
    <row r="79" spans="1:7" ht="24">
      <c r="A79" s="2857">
        <v>7</v>
      </c>
      <c r="B79" s="3475"/>
      <c r="C79" s="2831" t="s">
        <v>2664</v>
      </c>
      <c r="D79" s="2831" t="s">
        <v>2665</v>
      </c>
      <c r="E79" s="2857">
        <v>0.15</v>
      </c>
      <c r="F79" s="2857">
        <v>20</v>
      </c>
    </row>
    <row r="80" spans="1:7" ht="24">
      <c r="A80" s="2857">
        <v>8</v>
      </c>
      <c r="B80" s="3475"/>
      <c r="C80" s="2831" t="s">
        <v>2666</v>
      </c>
      <c r="D80" s="2831" t="s">
        <v>2667</v>
      </c>
      <c r="E80" s="2857">
        <v>0.1</v>
      </c>
      <c r="F80" s="2857">
        <v>15</v>
      </c>
    </row>
    <row r="81" spans="1:6" ht="24">
      <c r="A81" s="2857">
        <v>9</v>
      </c>
      <c r="B81" s="3475"/>
      <c r="C81" s="2831" t="s">
        <v>2668</v>
      </c>
      <c r="D81" s="2831" t="s">
        <v>2669</v>
      </c>
      <c r="E81" s="2857">
        <v>0.1</v>
      </c>
      <c r="F81" s="2857">
        <v>15</v>
      </c>
    </row>
    <row r="82" spans="1:6" ht="24">
      <c r="A82" s="2857">
        <v>10</v>
      </c>
      <c r="B82" s="3475"/>
      <c r="C82" s="2831" t="s">
        <v>2670</v>
      </c>
      <c r="D82" s="2831" t="s">
        <v>2671</v>
      </c>
      <c r="E82" s="2857">
        <v>0.1</v>
      </c>
      <c r="F82" s="2857">
        <v>15</v>
      </c>
    </row>
    <row r="83" spans="1:6" ht="24">
      <c r="A83" s="2857">
        <v>11</v>
      </c>
      <c r="B83" s="3475"/>
      <c r="C83" s="2831" t="s">
        <v>2672</v>
      </c>
      <c r="D83" s="2831" t="s">
        <v>2673</v>
      </c>
      <c r="E83" s="2857">
        <v>0.1</v>
      </c>
      <c r="F83" s="2857">
        <v>15</v>
      </c>
    </row>
    <row r="84" spans="1:6" ht="24">
      <c r="A84" s="2857">
        <v>12</v>
      </c>
      <c r="B84" s="3475"/>
      <c r="C84" s="2831" t="s">
        <v>2674</v>
      </c>
      <c r="D84" s="2831" t="s">
        <v>2675</v>
      </c>
      <c r="E84" s="2857">
        <v>0.1</v>
      </c>
      <c r="F84" s="2857">
        <v>15</v>
      </c>
    </row>
    <row r="85" spans="1:6" ht="24">
      <c r="A85" s="2857">
        <v>13</v>
      </c>
      <c r="B85" s="3475"/>
      <c r="C85" s="2831" t="s">
        <v>2676</v>
      </c>
      <c r="D85" s="2831" t="s">
        <v>2677</v>
      </c>
      <c r="E85" s="2857">
        <v>0.1</v>
      </c>
      <c r="F85" s="2857">
        <v>15</v>
      </c>
    </row>
    <row r="86" spans="1:6" ht="24">
      <c r="A86" s="2857">
        <v>14</v>
      </c>
      <c r="B86" s="3475"/>
      <c r="C86" s="2831" t="s">
        <v>2678</v>
      </c>
      <c r="D86" s="2831" t="s">
        <v>2679</v>
      </c>
      <c r="E86" s="2857">
        <v>0.1</v>
      </c>
      <c r="F86" s="2857">
        <v>15</v>
      </c>
    </row>
    <row r="87" spans="1:6" ht="24">
      <c r="A87" s="2857">
        <v>15</v>
      </c>
      <c r="B87" s="3475"/>
      <c r="C87" s="2831" t="s">
        <v>2680</v>
      </c>
      <c r="D87" s="2831" t="s">
        <v>2681</v>
      </c>
      <c r="E87" s="2857">
        <v>0.1</v>
      </c>
      <c r="F87" s="2857">
        <v>15</v>
      </c>
    </row>
    <row r="88" spans="1:6" ht="24">
      <c r="A88" s="2857">
        <v>16</v>
      </c>
      <c r="B88" s="3475"/>
      <c r="C88" s="2831" t="s">
        <v>2682</v>
      </c>
      <c r="D88" s="2831" t="s">
        <v>2683</v>
      </c>
      <c r="E88" s="2857">
        <v>0.1</v>
      </c>
      <c r="F88" s="2857">
        <v>15</v>
      </c>
    </row>
    <row r="89" spans="1:6" ht="24">
      <c r="A89" s="2857">
        <v>17</v>
      </c>
      <c r="B89" s="3474"/>
      <c r="C89" s="2831" t="s">
        <v>2684</v>
      </c>
      <c r="D89" s="2831" t="s">
        <v>2685</v>
      </c>
      <c r="E89" s="2857">
        <v>0.1</v>
      </c>
      <c r="F89" s="2857">
        <v>15</v>
      </c>
    </row>
    <row r="90" spans="1:6" ht="14.4">
      <c r="A90" s="2857">
        <v>18</v>
      </c>
      <c r="B90" s="3473" t="s">
        <v>2686</v>
      </c>
      <c r="C90" s="2831" t="s">
        <v>2687</v>
      </c>
      <c r="D90" s="2831" t="s">
        <v>2688</v>
      </c>
      <c r="E90" s="2857">
        <v>0.2</v>
      </c>
      <c r="F90" s="2857">
        <v>25</v>
      </c>
    </row>
    <row r="91" spans="1:6" ht="24">
      <c r="A91" s="2857">
        <v>19</v>
      </c>
      <c r="B91" s="3475"/>
      <c r="C91" s="2831" t="s">
        <v>2689</v>
      </c>
      <c r="D91" s="2831" t="s">
        <v>2690</v>
      </c>
      <c r="E91" s="2857">
        <v>0.2</v>
      </c>
      <c r="F91" s="2857">
        <v>25</v>
      </c>
    </row>
    <row r="92" spans="1:6" ht="14.4">
      <c r="A92" s="2857">
        <v>20</v>
      </c>
      <c r="B92" s="3475"/>
      <c r="C92" s="2831" t="s">
        <v>2691</v>
      </c>
      <c r="D92" s="2831" t="s">
        <v>2692</v>
      </c>
      <c r="E92" s="2857">
        <v>0.15</v>
      </c>
      <c r="F92" s="2857">
        <v>20</v>
      </c>
    </row>
    <row r="93" spans="1:6" ht="24">
      <c r="A93" s="2857">
        <v>21</v>
      </c>
      <c r="B93" s="3475"/>
      <c r="C93" s="2831" t="s">
        <v>2693</v>
      </c>
      <c r="D93" s="2831" t="s">
        <v>2694</v>
      </c>
      <c r="E93" s="2857">
        <v>0.15</v>
      </c>
      <c r="F93" s="2857">
        <v>20</v>
      </c>
    </row>
    <row r="94" spans="1:6" ht="24">
      <c r="A94" s="2857">
        <v>22</v>
      </c>
      <c r="B94" s="3475"/>
      <c r="C94" s="2831" t="s">
        <v>2695</v>
      </c>
      <c r="D94" s="2831" t="s">
        <v>2696</v>
      </c>
      <c r="E94" s="2857">
        <v>0.15</v>
      </c>
      <c r="F94" s="2857">
        <v>20</v>
      </c>
    </row>
    <row r="95" spans="1:6" ht="36">
      <c r="A95" s="2857">
        <v>23</v>
      </c>
      <c r="B95" s="3475"/>
      <c r="C95" s="2831" t="s">
        <v>2697</v>
      </c>
      <c r="D95" s="2831" t="s">
        <v>2698</v>
      </c>
      <c r="E95" s="2857">
        <v>0.15</v>
      </c>
      <c r="F95" s="2857">
        <v>20</v>
      </c>
    </row>
    <row r="96" spans="1:6" ht="24">
      <c r="A96" s="2857">
        <v>24</v>
      </c>
      <c r="B96" s="3475"/>
      <c r="C96" s="2831" t="s">
        <v>2699</v>
      </c>
      <c r="D96" s="2831" t="s">
        <v>2700</v>
      </c>
      <c r="E96" s="2857">
        <v>0.1</v>
      </c>
      <c r="F96" s="2857">
        <v>15</v>
      </c>
    </row>
    <row r="97" spans="1:6" ht="24">
      <c r="A97" s="2857">
        <v>25</v>
      </c>
      <c r="B97" s="3475"/>
      <c r="C97" s="2831" t="s">
        <v>2701</v>
      </c>
      <c r="D97" s="2831" t="s">
        <v>2702</v>
      </c>
      <c r="E97" s="2857">
        <v>0.1</v>
      </c>
      <c r="F97" s="2857">
        <v>15</v>
      </c>
    </row>
    <row r="98" spans="1:6" ht="24">
      <c r="A98" s="2857">
        <v>26</v>
      </c>
      <c r="B98" s="3475"/>
      <c r="C98" s="2831" t="s">
        <v>2703</v>
      </c>
      <c r="D98" s="2831" t="s">
        <v>2704</v>
      </c>
      <c r="E98" s="2857">
        <v>0.1</v>
      </c>
      <c r="F98" s="2857">
        <v>15</v>
      </c>
    </row>
    <row r="99" spans="1:6" ht="24">
      <c r="A99" s="2857">
        <v>27</v>
      </c>
      <c r="B99" s="3475"/>
      <c r="C99" s="2831" t="s">
        <v>2705</v>
      </c>
      <c r="D99" s="2831" t="s">
        <v>2706</v>
      </c>
      <c r="E99" s="2857">
        <v>0.1</v>
      </c>
      <c r="F99" s="2857">
        <v>15</v>
      </c>
    </row>
    <row r="100" spans="1:6" ht="24">
      <c r="A100" s="2857">
        <v>28</v>
      </c>
      <c r="B100" s="3475"/>
      <c r="C100" s="2831" t="s">
        <v>2707</v>
      </c>
      <c r="D100" s="2831" t="s">
        <v>2708</v>
      </c>
      <c r="E100" s="2857">
        <v>0.1</v>
      </c>
      <c r="F100" s="2857">
        <v>15</v>
      </c>
    </row>
    <row r="101" spans="1:6" ht="24">
      <c r="A101" s="2857">
        <v>29</v>
      </c>
      <c r="B101" s="3475"/>
      <c r="C101" s="2831" t="s">
        <v>2709</v>
      </c>
      <c r="D101" s="2831" t="s">
        <v>2710</v>
      </c>
      <c r="E101" s="2857">
        <v>0.1</v>
      </c>
      <c r="F101" s="2857">
        <v>15</v>
      </c>
    </row>
    <row r="102" spans="1:6" ht="24">
      <c r="A102" s="2857">
        <v>30</v>
      </c>
      <c r="B102" s="3475"/>
      <c r="C102" s="2831" t="s">
        <v>2711</v>
      </c>
      <c r="D102" s="2831" t="s">
        <v>2712</v>
      </c>
      <c r="E102" s="2857">
        <v>0.1</v>
      </c>
      <c r="F102" s="2857">
        <v>15</v>
      </c>
    </row>
    <row r="103" spans="1:6" ht="24">
      <c r="A103" s="2857">
        <v>31</v>
      </c>
      <c r="B103" s="3475"/>
      <c r="C103" s="2831" t="s">
        <v>2713</v>
      </c>
      <c r="D103" s="2831" t="s">
        <v>2714</v>
      </c>
      <c r="E103" s="2857">
        <v>0.1</v>
      </c>
      <c r="F103" s="2857">
        <v>15</v>
      </c>
    </row>
    <row r="104" spans="1:6" ht="24">
      <c r="A104" s="2857">
        <v>32</v>
      </c>
      <c r="B104" s="3475"/>
      <c r="C104" s="2831" t="s">
        <v>2715</v>
      </c>
      <c r="D104" s="2831" t="s">
        <v>2716</v>
      </c>
      <c r="E104" s="2857">
        <v>0.1</v>
      </c>
      <c r="F104" s="2857">
        <v>15</v>
      </c>
    </row>
    <row r="105" spans="1:6" ht="24">
      <c r="A105" s="2857">
        <v>33</v>
      </c>
      <c r="B105" s="3475"/>
      <c r="C105" s="2831" t="s">
        <v>2717</v>
      </c>
      <c r="D105" s="2831" t="s">
        <v>2718</v>
      </c>
      <c r="E105" s="2857">
        <v>0.1</v>
      </c>
      <c r="F105" s="2857">
        <v>15</v>
      </c>
    </row>
    <row r="106" spans="1:6" ht="24">
      <c r="A106" s="2857">
        <v>34</v>
      </c>
      <c r="B106" s="3474"/>
      <c r="C106" s="2831" t="s">
        <v>2719</v>
      </c>
      <c r="D106" s="2831" t="s">
        <v>2720</v>
      </c>
      <c r="E106" s="2857">
        <v>0.1</v>
      </c>
      <c r="F106" s="2857">
        <v>15</v>
      </c>
    </row>
    <row r="107" spans="1:6" ht="36">
      <c r="A107" s="2857">
        <v>35</v>
      </c>
      <c r="B107" s="3473" t="s">
        <v>2721</v>
      </c>
      <c r="C107" s="2857" t="s">
        <v>2722</v>
      </c>
      <c r="D107" s="2831" t="s">
        <v>2723</v>
      </c>
      <c r="E107" s="2857">
        <v>0.15</v>
      </c>
      <c r="F107" s="2857">
        <v>20</v>
      </c>
    </row>
    <row r="108" spans="1:6" ht="24">
      <c r="A108" s="2857">
        <v>36</v>
      </c>
      <c r="B108" s="3475"/>
      <c r="C108" s="2857" t="s">
        <v>2724</v>
      </c>
      <c r="D108" s="2831" t="s">
        <v>2725</v>
      </c>
      <c r="E108" s="2857">
        <v>0.15</v>
      </c>
      <c r="F108" s="2857">
        <v>20</v>
      </c>
    </row>
    <row r="109" spans="1:6" ht="24">
      <c r="A109" s="2857">
        <v>37</v>
      </c>
      <c r="B109" s="3475"/>
      <c r="C109" s="2857" t="s">
        <v>2726</v>
      </c>
      <c r="D109" s="2831" t="s">
        <v>2727</v>
      </c>
      <c r="E109" s="2857">
        <v>0.15</v>
      </c>
      <c r="F109" s="2857">
        <v>20</v>
      </c>
    </row>
    <row r="110" spans="1:6" ht="24">
      <c r="A110" s="2857">
        <v>38</v>
      </c>
      <c r="B110" s="3475"/>
      <c r="C110" s="2857" t="s">
        <v>2728</v>
      </c>
      <c r="D110" s="2831" t="s">
        <v>2729</v>
      </c>
      <c r="E110" s="2857">
        <v>0.1</v>
      </c>
      <c r="F110" s="2857">
        <v>15</v>
      </c>
    </row>
    <row r="111" spans="1:6" ht="24">
      <c r="A111" s="2857">
        <v>39</v>
      </c>
      <c r="B111" s="3475"/>
      <c r="C111" s="2857" t="s">
        <v>2730</v>
      </c>
      <c r="D111" s="2831" t="s">
        <v>2731</v>
      </c>
      <c r="E111" s="2857">
        <v>0.1</v>
      </c>
      <c r="F111" s="2857">
        <v>15</v>
      </c>
    </row>
    <row r="112" spans="1:6" ht="24">
      <c r="A112" s="2857">
        <v>40</v>
      </c>
      <c r="B112" s="3474"/>
      <c r="C112" s="2857" t="s">
        <v>2732</v>
      </c>
      <c r="D112" s="2831" t="s">
        <v>2733</v>
      </c>
      <c r="E112" s="2857">
        <v>0.1</v>
      </c>
      <c r="F112" s="2857">
        <v>15</v>
      </c>
    </row>
    <row r="113" spans="1:6" ht="24">
      <c r="A113" s="2857">
        <v>41</v>
      </c>
      <c r="B113" s="3472" t="s">
        <v>2734</v>
      </c>
      <c r="C113" s="2857" t="s">
        <v>2735</v>
      </c>
      <c r="D113" s="2831" t="s">
        <v>2736</v>
      </c>
      <c r="E113" s="2857">
        <v>0.1</v>
      </c>
      <c r="F113" s="2857">
        <v>15</v>
      </c>
    </row>
    <row r="114" spans="1:6" ht="24">
      <c r="A114" s="2857">
        <v>42</v>
      </c>
      <c r="B114" s="3472"/>
      <c r="C114" s="2857" t="s">
        <v>2737</v>
      </c>
      <c r="D114" s="2831" t="s">
        <v>2738</v>
      </c>
      <c r="E114" s="2857">
        <v>0.1</v>
      </c>
      <c r="F114" s="2857">
        <v>15</v>
      </c>
    </row>
    <row r="115" spans="1:6" ht="24">
      <c r="A115" s="2857">
        <v>43</v>
      </c>
      <c r="B115" s="3472"/>
      <c r="C115" s="2857" t="s">
        <v>2739</v>
      </c>
      <c r="D115" s="2831" t="s">
        <v>2740</v>
      </c>
      <c r="E115" s="2857">
        <v>0.1</v>
      </c>
      <c r="F115" s="2857">
        <v>15</v>
      </c>
    </row>
    <row r="116" spans="1:6" ht="24">
      <c r="A116" s="2857">
        <v>44</v>
      </c>
      <c r="B116" s="3473" t="s">
        <v>2741</v>
      </c>
      <c r="C116" s="2857" t="s">
        <v>2742</v>
      </c>
      <c r="D116" s="2831" t="s">
        <v>2743</v>
      </c>
      <c r="E116" s="2857">
        <v>0.1</v>
      </c>
      <c r="F116" s="2857">
        <v>15</v>
      </c>
    </row>
    <row r="117" spans="1:6" ht="24">
      <c r="A117" s="2857">
        <v>45</v>
      </c>
      <c r="B117" s="3474"/>
      <c r="C117" s="2831" t="s">
        <v>2744</v>
      </c>
      <c r="D117" s="2831" t="s">
        <v>2745</v>
      </c>
      <c r="E117" s="2857">
        <v>0.1</v>
      </c>
      <c r="F117" s="2857">
        <v>15</v>
      </c>
    </row>
    <row r="118" spans="1:6" ht="24">
      <c r="A118" s="2857">
        <v>46</v>
      </c>
      <c r="B118" s="3473" t="s">
        <v>2746</v>
      </c>
      <c r="C118" s="2857" t="s">
        <v>2747</v>
      </c>
      <c r="D118" s="2831" t="s">
        <v>2748</v>
      </c>
      <c r="E118" s="2857">
        <v>0.1</v>
      </c>
      <c r="F118" s="2857">
        <v>15</v>
      </c>
    </row>
    <row r="119" spans="1:6" ht="24">
      <c r="A119" s="2857">
        <v>47</v>
      </c>
      <c r="B119" s="3474"/>
      <c r="C119" s="2857" t="s">
        <v>2749</v>
      </c>
      <c r="D119" s="2831" t="s">
        <v>2750</v>
      </c>
      <c r="E119" s="2857">
        <v>0.1</v>
      </c>
      <c r="F119" s="2857">
        <v>15</v>
      </c>
    </row>
    <row r="120" spans="1:6" ht="24">
      <c r="A120" s="2857">
        <v>48</v>
      </c>
      <c r="B120" s="3473" t="s">
        <v>2751</v>
      </c>
      <c r="C120" s="2857" t="s">
        <v>2752</v>
      </c>
      <c r="D120" s="2831" t="s">
        <v>2753</v>
      </c>
      <c r="E120" s="2857">
        <v>0.1</v>
      </c>
      <c r="F120" s="2857">
        <v>15</v>
      </c>
    </row>
    <row r="121" spans="1:6" ht="24">
      <c r="A121" s="2857">
        <v>49</v>
      </c>
      <c r="B121" s="3474"/>
      <c r="C121" s="2857" t="s">
        <v>2754</v>
      </c>
      <c r="D121" s="2831" t="s">
        <v>2755</v>
      </c>
      <c r="E121" s="2857">
        <v>0.1</v>
      </c>
      <c r="F121" s="2857">
        <v>15</v>
      </c>
    </row>
    <row r="122" spans="1:6" ht="24">
      <c r="A122" s="2857">
        <v>50</v>
      </c>
      <c r="B122" s="3472" t="s">
        <v>2756</v>
      </c>
      <c r="C122" s="2857" t="s">
        <v>2757</v>
      </c>
      <c r="D122" s="2831" t="s">
        <v>2758</v>
      </c>
      <c r="E122" s="2857">
        <v>0.1</v>
      </c>
      <c r="F122" s="2857">
        <v>15</v>
      </c>
    </row>
    <row r="123" spans="1:6" ht="24">
      <c r="A123" s="2857">
        <v>51</v>
      </c>
      <c r="B123" s="3472"/>
      <c r="C123" s="2857" t="s">
        <v>2759</v>
      </c>
      <c r="D123" s="2831" t="s">
        <v>2760</v>
      </c>
      <c r="E123" s="2857">
        <v>0.1</v>
      </c>
      <c r="F123" s="2857">
        <v>15</v>
      </c>
    </row>
    <row r="124" spans="1:6" ht="24">
      <c r="A124" s="2857">
        <v>52</v>
      </c>
      <c r="B124" s="3472" t="s">
        <v>2761</v>
      </c>
      <c r="C124" s="2857" t="s">
        <v>2762</v>
      </c>
      <c r="D124" s="2831" t="s">
        <v>2763</v>
      </c>
      <c r="E124" s="2857">
        <v>0.1</v>
      </c>
      <c r="F124" s="2857">
        <v>15</v>
      </c>
    </row>
    <row r="125" spans="1:6" ht="24">
      <c r="A125" s="2857">
        <v>53</v>
      </c>
      <c r="B125" s="3472"/>
      <c r="C125" s="2857" t="s">
        <v>2764</v>
      </c>
      <c r="D125" s="2831" t="s">
        <v>2765</v>
      </c>
      <c r="E125" s="2857">
        <v>0.1</v>
      </c>
      <c r="F125" s="2857">
        <v>15</v>
      </c>
    </row>
    <row r="126" spans="1:6" ht="24">
      <c r="A126" s="2857">
        <v>54</v>
      </c>
      <c r="B126" s="2857" t="s">
        <v>2766</v>
      </c>
      <c r="C126" s="2857" t="s">
        <v>2767</v>
      </c>
      <c r="D126" s="2831" t="s">
        <v>2768</v>
      </c>
      <c r="E126" s="2857">
        <v>0.1</v>
      </c>
      <c r="F126" s="2857">
        <v>15</v>
      </c>
    </row>
    <row r="127" spans="1:6" ht="24">
      <c r="A127" s="2857">
        <v>55</v>
      </c>
      <c r="B127" s="3472" t="s">
        <v>2769</v>
      </c>
      <c r="C127" s="2857" t="s">
        <v>2770</v>
      </c>
      <c r="D127" s="2831" t="s">
        <v>2771</v>
      </c>
      <c r="E127" s="2857">
        <v>0.1</v>
      </c>
      <c r="F127" s="2857">
        <v>15</v>
      </c>
    </row>
    <row r="128" spans="1:6" ht="24">
      <c r="A128" s="2857">
        <v>56</v>
      </c>
      <c r="B128" s="3472"/>
      <c r="C128" s="2857" t="s">
        <v>2772</v>
      </c>
      <c r="D128" s="2831" t="s">
        <v>2773</v>
      </c>
      <c r="E128" s="2857">
        <v>0.1</v>
      </c>
      <c r="F128" s="2857">
        <v>15</v>
      </c>
    </row>
    <row r="129" spans="1:6" ht="24">
      <c r="A129" s="2857">
        <v>57</v>
      </c>
      <c r="B129" s="3472"/>
      <c r="C129" s="2857" t="s">
        <v>2774</v>
      </c>
      <c r="D129" s="2831" t="s">
        <v>2775</v>
      </c>
      <c r="E129" s="2857">
        <v>0.1</v>
      </c>
      <c r="F129" s="2857">
        <v>15</v>
      </c>
    </row>
    <row r="130" spans="1:6" ht="24">
      <c r="A130" s="2857">
        <v>58</v>
      </c>
      <c r="B130" s="3472" t="s">
        <v>2776</v>
      </c>
      <c r="C130" s="2857" t="s">
        <v>2777</v>
      </c>
      <c r="D130" s="2831" t="s">
        <v>2778</v>
      </c>
      <c r="E130" s="2857">
        <v>0.1</v>
      </c>
      <c r="F130" s="2857">
        <v>15</v>
      </c>
    </row>
    <row r="131" spans="1:6" ht="24">
      <c r="A131" s="2857">
        <v>59</v>
      </c>
      <c r="B131" s="3472"/>
      <c r="C131" s="2857" t="s">
        <v>2779</v>
      </c>
      <c r="D131" s="2831" t="s">
        <v>2780</v>
      </c>
      <c r="E131" s="2857">
        <v>0.1</v>
      </c>
      <c r="F131" s="2857">
        <v>15</v>
      </c>
    </row>
    <row r="132" spans="1:6" ht="24">
      <c r="A132" s="2857">
        <v>60</v>
      </c>
      <c r="B132" s="3473" t="s">
        <v>2781</v>
      </c>
      <c r="C132" s="2857" t="s">
        <v>2782</v>
      </c>
      <c r="D132" s="2831" t="s">
        <v>2783</v>
      </c>
      <c r="E132" s="2857">
        <v>0.1</v>
      </c>
      <c r="F132" s="2857">
        <v>15</v>
      </c>
    </row>
    <row r="133" spans="1:6" ht="24">
      <c r="A133" s="2857">
        <v>61</v>
      </c>
      <c r="B133" s="3474"/>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24">
      <c r="A135" s="2857">
        <v>63</v>
      </c>
      <c r="B135" s="3472" t="s">
        <v>2789</v>
      </c>
      <c r="C135" s="2857" t="s">
        <v>2790</v>
      </c>
      <c r="D135" s="2831" t="s">
        <v>2791</v>
      </c>
      <c r="E135" s="2857">
        <v>0.1</v>
      </c>
      <c r="F135" s="2857">
        <v>15</v>
      </c>
    </row>
    <row r="136" spans="1:6" ht="24">
      <c r="A136" s="2857">
        <v>64</v>
      </c>
      <c r="B136" s="3472"/>
      <c r="C136" s="2857" t="s">
        <v>2792</v>
      </c>
      <c r="D136" s="2831" t="s">
        <v>2793</v>
      </c>
      <c r="E136" s="2857">
        <v>0.1</v>
      </c>
      <c r="F136" s="2857">
        <v>15</v>
      </c>
    </row>
    <row r="137" spans="1:6" ht="24">
      <c r="A137" s="2857">
        <v>65</v>
      </c>
      <c r="B137" s="2857" t="s">
        <v>2794</v>
      </c>
      <c r="C137" s="2857" t="s">
        <v>2795</v>
      </c>
      <c r="D137" s="2831" t="s">
        <v>2796</v>
      </c>
      <c r="E137" s="2857">
        <v>0.1</v>
      </c>
      <c r="F137" s="2857">
        <v>15</v>
      </c>
    </row>
    <row r="138" spans="1:6" ht="14.4">
      <c r="A138" s="2857"/>
      <c r="B138" s="2857"/>
      <c r="C138" s="2857"/>
      <c r="D138" s="2857"/>
      <c r="E138" s="2857" t="s">
        <v>2797</v>
      </c>
      <c r="F138" s="285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0</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0</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25767</v>
      </c>
      <c r="C2" s="2" t="s">
        <v>106</v>
      </c>
      <c r="D2" s="191"/>
      <c r="E2" s="191"/>
      <c r="F2" s="191"/>
      <c r="G2" s="191"/>
    </row>
    <row r="3" spans="1:7" s="192" customFormat="1" ht="18" customHeight="1" thickBot="1">
      <c r="A3" s="195" t="s">
        <v>58</v>
      </c>
      <c r="B3" s="196">
        <f ca="1">ROUND(B2*10000/'数据-汇总表'!E3,0)</f>
        <v>1547289</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v>
      </c>
      <c r="D10" s="795">
        <f>'数据-汇总表'!E6</f>
        <v>166.53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v>
      </c>
      <c r="D19" s="204">
        <f>'数据-汇总表'!E3</f>
        <v>166.53</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645</v>
      </c>
      <c r="D22" s="227">
        <f ca="1">C26</f>
        <v>2.9999999999999997E-4</v>
      </c>
      <c r="E22" s="228" t="s">
        <v>99</v>
      </c>
      <c r="F22" s="229">
        <f ca="1">'数据-取费表'!B40</f>
        <v>3.1E-2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639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6.4">
      <c r="A27" s="731" t="s">
        <v>342</v>
      </c>
      <c r="B27" s="236" t="s">
        <v>85</v>
      </c>
      <c r="C27" s="237">
        <f>C28</f>
        <v>2103</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2103</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25718</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57</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50</v>
      </c>
      <c r="D34" s="209"/>
      <c r="E34" s="212"/>
      <c r="F34" s="249">
        <f>IF('数据-取费表'!B24=0,1,'数据-取费表'!N16)</f>
        <v>1</v>
      </c>
      <c r="G34" s="211" t="s">
        <v>89</v>
      </c>
    </row>
    <row r="35" spans="1:7" ht="13.5" customHeight="1">
      <c r="A35" s="734" t="s">
        <v>351</v>
      </c>
      <c r="B35" s="207" t="s">
        <v>33</v>
      </c>
      <c r="C35" s="212">
        <f>ROUND(C34*F35,0)</f>
        <v>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v>
      </c>
      <c r="D37" s="209">
        <f>'数据-汇总表'!E3</f>
        <v>166.53</v>
      </c>
      <c r="E37" s="241">
        <f>'数据-取费表'!B35</f>
        <v>200</v>
      </c>
      <c r="F37" s="251"/>
      <c r="G37" s="253" t="s">
        <v>92</v>
      </c>
    </row>
    <row r="38" spans="1:7" ht="13.5" customHeight="1">
      <c r="A38" s="734" t="s">
        <v>354</v>
      </c>
      <c r="B38" s="207" t="s">
        <v>36</v>
      </c>
      <c r="C38" s="212">
        <f>ROUND(C34*F38,0)</f>
        <v>1</v>
      </c>
      <c r="D38" s="212"/>
      <c r="E38" s="212"/>
      <c r="F38" s="251">
        <f>'数据-取费表'!B36</f>
        <v>0.02</v>
      </c>
      <c r="G38" s="211" t="s">
        <v>90</v>
      </c>
    </row>
    <row r="39" spans="1:7" s="206" customFormat="1" ht="13.5" customHeight="1">
      <c r="A39" s="731" t="s">
        <v>338</v>
      </c>
      <c r="B39" s="202" t="s">
        <v>77</v>
      </c>
      <c r="C39" s="224">
        <f>ROUND(C33*F20,0)</f>
        <v>1</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1</v>
      </c>
      <c r="D42" s="230"/>
      <c r="E42" s="230"/>
      <c r="F42" s="231"/>
      <c r="G42" s="3349" t="s">
        <v>94</v>
      </c>
    </row>
    <row r="43" spans="1:7" ht="13.5" customHeight="1">
      <c r="A43" s="734" t="s">
        <v>347</v>
      </c>
      <c r="B43" s="207" t="s">
        <v>426</v>
      </c>
      <c r="C43" s="230">
        <f ca="1">ROUND(IF('数据-取费表'!B22&lt;=1,C39*F22*'数据-取费表'!B21/2,C39*(POWER((1+F22),'数据-取费表'!B21/2)-1)),0)</f>
        <v>0</v>
      </c>
      <c r="D43" s="230"/>
      <c r="E43" s="230"/>
      <c r="F43" s="231"/>
      <c r="G43" s="3350"/>
    </row>
    <row r="44" spans="1:7" ht="13.5" customHeight="1">
      <c r="A44" s="734" t="s">
        <v>348</v>
      </c>
      <c r="B44" s="207" t="s">
        <v>428</v>
      </c>
      <c r="C44" s="230">
        <f ca="1">ROUND(IF('数据-取费表'!B22&lt;=1,C40*F22*'数据-取费表'!B21/2,C40*(POWER((1+F22),'数据-取费表'!B21/2)-1)),4)</f>
        <v>2.9999999999999997E-4</v>
      </c>
      <c r="D44" s="230"/>
      <c r="E44" s="230"/>
      <c r="F44" s="231"/>
      <c r="G44" s="3351"/>
    </row>
    <row r="45" spans="1:7" s="206" customFormat="1" ht="13.5" customHeight="1">
      <c r="A45" s="731" t="s">
        <v>341</v>
      </c>
      <c r="B45" s="236" t="s">
        <v>85</v>
      </c>
      <c r="C45" s="237">
        <f>C46</f>
        <v>6</v>
      </c>
      <c r="D45" s="227">
        <f>C47</f>
        <v>2E-3</v>
      </c>
      <c r="E45" s="228" t="s">
        <v>102</v>
      </c>
      <c r="F45" s="238"/>
      <c r="G45" s="239" t="s">
        <v>434</v>
      </c>
    </row>
    <row r="46" spans="1:7" s="206" customFormat="1" ht="13.5" customHeight="1">
      <c r="A46" s="734" t="s">
        <v>349</v>
      </c>
      <c r="B46" s="240" t="s">
        <v>427</v>
      </c>
      <c r="C46" s="241">
        <f>ROUND((C33+C39)*F27,0)</f>
        <v>6</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70</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49</v>
      </c>
      <c r="D51" s="224"/>
      <c r="E51" s="224"/>
      <c r="F51" s="256"/>
      <c r="G51" s="226" t="s">
        <v>37</v>
      </c>
    </row>
    <row r="52" spans="1:7" s="200" customFormat="1" ht="16.8" thickBot="1">
      <c r="A52" s="257" t="s">
        <v>38</v>
      </c>
      <c r="B52" s="258"/>
      <c r="C52" s="259">
        <f ca="1">C31+C51</f>
        <v>25767</v>
      </c>
      <c r="D52" s="258"/>
      <c r="E52" s="258"/>
      <c r="F52" s="258"/>
      <c r="G52" s="260"/>
    </row>
    <row r="55" spans="1:7" ht="15">
      <c r="B55" s="262" t="s">
        <v>39</v>
      </c>
      <c r="C55" s="263"/>
    </row>
    <row r="56" spans="1:7">
      <c r="B56" s="265" t="s">
        <v>40</v>
      </c>
      <c r="C56" s="266">
        <f ca="1">ROUND(C51/C52,3)</f>
        <v>2E-3</v>
      </c>
    </row>
    <row r="57" spans="1:7">
      <c r="B57" s="265" t="s">
        <v>41</v>
      </c>
      <c r="C57" s="267">
        <f ca="1">1-C56</f>
        <v>0.998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486" t="s">
        <v>2839</v>
      </c>
      <c r="B1" s="3486"/>
      <c r="C1" s="3486"/>
      <c r="D1" s="3486"/>
      <c r="E1" s="3486"/>
      <c r="F1" s="3486"/>
      <c r="G1" s="3487"/>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1.4"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484"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1.4" thickBot="1">
      <c r="A4" s="3485"/>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1.4"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1.4"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1.4"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1.4"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88" t="s">
        <v>3181</v>
      </c>
      <c r="B1" s="3488"/>
    </row>
    <row r="2" spans="1:7" ht="15" thickBot="1">
      <c r="A2" s="2968"/>
      <c r="B2" s="2968"/>
    </row>
    <row r="3" spans="1:7" ht="15" thickBot="1">
      <c r="A3" s="2968"/>
      <c r="B3" s="2968"/>
      <c r="C3" s="2969" t="s">
        <v>2811</v>
      </c>
      <c r="D3" s="2969" t="s">
        <v>2867</v>
      </c>
      <c r="E3" s="2969" t="s">
        <v>2813</v>
      </c>
      <c r="F3" s="2969" t="s">
        <v>2868</v>
      </c>
      <c r="G3" s="2969" t="s">
        <v>2631</v>
      </c>
    </row>
    <row r="4" spans="1:7" ht="1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3"/>
  </cols>
  <sheetData>
    <row r="1" spans="1:6">
      <c r="A1" s="3489" t="s">
        <v>3232</v>
      </c>
      <c r="B1" s="3489"/>
      <c r="C1" s="3489"/>
      <c r="D1" s="3489"/>
      <c r="E1" s="3489"/>
      <c r="F1" s="3490"/>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7">
        <f>基准地价修正!G23</f>
        <v>45734</v>
      </c>
      <c r="B1" s="2929" t="s">
        <v>3380</v>
      </c>
      <c r="C1" s="2930"/>
      <c r="D1" s="2930"/>
      <c r="E1" s="2930"/>
      <c r="F1" s="2930"/>
      <c r="G1" s="2930"/>
      <c r="H1" s="2930"/>
      <c r="I1" s="2930"/>
      <c r="J1" s="2896"/>
      <c r="K1" s="2930" t="s">
        <v>454</v>
      </c>
      <c r="L1" s="2930"/>
      <c r="M1" s="2930"/>
      <c r="N1" s="2930"/>
      <c r="O1" s="2930"/>
      <c r="P1" s="2930"/>
      <c r="Q1" s="2896"/>
      <c r="R1" s="3491" t="s">
        <v>456</v>
      </c>
      <c r="S1" s="3492"/>
      <c r="T1" s="3492"/>
      <c r="U1" s="3492"/>
      <c r="V1" s="3492"/>
      <c r="W1" s="3492"/>
      <c r="X1" s="2896"/>
      <c r="Y1" s="3491" t="s">
        <v>457</v>
      </c>
      <c r="Z1" s="3492"/>
      <c r="AA1" s="3492"/>
      <c r="AB1" s="3492"/>
      <c r="AC1" s="3492"/>
      <c r="AD1" s="3492"/>
    </row>
    <row r="2" spans="1:30" s="2010" customFormat="1" ht="15" thickBot="1">
      <c r="B2" s="2881"/>
      <c r="C2" s="2882"/>
      <c r="D2" s="2011" t="s">
        <v>2810</v>
      </c>
      <c r="E2" s="2012" t="s">
        <v>2811</v>
      </c>
      <c r="F2" s="2012" t="s">
        <v>2812</v>
      </c>
      <c r="G2" s="2012" t="s">
        <v>2813</v>
      </c>
      <c r="H2" s="2012" t="s">
        <v>2814</v>
      </c>
      <c r="I2" s="2012" t="s">
        <v>2631</v>
      </c>
      <c r="J2" s="2883"/>
      <c r="K2" s="2011" t="s">
        <v>2810</v>
      </c>
      <c r="L2" s="2012" t="s">
        <v>2811</v>
      </c>
      <c r="M2" s="2012" t="s">
        <v>2812</v>
      </c>
      <c r="N2" s="2012" t="s">
        <v>2813</v>
      </c>
      <c r="O2" s="2012" t="s">
        <v>2815</v>
      </c>
      <c r="P2" s="2012" t="s">
        <v>2631</v>
      </c>
      <c r="Q2" s="2883"/>
      <c r="R2" s="2011" t="s">
        <v>2810</v>
      </c>
      <c r="S2" s="2012" t="s">
        <v>2811</v>
      </c>
      <c r="T2" s="2012" t="s">
        <v>2812</v>
      </c>
      <c r="U2" s="2012" t="s">
        <v>2816</v>
      </c>
      <c r="V2" s="2012" t="s">
        <v>2817</v>
      </c>
      <c r="W2" s="2012" t="s">
        <v>2631</v>
      </c>
      <c r="X2" s="2883"/>
      <c r="Y2" s="2011" t="s">
        <v>2810</v>
      </c>
      <c r="Z2" s="2012" t="s">
        <v>2811</v>
      </c>
      <c r="AA2" s="2012" t="s">
        <v>2812</v>
      </c>
      <c r="AB2" s="2012" t="s">
        <v>2818</v>
      </c>
      <c r="AC2" s="2012" t="s">
        <v>2817</v>
      </c>
      <c r="AD2" s="2012" t="s">
        <v>2631</v>
      </c>
    </row>
    <row r="3" spans="1:30" s="2886" customFormat="1" ht="13.2">
      <c r="A3" s="2884" t="s">
        <v>2819</v>
      </c>
      <c r="B3" s="2885"/>
      <c r="D3" s="2886">
        <f>ROUND(AVERAGEIF(D4:D21,"&lt;&gt;0"),2)</f>
        <v>0.38</v>
      </c>
      <c r="E3" s="2886">
        <f t="shared" ref="E3:H3" si="0">ROUND(AVERAGEIF(E4:E21,"&lt;&gt;0"),2)</f>
        <v>0.26</v>
      </c>
      <c r="F3" s="2886">
        <f t="shared" si="0"/>
        <v>-0.01</v>
      </c>
      <c r="G3" s="2886">
        <f t="shared" si="0"/>
        <v>0.41</v>
      </c>
      <c r="H3" s="2886">
        <f t="shared" si="0"/>
        <v>0.52</v>
      </c>
      <c r="I3" s="2886">
        <f>F3</f>
        <v>-0.01</v>
      </c>
      <c r="J3" s="2887"/>
      <c r="K3" s="2888">
        <f>ROUND(AVERAGEIF(K4:K21,"&lt;&gt;0"),4)</f>
        <v>3.8E-3</v>
      </c>
      <c r="L3" s="2889">
        <f t="shared" ref="L3:O3" si="1">ROUND(AVERAGEIF(L4:L21,"&lt;&gt;0"),4)</f>
        <v>2.5999999999999999E-3</v>
      </c>
      <c r="M3" s="2889">
        <f t="shared" si="1"/>
        <v>-1E-4</v>
      </c>
      <c r="N3" s="2889">
        <f t="shared" si="1"/>
        <v>4.1000000000000003E-3</v>
      </c>
      <c r="O3" s="2889">
        <f t="shared" si="1"/>
        <v>5.1999999999999998E-3</v>
      </c>
      <c r="P3" s="2889">
        <f>M3</f>
        <v>-1E-4</v>
      </c>
      <c r="Q3" s="2887"/>
      <c r="R3" s="2890">
        <f>ROUND(SUMPRODUCT(PRODUCT(1+K4:K21)),4)</f>
        <v>1.0613999999999999</v>
      </c>
      <c r="S3" s="2891">
        <f t="shared" ref="S3:V3" si="2">ROUND(SUMPRODUCT(PRODUCT(1+L4:L21)),4)</f>
        <v>1.0415000000000001</v>
      </c>
      <c r="T3" s="2891">
        <f t="shared" si="2"/>
        <v>0.99780000000000002</v>
      </c>
      <c r="U3" s="2891">
        <f t="shared" si="2"/>
        <v>1.0678000000000001</v>
      </c>
      <c r="V3" s="2891">
        <f t="shared" si="2"/>
        <v>1.0866</v>
      </c>
      <c r="W3" s="2890">
        <f>T3</f>
        <v>0.99780000000000002</v>
      </c>
      <c r="X3" s="2887"/>
      <c r="Y3" s="2892">
        <f>ROUND(AVERAGEIF(Y8:Y21,"&lt;&gt;0"),4)</f>
        <v>8.3999999999999995E-3</v>
      </c>
      <c r="Z3" s="2893">
        <f t="shared" ref="Z3:AC3" si="3">ROUND(AVERAGEIF(Z8:Z21,"&lt;&gt;0"),4)</f>
        <v>3.5000000000000001E-3</v>
      </c>
      <c r="AA3" s="2894">
        <f t="shared" si="3"/>
        <v>8.0000000000000004E-4</v>
      </c>
      <c r="AB3" s="2892">
        <f t="shared" si="3"/>
        <v>9.1000000000000004E-3</v>
      </c>
      <c r="AC3" s="2895">
        <f t="shared" si="3"/>
        <v>6.1000000000000004E-3</v>
      </c>
      <c r="AD3" s="2892">
        <f>AA3</f>
        <v>8.0000000000000004E-4</v>
      </c>
    </row>
    <row r="4" spans="1:30" s="2009" customFormat="1" ht="13.2">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30" s="2045" customFormat="1" ht="13.2">
      <c r="A5" s="2040" t="s">
        <v>3376</v>
      </c>
      <c r="B5" s="2031">
        <v>2025</v>
      </c>
      <c r="C5" s="2042">
        <v>1</v>
      </c>
      <c r="D5" s="2007">
        <v>0</v>
      </c>
      <c r="E5" s="2007">
        <v>0</v>
      </c>
      <c r="F5" s="2007">
        <v>0</v>
      </c>
      <c r="G5" s="2007">
        <v>0</v>
      </c>
      <c r="H5" s="2007">
        <v>0</v>
      </c>
      <c r="I5" s="2008">
        <f t="shared" ref="I5" si="4">F5</f>
        <v>0</v>
      </c>
      <c r="J5" s="2906"/>
      <c r="K5" s="2043">
        <f t="shared" ref="K5" si="5">D5/100</f>
        <v>0</v>
      </c>
      <c r="L5" s="2028">
        <f t="shared" ref="L5" si="6">E5/100</f>
        <v>0</v>
      </c>
      <c r="M5" s="2028">
        <f t="shared" ref="M5" si="7">F5/100</f>
        <v>0</v>
      </c>
      <c r="N5" s="2028">
        <f t="shared" ref="N5" si="8">G5/100</f>
        <v>0</v>
      </c>
      <c r="O5" s="2028">
        <f t="shared" ref="O5" si="9">H5/100</f>
        <v>0</v>
      </c>
      <c r="P5" s="2028">
        <f>M5</f>
        <v>0</v>
      </c>
      <c r="Q5" s="2906"/>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6"/>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6" customFormat="1" ht="13.2">
      <c r="A6" s="2907" t="s">
        <v>3385</v>
      </c>
      <c r="B6" s="2908">
        <v>2024</v>
      </c>
      <c r="C6" s="2909">
        <v>4</v>
      </c>
      <c r="D6" s="2910">
        <v>-1.02</v>
      </c>
      <c r="E6" s="2910">
        <v>-0.48</v>
      </c>
      <c r="F6" s="2910">
        <v>-0.75</v>
      </c>
      <c r="G6" s="2910">
        <v>-1.05</v>
      </c>
      <c r="H6" s="2911">
        <v>0.08</v>
      </c>
      <c r="I6" s="2912">
        <f t="shared" ref="I6" si="15">F6</f>
        <v>-0.75</v>
      </c>
      <c r="J6" s="2913"/>
      <c r="K6" s="2914">
        <f t="shared" ref="K6" si="16">D6/100</f>
        <v>-1.0200000000000001E-2</v>
      </c>
      <c r="L6" s="2915">
        <f t="shared" ref="L6" si="17">E6/100</f>
        <v>-4.7999999999999996E-3</v>
      </c>
      <c r="M6" s="2915">
        <f t="shared" ref="M6" si="18">F6/100</f>
        <v>-7.4999999999999997E-3</v>
      </c>
      <c r="N6" s="2915">
        <f t="shared" ref="N6" si="19">G6/100</f>
        <v>-1.0500000000000001E-2</v>
      </c>
      <c r="O6" s="2915">
        <f t="shared" ref="O6" si="20">H6/100</f>
        <v>8.0000000000000004E-4</v>
      </c>
      <c r="P6" s="2915">
        <f>M6</f>
        <v>-7.4999999999999997E-3</v>
      </c>
      <c r="Q6" s="2913"/>
      <c r="R6" s="2913">
        <f>ROUND(IF(项目基本情况!$B$8="出让",SUMPRODUCT(PRODUCT(1+K6:$K$21)),SUMPRODUCT(PRODUCT(1+K6:$K$20))),4)</f>
        <v>1.0511999999999999</v>
      </c>
      <c r="S6" s="2913">
        <f>ROUND(IF(项目基本情况!$B$8="出让",SUMPRODUCT(PRODUCT(1+L6:$L$21)),SUMPRODUCT(PRODUCT(1+L6:$L$20))),4)</f>
        <v>1.0398000000000001</v>
      </c>
      <c r="T6" s="2913">
        <f>ROUND(IF(项目基本情况!$B$8="出让",SUMPRODUCT(PRODUCT(1+M6:$M$21)),SUMPRODUCT(PRODUCT(1+M6:$M$20))),4)</f>
        <v>1.0003</v>
      </c>
      <c r="U6" s="2913">
        <f>ROUND(IF(项目基本情况!$B$8="出让",SUMPRODUCT(PRODUCT(1+N6:$N$21)),SUMPRODUCT(PRODUCT(1+N6:$N$20))),4)</f>
        <v>1.0561</v>
      </c>
      <c r="V6" s="2913">
        <f>ROUND(IF(项目基本情况!$B$8="出让",SUMPRODUCT(PRODUCT(1+O6:$O$21)),SUMPRODUCT(PRODUCT(1+O6:$O$20))),4)</f>
        <v>1.0827</v>
      </c>
      <c r="W6" s="2913">
        <f>T6</f>
        <v>1.0003</v>
      </c>
      <c r="X6" s="2913"/>
      <c r="Y6" s="2915">
        <f>IF(D6=0,0,ROUND(AVERAGE(D6:D19)/100,4))</f>
        <v>2.8999999999999998E-3</v>
      </c>
      <c r="Z6" s="2915">
        <f t="shared" ref="Z6" si="21">IF(E6=0,0,ROUND(AVERAGE(E6:E19)/100,4))</f>
        <v>2.3E-3</v>
      </c>
      <c r="AA6" s="2915">
        <f t="shared" ref="AA6" si="22">IF(F6=0,0,ROUND(AVERAGE(F6:F19)/100,4))</f>
        <v>-2.9999999999999997E-4</v>
      </c>
      <c r="AB6" s="2915">
        <f t="shared" ref="AB6" si="23">IF(G6=0,0,ROUND(AVERAGE(G6:G19)/100,4))</f>
        <v>3.3E-3</v>
      </c>
      <c r="AC6" s="2915">
        <f t="shared" ref="AC6" si="24">IF(H6=0,0,ROUND(AVERAGE(H6:H19)/100,4))</f>
        <v>5.0000000000000001E-3</v>
      </c>
      <c r="AD6" s="2915">
        <f t="shared" ref="AD6" si="25">AA6</f>
        <v>-2.9999999999999997E-4</v>
      </c>
    </row>
    <row r="7" spans="1:30" s="2045" customFormat="1" ht="13.2">
      <c r="A7" s="2040" t="s">
        <v>3384</v>
      </c>
      <c r="B7" s="2031">
        <v>2024</v>
      </c>
      <c r="C7" s="2042">
        <v>3</v>
      </c>
      <c r="D7" s="2007">
        <v>-1.19</v>
      </c>
      <c r="E7" s="2007">
        <v>-0.47</v>
      </c>
      <c r="F7" s="2007">
        <v>-0.28999999999999998</v>
      </c>
      <c r="G7" s="2007">
        <v>-0.74</v>
      </c>
      <c r="H7" s="2007">
        <v>-0.21</v>
      </c>
      <c r="I7" s="2008">
        <f t="shared" ref="I7" si="26">F7</f>
        <v>-0.28999999999999998</v>
      </c>
      <c r="J7" s="2906"/>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6"/>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6"/>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5" t="s">
        <v>3377</v>
      </c>
      <c r="B8" s="2031">
        <v>2024</v>
      </c>
      <c r="C8" s="2042">
        <v>2</v>
      </c>
      <c r="D8" s="2007">
        <v>-0.59</v>
      </c>
      <c r="E8" s="2007">
        <v>-0.21</v>
      </c>
      <c r="F8" s="2007">
        <v>-1.38</v>
      </c>
      <c r="G8" s="2007">
        <v>-1.24</v>
      </c>
      <c r="H8" s="2917">
        <v>0.34</v>
      </c>
      <c r="I8" s="2008">
        <f t="shared" ref="I8:I21" si="37">F8</f>
        <v>-1.38</v>
      </c>
      <c r="J8" s="2906"/>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6"/>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6"/>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5" t="s">
        <v>3375</v>
      </c>
      <c r="B9" s="2031">
        <v>2024</v>
      </c>
      <c r="C9" s="2042">
        <v>1</v>
      </c>
      <c r="D9" s="2007">
        <v>0.08</v>
      </c>
      <c r="E9" s="2007">
        <v>0.46</v>
      </c>
      <c r="F9" s="2007">
        <v>-0.16</v>
      </c>
      <c r="G9" s="2007">
        <v>0.26</v>
      </c>
      <c r="H9" s="2917">
        <v>0.59</v>
      </c>
      <c r="I9" s="2008">
        <v>0</v>
      </c>
      <c r="J9" s="2906"/>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6"/>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6"/>
      <c r="Y9" s="2028"/>
      <c r="Z9" s="2028"/>
      <c r="AA9" s="2028"/>
      <c r="AB9" s="2028"/>
      <c r="AC9" s="2028"/>
      <c r="AD9" s="2028"/>
    </row>
    <row r="10" spans="1:30" s="2045" customFormat="1" ht="13.2">
      <c r="A10" s="2905" t="s">
        <v>3371</v>
      </c>
      <c r="B10" s="2031">
        <v>2023</v>
      </c>
      <c r="C10" s="2042">
        <v>4</v>
      </c>
      <c r="D10" s="2007">
        <v>0.19</v>
      </c>
      <c r="E10" s="2007">
        <v>0.24</v>
      </c>
      <c r="F10" s="2007">
        <v>-0.16</v>
      </c>
      <c r="G10" s="2007">
        <v>0.17</v>
      </c>
      <c r="H10" s="2917">
        <v>0.61</v>
      </c>
      <c r="I10" s="2008">
        <f>F10</f>
        <v>-0.16</v>
      </c>
      <c r="J10" s="2906"/>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6"/>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6"/>
      <c r="Y10" s="2028"/>
      <c r="Z10" s="2028"/>
      <c r="AA10" s="2028"/>
      <c r="AB10" s="2028"/>
      <c r="AC10" s="2028"/>
      <c r="AD10" s="2028"/>
    </row>
    <row r="11" spans="1:30" s="2045" customFormat="1" ht="13.2">
      <c r="A11" s="2905" t="s">
        <v>3370</v>
      </c>
      <c r="B11" s="2031">
        <v>2023</v>
      </c>
      <c r="C11" s="2042">
        <v>3</v>
      </c>
      <c r="D11" s="2007">
        <v>0.25</v>
      </c>
      <c r="E11" s="2007">
        <v>0.5</v>
      </c>
      <c r="F11" s="2007">
        <v>0.31</v>
      </c>
      <c r="G11" s="2007">
        <v>0.21</v>
      </c>
      <c r="H11" s="2917">
        <v>0.43</v>
      </c>
      <c r="I11" s="2008">
        <f t="shared" si="37"/>
        <v>0.31</v>
      </c>
      <c r="J11" s="2906"/>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6"/>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6"/>
      <c r="Y11" s="2028"/>
      <c r="Z11" s="2028"/>
      <c r="AA11" s="2028"/>
      <c r="AB11" s="2028"/>
      <c r="AC11" s="2028"/>
      <c r="AD11" s="2028"/>
    </row>
    <row r="12" spans="1:30" s="2045" customFormat="1" ht="13.2">
      <c r="A12" s="2905" t="s">
        <v>3368</v>
      </c>
      <c r="B12" s="2031">
        <v>2023</v>
      </c>
      <c r="C12" s="2042">
        <v>2</v>
      </c>
      <c r="D12" s="2007">
        <v>0.91</v>
      </c>
      <c r="E12" s="2007">
        <v>0.66</v>
      </c>
      <c r="F12" s="2007">
        <v>0.47</v>
      </c>
      <c r="G12" s="2007">
        <v>0.96</v>
      </c>
      <c r="H12" s="2917">
        <v>0.71</v>
      </c>
      <c r="I12" s="2008">
        <f t="shared" si="37"/>
        <v>0.47</v>
      </c>
      <c r="J12" s="2906"/>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6"/>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6"/>
      <c r="Y12" s="2028"/>
      <c r="Z12" s="2028"/>
      <c r="AA12" s="2028"/>
      <c r="AB12" s="2028"/>
      <c r="AC12" s="2028"/>
      <c r="AD12" s="2028"/>
    </row>
    <row r="13" spans="1:30" s="2045" customFormat="1" ht="13.2">
      <c r="A13" s="2905" t="s">
        <v>3367</v>
      </c>
      <c r="B13" s="2031">
        <v>2023</v>
      </c>
      <c r="C13" s="2042">
        <v>1</v>
      </c>
      <c r="D13" s="2007">
        <v>0.89</v>
      </c>
      <c r="E13" s="2007">
        <v>0.74</v>
      </c>
      <c r="F13" s="2007">
        <v>0.56999999999999995</v>
      </c>
      <c r="G13" s="2007">
        <v>0.92</v>
      </c>
      <c r="H13" s="2917">
        <v>0.5</v>
      </c>
      <c r="I13" s="2008">
        <f t="shared" si="37"/>
        <v>0.56999999999999995</v>
      </c>
      <c r="J13" s="2906"/>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6"/>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6"/>
      <c r="Y13" s="2028"/>
      <c r="Z13" s="2028"/>
      <c r="AA13" s="2028"/>
      <c r="AB13" s="2028"/>
      <c r="AC13" s="2028"/>
      <c r="AD13" s="2028"/>
    </row>
    <row r="14" spans="1:30" s="2045" customFormat="1" ht="13.2">
      <c r="A14" s="2905" t="s">
        <v>3366</v>
      </c>
      <c r="B14" s="2031">
        <v>2022</v>
      </c>
      <c r="C14" s="2042">
        <v>4</v>
      </c>
      <c r="D14" s="2007">
        <v>0.62</v>
      </c>
      <c r="E14" s="2007">
        <v>0.2</v>
      </c>
      <c r="F14" s="2007">
        <v>0.11</v>
      </c>
      <c r="G14" s="2007">
        <v>0.69</v>
      </c>
      <c r="H14" s="2917">
        <v>0.53</v>
      </c>
      <c r="I14" s="2008">
        <f t="shared" si="37"/>
        <v>0.11</v>
      </c>
      <c r="J14" s="2906"/>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6"/>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6"/>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5" t="s">
        <v>3364</v>
      </c>
      <c r="B15" s="2031">
        <v>2022</v>
      </c>
      <c r="C15" s="2042">
        <v>3</v>
      </c>
      <c r="D15" s="2007">
        <v>0.66</v>
      </c>
      <c r="E15" s="2007">
        <v>0.32</v>
      </c>
      <c r="F15" s="2007">
        <v>0.23</v>
      </c>
      <c r="G15" s="2007">
        <v>0.72</v>
      </c>
      <c r="H15" s="2917">
        <v>0.63</v>
      </c>
      <c r="I15" s="2008">
        <f t="shared" si="37"/>
        <v>0.23</v>
      </c>
      <c r="J15" s="2906"/>
      <c r="K15" s="2043">
        <f t="shared" si="38"/>
        <v>6.6E-3</v>
      </c>
      <c r="L15" s="2028">
        <f t="shared" si="38"/>
        <v>3.2000000000000002E-3</v>
      </c>
      <c r="M15" s="2028">
        <f t="shared" si="38"/>
        <v>2.3E-3</v>
      </c>
      <c r="N15" s="2028">
        <f t="shared" si="38"/>
        <v>7.1999999999999998E-3</v>
      </c>
      <c r="O15" s="2028">
        <f t="shared" si="38"/>
        <v>6.3E-3</v>
      </c>
      <c r="P15" s="2028">
        <f t="shared" si="58"/>
        <v>2.3E-3</v>
      </c>
      <c r="Q15" s="2906"/>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6"/>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5" t="s">
        <v>3355</v>
      </c>
      <c r="B16" s="2031">
        <v>2022</v>
      </c>
      <c r="C16" s="2042">
        <v>2</v>
      </c>
      <c r="D16" s="2007">
        <v>0.93</v>
      </c>
      <c r="E16" s="2007">
        <v>0.15</v>
      </c>
      <c r="F16" s="2007">
        <v>0.01</v>
      </c>
      <c r="G16" s="2007">
        <v>1.05</v>
      </c>
      <c r="H16" s="2917">
        <v>1.08</v>
      </c>
      <c r="I16" s="2008">
        <f t="shared" si="37"/>
        <v>0.01</v>
      </c>
      <c r="J16" s="2906"/>
      <c r="K16" s="2043">
        <f t="shared" si="38"/>
        <v>9.300000000000001E-3</v>
      </c>
      <c r="L16" s="2028">
        <f t="shared" si="38"/>
        <v>1.5E-3</v>
      </c>
      <c r="M16" s="2028">
        <f t="shared" si="38"/>
        <v>1E-4</v>
      </c>
      <c r="N16" s="2028">
        <f t="shared" si="38"/>
        <v>1.0500000000000001E-2</v>
      </c>
      <c r="O16" s="2028">
        <f t="shared" si="38"/>
        <v>1.0800000000000001E-2</v>
      </c>
      <c r="P16" s="2028">
        <f t="shared" si="58"/>
        <v>1E-4</v>
      </c>
      <c r="Q16" s="2906"/>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6"/>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5" t="s">
        <v>2820</v>
      </c>
      <c r="B17" s="2031">
        <v>2022</v>
      </c>
      <c r="C17" s="2042">
        <v>1</v>
      </c>
      <c r="D17" s="2007">
        <v>0.89</v>
      </c>
      <c r="E17" s="2007">
        <v>0.44</v>
      </c>
      <c r="F17" s="2007">
        <v>0.37</v>
      </c>
      <c r="G17" s="2007">
        <v>0.96</v>
      </c>
      <c r="H17" s="2917">
        <v>0.64</v>
      </c>
      <c r="I17" s="2008">
        <f t="shared" si="37"/>
        <v>0.37</v>
      </c>
      <c r="J17" s="2906"/>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6"/>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6"/>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5" t="s">
        <v>2821</v>
      </c>
      <c r="B18" s="2031">
        <v>2021</v>
      </c>
      <c r="C18" s="2042">
        <v>4</v>
      </c>
      <c r="D18" s="2007">
        <v>1.03</v>
      </c>
      <c r="E18" s="2007">
        <v>0.24</v>
      </c>
      <c r="F18" s="2007">
        <v>7.0000000000000007E-2</v>
      </c>
      <c r="G18" s="2007">
        <v>1.17</v>
      </c>
      <c r="H18" s="2917">
        <v>0.55000000000000004</v>
      </c>
      <c r="I18" s="2008">
        <f t="shared" si="37"/>
        <v>7.0000000000000007E-2</v>
      </c>
      <c r="J18" s="2906"/>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6"/>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6"/>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5" t="s">
        <v>2822</v>
      </c>
      <c r="B19" s="2031">
        <v>2021</v>
      </c>
      <c r="C19" s="2042">
        <v>3</v>
      </c>
      <c r="D19" s="2007">
        <v>0.47</v>
      </c>
      <c r="E19" s="2007">
        <v>0.41</v>
      </c>
      <c r="F19" s="2007">
        <v>0.24</v>
      </c>
      <c r="G19" s="2007">
        <v>0.48</v>
      </c>
      <c r="H19" s="2917">
        <v>0.48</v>
      </c>
      <c r="I19" s="2008">
        <f t="shared" si="37"/>
        <v>0.24</v>
      </c>
      <c r="J19" s="2906"/>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6"/>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6"/>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5" t="s">
        <v>2823</v>
      </c>
      <c r="B20" s="2031">
        <v>2021</v>
      </c>
      <c r="C20" s="2042">
        <v>2</v>
      </c>
      <c r="D20" s="2007">
        <v>0.92</v>
      </c>
      <c r="E20" s="2007">
        <v>0.72</v>
      </c>
      <c r="F20" s="2007">
        <v>0.41</v>
      </c>
      <c r="G20" s="2007">
        <v>0.95</v>
      </c>
      <c r="H20" s="2917">
        <v>1.01</v>
      </c>
      <c r="I20" s="2008">
        <f t="shared" si="37"/>
        <v>0.41</v>
      </c>
      <c r="J20" s="2906"/>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6"/>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6"/>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8" customFormat="1" ht="13.8" thickBot="1">
      <c r="A21" s="2918" t="s">
        <v>2824</v>
      </c>
      <c r="B21" s="2919">
        <v>2021</v>
      </c>
      <c r="C21" s="2920">
        <v>1</v>
      </c>
      <c r="D21" s="2921">
        <v>0.97</v>
      </c>
      <c r="E21" s="2921">
        <v>0.16</v>
      </c>
      <c r="F21" s="2921">
        <v>-0.25</v>
      </c>
      <c r="G21" s="2921">
        <v>1.1100000000000001</v>
      </c>
      <c r="H21" s="2922">
        <v>0.36</v>
      </c>
      <c r="I21" s="2923">
        <f t="shared" si="37"/>
        <v>-0.25</v>
      </c>
      <c r="J21" s="2924"/>
      <c r="K21" s="2925">
        <f t="shared" si="38"/>
        <v>9.7000000000000003E-3</v>
      </c>
      <c r="L21" s="2926">
        <f t="shared" si="38"/>
        <v>1.6000000000000001E-3</v>
      </c>
      <c r="M21" s="2926">
        <f>F21/100</f>
        <v>-2.5000000000000001E-3</v>
      </c>
      <c r="N21" s="2926">
        <f t="shared" si="38"/>
        <v>1.11E-2</v>
      </c>
      <c r="O21" s="2926">
        <f t="shared" si="38"/>
        <v>3.5999999999999999E-3</v>
      </c>
      <c r="P21" s="2926">
        <f t="shared" si="58"/>
        <v>-2.5000000000000001E-3</v>
      </c>
      <c r="Q21" s="2924"/>
      <c r="R21" s="2927">
        <v>1</v>
      </c>
      <c r="S21" s="2927">
        <v>1</v>
      </c>
      <c r="T21" s="2927">
        <v>1</v>
      </c>
      <c r="U21" s="2927">
        <v>1</v>
      </c>
      <c r="V21" s="2927">
        <v>1</v>
      </c>
      <c r="W21" s="2927">
        <f t="shared" ref="W21" si="64">T21</f>
        <v>1</v>
      </c>
      <c r="X21" s="2924"/>
      <c r="Y21" s="2926">
        <f>IF(D21=0,0,ROUND(AVERAGE(D21:D21)/100,4))</f>
        <v>9.7000000000000003E-3</v>
      </c>
      <c r="Z21" s="2926">
        <f>IF(E21=0,0,ROUND(AVERAGE(E21:E21)/100,4))</f>
        <v>1.6000000000000001E-3</v>
      </c>
      <c r="AA21" s="2926">
        <f>IF(F21=0,0,ROUND(AVERAGE(F21:F21)/100,4))</f>
        <v>-2.5000000000000001E-3</v>
      </c>
      <c r="AB21" s="2926">
        <f>IF(G21=0,0,ROUND(AVERAGE(G21:G21)/100,4))</f>
        <v>1.11E-2</v>
      </c>
      <c r="AC21" s="2926">
        <f>IF(H21=0,0,ROUND(AVERAGE(H21:H21)/100,4))</f>
        <v>3.5999999999999999E-3</v>
      </c>
      <c r="AD21" s="2926">
        <f>AA21</f>
        <v>-2.5000000000000001E-3</v>
      </c>
    </row>
    <row r="22" spans="1:30" ht="15" thickTop="1"/>
    <row r="23" spans="1:30">
      <c r="A23" s="3143" t="s">
        <v>3383</v>
      </c>
    </row>
    <row r="24" spans="1:30">
      <c r="I24" s="1405" t="s">
        <v>2825</v>
      </c>
    </row>
    <row r="26" spans="1:30" s="2009" customFormat="1" ht="13.2">
      <c r="B26" s="2929" t="s">
        <v>3381</v>
      </c>
      <c r="C26" s="2930"/>
      <c r="D26" s="2930"/>
      <c r="E26" s="2930"/>
      <c r="F26" s="2930"/>
      <c r="G26" s="2930"/>
      <c r="H26" s="2930"/>
      <c r="I26" s="2930"/>
      <c r="J26" s="2896"/>
      <c r="K26" s="2930" t="s">
        <v>2826</v>
      </c>
      <c r="L26" s="2930"/>
      <c r="M26" s="2930"/>
      <c r="N26" s="2930"/>
      <c r="O26" s="2930"/>
      <c r="P26" s="2930"/>
      <c r="Q26" s="2896"/>
      <c r="R26" s="3491" t="s">
        <v>2827</v>
      </c>
      <c r="S26" s="3492"/>
      <c r="T26" s="3492"/>
      <c r="U26" s="3492"/>
      <c r="V26" s="3492"/>
      <c r="W26" s="3492"/>
      <c r="X26" s="2896"/>
      <c r="Y26" s="3491" t="s">
        <v>2828</v>
      </c>
      <c r="Z26" s="3492"/>
      <c r="AA26" s="3492"/>
      <c r="AB26" s="3492"/>
      <c r="AC26" s="3492"/>
      <c r="AD26" s="3492"/>
    </row>
    <row r="27" spans="1:30" s="2010" customFormat="1" ht="15" thickBot="1">
      <c r="B27" s="2881"/>
      <c r="C27" s="2882"/>
      <c r="D27" s="2011" t="s">
        <v>2829</v>
      </c>
      <c r="E27" s="2012" t="s">
        <v>2830</v>
      </c>
      <c r="F27" s="2012" t="s">
        <v>2831</v>
      </c>
      <c r="G27" s="2012" t="s">
        <v>2832</v>
      </c>
      <c r="H27" s="2012"/>
      <c r="I27" s="2012" t="s">
        <v>2833</v>
      </c>
      <c r="J27" s="2883"/>
      <c r="K27" s="2011" t="s">
        <v>2829</v>
      </c>
      <c r="L27" s="2012" t="s">
        <v>2830</v>
      </c>
      <c r="M27" s="2012" t="s">
        <v>2831</v>
      </c>
      <c r="N27" s="2012" t="s">
        <v>2832</v>
      </c>
      <c r="O27" s="2012"/>
      <c r="P27" s="2012" t="s">
        <v>2833</v>
      </c>
      <c r="Q27" s="2883"/>
      <c r="R27" s="2011" t="s">
        <v>2829</v>
      </c>
      <c r="S27" s="2012" t="s">
        <v>2830</v>
      </c>
      <c r="T27" s="2012" t="s">
        <v>2831</v>
      </c>
      <c r="U27" s="2012" t="s">
        <v>2832</v>
      </c>
      <c r="V27" s="2012"/>
      <c r="W27" s="2012" t="s">
        <v>2833</v>
      </c>
      <c r="X27" s="2883"/>
      <c r="Y27" s="2011" t="s">
        <v>2829</v>
      </c>
      <c r="Z27" s="2012" t="s">
        <v>2830</v>
      </c>
      <c r="AA27" s="2012" t="s">
        <v>2831</v>
      </c>
      <c r="AB27" s="2012" t="s">
        <v>2832</v>
      </c>
      <c r="AC27" s="2012"/>
      <c r="AD27" s="2012" t="s">
        <v>2833</v>
      </c>
    </row>
    <row r="28" spans="1:30" s="2886" customFormat="1" ht="13.2">
      <c r="A28" s="2884" t="s">
        <v>2834</v>
      </c>
      <c r="B28" s="2885"/>
      <c r="E28" s="2886">
        <f t="shared" ref="E28:G28" si="65">ROUND(AVERAGEIF(E29:E46,"&lt;&gt;0"),2)</f>
        <v>0.21</v>
      </c>
      <c r="F28" s="2886">
        <f t="shared" si="65"/>
        <v>0.14000000000000001</v>
      </c>
      <c r="G28" s="2886">
        <f t="shared" si="65"/>
        <v>0.3</v>
      </c>
      <c r="I28" s="2886">
        <f>F28</f>
        <v>0.14000000000000001</v>
      </c>
      <c r="J28" s="2887"/>
      <c r="K28" s="2888"/>
      <c r="L28" s="2889">
        <f t="shared" ref="L28:N28" si="66">ROUND(AVERAGEIF(L29:L46,"&lt;&gt;0"),4)</f>
        <v>2.0999999999999999E-3</v>
      </c>
      <c r="M28" s="2889">
        <f t="shared" si="66"/>
        <v>1.4E-3</v>
      </c>
      <c r="N28" s="2889">
        <f t="shared" si="66"/>
        <v>3.0000000000000001E-3</v>
      </c>
      <c r="O28" s="2889"/>
      <c r="P28" s="2889">
        <f>M28</f>
        <v>1.4E-3</v>
      </c>
      <c r="Q28" s="2887"/>
      <c r="R28" s="2890"/>
      <c r="S28" s="2891">
        <f>ROUND(SUMPRODUCT(PRODUCT(1+L29:L46)),4)</f>
        <v>1.0337000000000001</v>
      </c>
      <c r="T28" s="2891">
        <f t="shared" ref="T28:U28" si="67">ROUND(SUMPRODUCT(PRODUCT(1+M29:M46)),4)</f>
        <v>1.022</v>
      </c>
      <c r="U28" s="2891">
        <f t="shared" si="67"/>
        <v>1.0489999999999999</v>
      </c>
      <c r="V28" s="2891"/>
      <c r="W28" s="2890">
        <f>T28</f>
        <v>1.022</v>
      </c>
      <c r="X28" s="2887"/>
      <c r="Y28" s="2892"/>
      <c r="Z28" s="2893">
        <f t="shared" ref="Z28:AB28" si="68">ROUND(AVERAGEIF(Z29:Z46,"&lt;&gt;0"),4)</f>
        <v>3.8E-3</v>
      </c>
      <c r="AA28" s="2894">
        <f t="shared" si="68"/>
        <v>3.0000000000000001E-3</v>
      </c>
      <c r="AB28" s="2892">
        <f t="shared" si="68"/>
        <v>7.4999999999999997E-3</v>
      </c>
      <c r="AC28" s="2895"/>
      <c r="AD28" s="2892">
        <f>AA28</f>
        <v>3.0000000000000001E-3</v>
      </c>
    </row>
    <row r="29" spans="1:30" s="2009" customFormat="1" ht="13.2">
      <c r="B29" s="2025"/>
      <c r="J29" s="2896"/>
      <c r="K29" s="2897"/>
      <c r="L29" s="2898"/>
      <c r="M29" s="2898"/>
      <c r="N29" s="2898"/>
      <c r="O29" s="2898"/>
      <c r="P29" s="2898"/>
      <c r="Q29" s="2896"/>
      <c r="R29" s="2027"/>
      <c r="S29" s="2899"/>
      <c r="T29" s="2900"/>
      <c r="U29" s="2027"/>
      <c r="V29" s="2901"/>
      <c r="W29" s="2027"/>
      <c r="X29" s="2896"/>
      <c r="Y29" s="2028"/>
      <c r="Z29" s="2902"/>
      <c r="AA29" s="2903"/>
      <c r="AB29" s="2028"/>
      <c r="AC29" s="2904"/>
      <c r="AD29" s="2028"/>
    </row>
    <row r="30" spans="1:30" s="2045" customFormat="1" ht="13.2">
      <c r="A30" s="2040" t="s">
        <v>3376</v>
      </c>
      <c r="B30" s="2031">
        <v>2025</v>
      </c>
      <c r="C30" s="2042">
        <v>1</v>
      </c>
      <c r="D30" s="2007"/>
      <c r="E30" s="2007">
        <v>0</v>
      </c>
      <c r="F30" s="2007">
        <v>0</v>
      </c>
      <c r="G30" s="2007">
        <v>0</v>
      </c>
      <c r="H30" s="2007"/>
      <c r="I30" s="2008">
        <f t="shared" ref="I30" si="69">F30</f>
        <v>0</v>
      </c>
      <c r="J30" s="2906"/>
      <c r="K30" s="2043"/>
      <c r="L30" s="2028">
        <f t="shared" ref="L30" si="70">E30/100</f>
        <v>0</v>
      </c>
      <c r="M30" s="2028">
        <f t="shared" ref="M30" si="71">F30/100</f>
        <v>0</v>
      </c>
      <c r="N30" s="2028">
        <f t="shared" ref="N30" si="72">G30/100</f>
        <v>0</v>
      </c>
      <c r="O30" s="2028"/>
      <c r="P30" s="2028">
        <f>M30</f>
        <v>0</v>
      </c>
      <c r="Q30" s="2906"/>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6"/>
      <c r="Y30" s="2028"/>
      <c r="Z30" s="2902">
        <f t="shared" ref="Z30" si="73">IF(E30=0,0,ROUND(AVERAGE(E30:E43)/100,4))</f>
        <v>0</v>
      </c>
      <c r="AA30" s="2902">
        <f t="shared" ref="AA30" si="74">IF(F30=0,0,ROUND(AVERAGE(F30:F43)/100,4))</f>
        <v>0</v>
      </c>
      <c r="AB30" s="2902">
        <f t="shared" ref="AB30" si="75">IF(G30=0,0,ROUND(AVERAGE(G30:G43)/100,4))</f>
        <v>0</v>
      </c>
      <c r="AC30" s="2904"/>
      <c r="AD30" s="2028">
        <f>IF(I30=0,0,ROUND(AVERAGE(I30:I43)/100,4))</f>
        <v>0</v>
      </c>
    </row>
    <row r="31" spans="1:30" s="2916" customFormat="1" ht="13.2">
      <c r="A31" s="2907" t="s">
        <v>3378</v>
      </c>
      <c r="B31" s="2908">
        <v>2024</v>
      </c>
      <c r="C31" s="2909">
        <v>4</v>
      </c>
      <c r="D31" s="2910"/>
      <c r="E31" s="2910">
        <v>-0.61</v>
      </c>
      <c r="F31" s="2910">
        <v>-0.71</v>
      </c>
      <c r="G31" s="2910">
        <v>-0.88</v>
      </c>
      <c r="H31" s="2911"/>
      <c r="I31" s="2912">
        <f t="shared" ref="I31" si="76">F31</f>
        <v>-0.71</v>
      </c>
      <c r="J31" s="2913"/>
      <c r="K31" s="2914"/>
      <c r="L31" s="2915">
        <f t="shared" ref="L31" si="77">E31/100</f>
        <v>-6.0999999999999995E-3</v>
      </c>
      <c r="M31" s="2915">
        <f t="shared" ref="M31" si="78">F31/100</f>
        <v>-7.0999999999999995E-3</v>
      </c>
      <c r="N31" s="2915">
        <f t="shared" ref="N31" si="79">G31/100</f>
        <v>-8.8000000000000005E-3</v>
      </c>
      <c r="O31" s="2915"/>
      <c r="P31" s="2915">
        <f>M31</f>
        <v>-7.0999999999999995E-3</v>
      </c>
      <c r="Q31" s="2913"/>
      <c r="R31" s="2913"/>
      <c r="S31" s="2913">
        <f>ROUND(IF(项目基本情况!$B$8="出让",SUMPRODUCT(PRODUCT(1+L31:L$46)),SUMPRODUCT(PRODUCT(1+L31:L$45))),4)</f>
        <v>1.0301</v>
      </c>
      <c r="T31" s="2913">
        <f>ROUND(IF(项目基本情况!$B$8="出让",SUMPRODUCT(PRODUCT(1+M31:M$46)),SUMPRODUCT(PRODUCT(1+M31:M$45))),4)</f>
        <v>1.0170999999999999</v>
      </c>
      <c r="U31" s="2913">
        <f>ROUND(IF(项目基本情况!$B$8="出让",SUMPRODUCT(PRODUCT(1+N31:N$46)),SUMPRODUCT(PRODUCT(1+N31:N$45))),4)</f>
        <v>1.0387999999999999</v>
      </c>
      <c r="V31" s="2913"/>
      <c r="W31" s="2913">
        <f>T31</f>
        <v>1.0170999999999999</v>
      </c>
      <c r="X31" s="2913"/>
      <c r="Y31" s="2915"/>
      <c r="Z31" s="2931">
        <f t="shared" ref="Z31" si="80">IF(E31=0,0,ROUND(AVERAGE(E31:E44)/100,4))</f>
        <v>1.6999999999999999E-3</v>
      </c>
      <c r="AA31" s="2932">
        <f t="shared" ref="AA31" si="81">IF(F31=0,0,ROUND(AVERAGE(F31:F44)/100,4))</f>
        <v>8.9999999999999998E-4</v>
      </c>
      <c r="AB31" s="2915">
        <f t="shared" ref="AB31" si="82">IF(G31=0,0,ROUND(AVERAGE(G31:G44)/100,4))</f>
        <v>2E-3</v>
      </c>
      <c r="AC31" s="2933"/>
      <c r="AD31" s="2915">
        <f>IF(I31=0,0,ROUND(AVERAGE(I31:I44)/100,4))</f>
        <v>8.9999999999999998E-4</v>
      </c>
    </row>
    <row r="32" spans="1:30" s="2045" customFormat="1" ht="13.2">
      <c r="A32" s="2040" t="s">
        <v>3373</v>
      </c>
      <c r="B32" s="2031">
        <v>2024</v>
      </c>
      <c r="C32" s="2042">
        <v>3</v>
      </c>
      <c r="D32" s="2007"/>
      <c r="E32" s="2007">
        <v>-0.66</v>
      </c>
      <c r="F32" s="2007">
        <v>-0.52</v>
      </c>
      <c r="G32" s="2007">
        <v>-2.87</v>
      </c>
      <c r="H32" s="2007"/>
      <c r="I32" s="2008">
        <f t="shared" ref="I32" si="83">F32</f>
        <v>-0.52</v>
      </c>
      <c r="J32" s="2906"/>
      <c r="K32" s="2043"/>
      <c r="L32" s="2028">
        <f t="shared" ref="L32" si="84">E32/100</f>
        <v>-6.6E-3</v>
      </c>
      <c r="M32" s="2028">
        <f t="shared" ref="M32" si="85">F32/100</f>
        <v>-5.1999999999999998E-3</v>
      </c>
      <c r="N32" s="2028">
        <f t="shared" ref="N32" si="86">G32/100</f>
        <v>-2.87E-2</v>
      </c>
      <c r="O32" s="2028"/>
      <c r="P32" s="2028">
        <f>M32</f>
        <v>-5.1999999999999998E-3</v>
      </c>
      <c r="Q32" s="2906"/>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6"/>
      <c r="Y32" s="2028"/>
      <c r="Z32" s="2902">
        <f t="shared" ref="Z32:AB33" si="87">IF(E32=0,0,ROUND(AVERAGE(E32:E45)/100,4))</f>
        <v>2.5999999999999999E-3</v>
      </c>
      <c r="AA32" s="2902">
        <f t="shared" si="87"/>
        <v>1.6999999999999999E-3</v>
      </c>
      <c r="AB32" s="2902">
        <f t="shared" si="87"/>
        <v>3.3999999999999998E-3</v>
      </c>
      <c r="AC32" s="2904"/>
      <c r="AD32" s="2028">
        <f>IF(I32=0,0,ROUND(AVERAGE(I32:I45)/100,4))</f>
        <v>1.6999999999999999E-3</v>
      </c>
    </row>
    <row r="33" spans="1:30" s="2045" customFormat="1" ht="13.2">
      <c r="A33" s="2905" t="s">
        <v>3379</v>
      </c>
      <c r="B33" s="2031">
        <v>2024</v>
      </c>
      <c r="C33" s="2042">
        <v>2</v>
      </c>
      <c r="D33" s="2007"/>
      <c r="E33" s="2007">
        <v>-0.31</v>
      </c>
      <c r="F33" s="2007">
        <v>-0.39</v>
      </c>
      <c r="G33" s="2007">
        <v>1.23</v>
      </c>
      <c r="H33" s="2917"/>
      <c r="I33" s="2008">
        <f t="shared" ref="I33:I46" si="88">F33</f>
        <v>-0.39</v>
      </c>
      <c r="J33" s="2906"/>
      <c r="K33" s="2043"/>
      <c r="L33" s="2028">
        <f t="shared" ref="L33:N46" si="89">E33/100</f>
        <v>-3.0999999999999999E-3</v>
      </c>
      <c r="M33" s="2028">
        <f t="shared" si="89"/>
        <v>-3.9000000000000003E-3</v>
      </c>
      <c r="N33" s="2028">
        <f t="shared" si="89"/>
        <v>1.23E-2</v>
      </c>
      <c r="O33" s="2028"/>
      <c r="P33" s="2028">
        <f>M33</f>
        <v>-3.9000000000000003E-3</v>
      </c>
      <c r="Q33" s="2906"/>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6"/>
      <c r="Y33" s="2028"/>
      <c r="Z33" s="2902">
        <f t="shared" si="87"/>
        <v>3.3E-3</v>
      </c>
      <c r="AA33" s="2903">
        <f t="shared" si="87"/>
        <v>2.3999999999999998E-3</v>
      </c>
      <c r="AB33" s="2028">
        <f t="shared" si="87"/>
        <v>6.1999999999999998E-3</v>
      </c>
      <c r="AC33" s="2904"/>
      <c r="AD33" s="2028">
        <f>IF(I33=0,0,ROUND(AVERAGE(I33:I46)/100,4))</f>
        <v>2.3999999999999998E-3</v>
      </c>
    </row>
    <row r="34" spans="1:30" s="2045" customFormat="1" ht="13.2">
      <c r="A34" s="2905" t="s">
        <v>3374</v>
      </c>
      <c r="B34" s="2031">
        <v>2024</v>
      </c>
      <c r="C34" s="2042">
        <v>1</v>
      </c>
      <c r="D34" s="2007"/>
      <c r="E34" s="2007">
        <v>0.25</v>
      </c>
      <c r="F34" s="2007">
        <v>0.4</v>
      </c>
      <c r="G34" s="2007">
        <v>-0.63</v>
      </c>
      <c r="H34" s="2917"/>
      <c r="I34" s="2008">
        <f t="shared" ref="I34:I35" si="90">F34</f>
        <v>0.4</v>
      </c>
      <c r="J34" s="2906"/>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6"/>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6"/>
      <c r="Y34" s="2028"/>
      <c r="Z34" s="2902"/>
      <c r="AA34" s="2903"/>
      <c r="AB34" s="2028"/>
      <c r="AC34" s="2904"/>
      <c r="AD34" s="2028"/>
    </row>
    <row r="35" spans="1:30" s="2045" customFormat="1" ht="13.2">
      <c r="A35" s="2905" t="s">
        <v>3372</v>
      </c>
      <c r="B35" s="2031">
        <v>2023</v>
      </c>
      <c r="C35" s="2042">
        <v>4</v>
      </c>
      <c r="D35" s="2007"/>
      <c r="E35" s="2007">
        <v>7.0000000000000007E-2</v>
      </c>
      <c r="F35" s="2007">
        <v>0.09</v>
      </c>
      <c r="G35" s="2007">
        <v>0.03</v>
      </c>
      <c r="H35" s="2917"/>
      <c r="I35" s="2008">
        <f t="shared" si="90"/>
        <v>0.09</v>
      </c>
      <c r="J35" s="2906"/>
      <c r="K35" s="2043"/>
      <c r="L35" s="2028">
        <f t="shared" si="89"/>
        <v>7.000000000000001E-4</v>
      </c>
      <c r="M35" s="2028">
        <f t="shared" si="89"/>
        <v>8.9999999999999998E-4</v>
      </c>
      <c r="N35" s="2028">
        <f t="shared" si="89"/>
        <v>2.9999999999999997E-4</v>
      </c>
      <c r="O35" s="2028"/>
      <c r="P35" s="2028">
        <f t="shared" ref="P35" si="96">M35</f>
        <v>8.9999999999999998E-4</v>
      </c>
      <c r="Q35" s="2906"/>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6"/>
      <c r="Y35" s="2028"/>
      <c r="Z35" s="2902"/>
      <c r="AA35" s="2903"/>
      <c r="AB35" s="2028"/>
      <c r="AC35" s="2904"/>
      <c r="AD35" s="2028"/>
    </row>
    <row r="36" spans="1:30" s="2045" customFormat="1" ht="13.2">
      <c r="A36" s="2905" t="s">
        <v>3370</v>
      </c>
      <c r="B36" s="2031">
        <v>2023</v>
      </c>
      <c r="C36" s="2042">
        <v>3</v>
      </c>
      <c r="D36" s="2007"/>
      <c r="E36" s="2007">
        <v>0.35</v>
      </c>
      <c r="F36" s="2007">
        <v>0.17</v>
      </c>
      <c r="G36" s="2007">
        <v>0.52</v>
      </c>
      <c r="H36" s="2917"/>
      <c r="I36" s="2008">
        <f t="shared" si="88"/>
        <v>0.17</v>
      </c>
      <c r="J36" s="2906"/>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6"/>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6"/>
      <c r="Y36" s="2028"/>
      <c r="Z36" s="2902"/>
      <c r="AA36" s="2903"/>
      <c r="AB36" s="2028"/>
      <c r="AC36" s="2904"/>
      <c r="AD36" s="2028"/>
    </row>
    <row r="37" spans="1:30" s="2045" customFormat="1" ht="13.2">
      <c r="A37" s="2905" t="s">
        <v>3369</v>
      </c>
      <c r="B37" s="2031">
        <v>2023</v>
      </c>
      <c r="C37" s="2042">
        <v>2</v>
      </c>
      <c r="D37" s="2007"/>
      <c r="E37" s="2007">
        <v>0.5</v>
      </c>
      <c r="F37" s="2007">
        <v>0.45</v>
      </c>
      <c r="G37" s="2007">
        <v>0.89</v>
      </c>
      <c r="H37" s="2917"/>
      <c r="I37" s="2008">
        <f t="shared" si="88"/>
        <v>0.45</v>
      </c>
      <c r="J37" s="2906"/>
      <c r="K37" s="2043"/>
      <c r="L37" s="2028">
        <f t="shared" si="98"/>
        <v>5.0000000000000001E-3</v>
      </c>
      <c r="M37" s="2028">
        <f t="shared" si="99"/>
        <v>4.5000000000000005E-3</v>
      </c>
      <c r="N37" s="2028">
        <f t="shared" si="100"/>
        <v>8.8999999999999999E-3</v>
      </c>
      <c r="O37" s="2028"/>
      <c r="P37" s="2028">
        <f t="shared" si="101"/>
        <v>4.5000000000000005E-3</v>
      </c>
      <c r="Q37" s="2906"/>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6"/>
      <c r="Y37" s="2028"/>
      <c r="Z37" s="2902"/>
      <c r="AA37" s="2903"/>
      <c r="AB37" s="2028"/>
      <c r="AC37" s="2904"/>
      <c r="AD37" s="2028"/>
    </row>
    <row r="38" spans="1:30" s="2045" customFormat="1" ht="13.2">
      <c r="A38" s="2905" t="s">
        <v>3367</v>
      </c>
      <c r="B38" s="2031">
        <v>2023</v>
      </c>
      <c r="C38" s="2042">
        <v>1</v>
      </c>
      <c r="D38" s="2007"/>
      <c r="E38" s="2007">
        <v>0.55000000000000004</v>
      </c>
      <c r="F38" s="2007">
        <v>0.59</v>
      </c>
      <c r="G38" s="2007">
        <v>0.64</v>
      </c>
      <c r="H38" s="2917"/>
      <c r="I38" s="2008">
        <f t="shared" si="88"/>
        <v>0.59</v>
      </c>
      <c r="J38" s="2906"/>
      <c r="K38" s="2043"/>
      <c r="L38" s="2028">
        <f t="shared" si="98"/>
        <v>5.5000000000000005E-3</v>
      </c>
      <c r="M38" s="2028">
        <f t="shared" si="99"/>
        <v>5.8999999999999999E-3</v>
      </c>
      <c r="N38" s="2028">
        <f t="shared" si="100"/>
        <v>6.4000000000000003E-3</v>
      </c>
      <c r="O38" s="2028"/>
      <c r="P38" s="2028">
        <f t="shared" si="101"/>
        <v>5.8999999999999999E-3</v>
      </c>
      <c r="Q38" s="2906"/>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6"/>
      <c r="Y38" s="2028"/>
      <c r="Z38" s="2902"/>
      <c r="AA38" s="2903"/>
      <c r="AB38" s="2028"/>
      <c r="AC38" s="2904"/>
      <c r="AD38" s="2028"/>
    </row>
    <row r="39" spans="1:30" s="2045" customFormat="1" ht="13.2">
      <c r="A39" s="2905" t="s">
        <v>3366</v>
      </c>
      <c r="B39" s="2031">
        <v>2022</v>
      </c>
      <c r="C39" s="2042">
        <v>4</v>
      </c>
      <c r="D39" s="2007"/>
      <c r="E39" s="2007">
        <v>0.45</v>
      </c>
      <c r="F39" s="2007">
        <v>0.2</v>
      </c>
      <c r="G39" s="2007">
        <v>0.38</v>
      </c>
      <c r="H39" s="2917"/>
      <c r="I39" s="2008">
        <f t="shared" si="88"/>
        <v>0.2</v>
      </c>
      <c r="J39" s="2906"/>
      <c r="K39" s="2043"/>
      <c r="L39" s="2028">
        <f t="shared" si="89"/>
        <v>4.5000000000000005E-3</v>
      </c>
      <c r="M39" s="2028">
        <f t="shared" si="89"/>
        <v>2E-3</v>
      </c>
      <c r="N39" s="2028">
        <f t="shared" si="89"/>
        <v>3.8E-3</v>
      </c>
      <c r="O39" s="2028"/>
      <c r="P39" s="2028">
        <f t="shared" ref="P39:P46" si="103">M39</f>
        <v>2E-3</v>
      </c>
      <c r="Q39" s="2906"/>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6"/>
      <c r="Y39" s="2028"/>
      <c r="Z39" s="2902">
        <f t="shared" ref="Z39:AD46" si="105">IF(E39=0,0,ROUND(AVERAGE(E39:E47)/100,4))</f>
        <v>4.0000000000000001E-3</v>
      </c>
      <c r="AA39" s="2903">
        <f t="shared" si="105"/>
        <v>2.5999999999999999E-3</v>
      </c>
      <c r="AB39" s="2028">
        <f t="shared" si="105"/>
        <v>7.4000000000000003E-3</v>
      </c>
      <c r="AC39" s="2904"/>
      <c r="AD39" s="2028">
        <f t="shared" si="105"/>
        <v>2.5999999999999999E-3</v>
      </c>
    </row>
    <row r="40" spans="1:30" s="2045" customFormat="1" ht="13.2">
      <c r="A40" s="2905" t="s">
        <v>3365</v>
      </c>
      <c r="B40" s="2031">
        <v>2022</v>
      </c>
      <c r="C40" s="2042">
        <v>3</v>
      </c>
      <c r="D40" s="2007"/>
      <c r="E40" s="2007">
        <v>0.3</v>
      </c>
      <c r="F40" s="2007">
        <v>0.28999999999999998</v>
      </c>
      <c r="G40" s="2007">
        <v>0.83</v>
      </c>
      <c r="H40" s="2917"/>
      <c r="I40" s="2008">
        <f t="shared" si="88"/>
        <v>0.28999999999999998</v>
      </c>
      <c r="J40" s="2906"/>
      <c r="K40" s="2043"/>
      <c r="L40" s="2028">
        <f t="shared" si="89"/>
        <v>3.0000000000000001E-3</v>
      </c>
      <c r="M40" s="2028">
        <f t="shared" si="89"/>
        <v>2.8999999999999998E-3</v>
      </c>
      <c r="N40" s="2028">
        <f t="shared" si="89"/>
        <v>8.3000000000000001E-3</v>
      </c>
      <c r="O40" s="2028"/>
      <c r="P40" s="2028">
        <f t="shared" si="103"/>
        <v>2.8999999999999998E-3</v>
      </c>
      <c r="Q40" s="2906"/>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6"/>
      <c r="Y40" s="2028"/>
      <c r="Z40" s="2902">
        <f t="shared" si="105"/>
        <v>3.8999999999999998E-3</v>
      </c>
      <c r="AA40" s="2903">
        <f t="shared" si="105"/>
        <v>2.7000000000000001E-3</v>
      </c>
      <c r="AB40" s="2028">
        <f t="shared" si="105"/>
        <v>7.9000000000000008E-3</v>
      </c>
      <c r="AC40" s="2904"/>
      <c r="AD40" s="2028">
        <f t="shared" si="105"/>
        <v>2.7000000000000001E-3</v>
      </c>
    </row>
    <row r="41" spans="1:30" s="2045" customFormat="1" ht="13.2">
      <c r="A41" s="2905" t="s">
        <v>3355</v>
      </c>
      <c r="B41" s="2031">
        <v>2022</v>
      </c>
      <c r="C41" s="2042">
        <v>2</v>
      </c>
      <c r="D41" s="2007"/>
      <c r="E41" s="2007">
        <v>-0.11</v>
      </c>
      <c r="F41" s="2007">
        <v>-0.13</v>
      </c>
      <c r="G41" s="2007">
        <v>0.53</v>
      </c>
      <c r="H41" s="2917"/>
      <c r="I41" s="2008">
        <f t="shared" si="88"/>
        <v>-0.13</v>
      </c>
      <c r="J41" s="2906"/>
      <c r="K41" s="2043"/>
      <c r="L41" s="2028">
        <f t="shared" si="89"/>
        <v>-1.1000000000000001E-3</v>
      </c>
      <c r="M41" s="2028">
        <f t="shared" si="89"/>
        <v>-1.2999999999999999E-3</v>
      </c>
      <c r="N41" s="2028">
        <f t="shared" si="89"/>
        <v>5.3E-3</v>
      </c>
      <c r="O41" s="2028"/>
      <c r="P41" s="2028">
        <f t="shared" si="103"/>
        <v>-1.2999999999999999E-3</v>
      </c>
      <c r="Q41" s="2906"/>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6"/>
      <c r="Y41" s="2028"/>
      <c r="Z41" s="2902">
        <f t="shared" si="105"/>
        <v>4.1000000000000003E-3</v>
      </c>
      <c r="AA41" s="2903">
        <f t="shared" si="105"/>
        <v>2.7000000000000001E-3</v>
      </c>
      <c r="AB41" s="2028">
        <f t="shared" si="105"/>
        <v>7.9000000000000008E-3</v>
      </c>
      <c r="AC41" s="2904"/>
      <c r="AD41" s="2028">
        <f t="shared" si="105"/>
        <v>2.7000000000000001E-3</v>
      </c>
    </row>
    <row r="42" spans="1:30" s="2045" customFormat="1" ht="13.2">
      <c r="A42" s="2905" t="s">
        <v>2835</v>
      </c>
      <c r="B42" s="2031">
        <v>2022</v>
      </c>
      <c r="C42" s="2042">
        <v>1</v>
      </c>
      <c r="D42" s="2007"/>
      <c r="E42" s="2007">
        <v>0.6</v>
      </c>
      <c r="F42" s="2007">
        <v>0.45</v>
      </c>
      <c r="G42" s="2007">
        <v>0.53</v>
      </c>
      <c r="H42" s="2917"/>
      <c r="I42" s="2008">
        <f t="shared" si="88"/>
        <v>0.45</v>
      </c>
      <c r="J42" s="2906"/>
      <c r="K42" s="2043"/>
      <c r="L42" s="2028">
        <f t="shared" si="89"/>
        <v>6.0000000000000001E-3</v>
      </c>
      <c r="M42" s="2028">
        <f t="shared" si="89"/>
        <v>4.5000000000000005E-3</v>
      </c>
      <c r="N42" s="2028">
        <f t="shared" si="89"/>
        <v>5.3E-3</v>
      </c>
      <c r="O42" s="2028"/>
      <c r="P42" s="2028">
        <f t="shared" si="103"/>
        <v>4.5000000000000005E-3</v>
      </c>
      <c r="Q42" s="2906"/>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6"/>
      <c r="Y42" s="2028"/>
      <c r="Z42" s="2902">
        <f t="shared" si="105"/>
        <v>5.1000000000000004E-3</v>
      </c>
      <c r="AA42" s="2903">
        <f t="shared" si="105"/>
        <v>3.5000000000000001E-3</v>
      </c>
      <c r="AB42" s="2028">
        <f t="shared" si="105"/>
        <v>8.3999999999999995E-3</v>
      </c>
      <c r="AC42" s="2904"/>
      <c r="AD42" s="2028">
        <f t="shared" si="105"/>
        <v>3.5000000000000001E-3</v>
      </c>
    </row>
    <row r="43" spans="1:30" s="2045" customFormat="1" ht="13.2">
      <c r="A43" s="2905" t="s">
        <v>2836</v>
      </c>
      <c r="B43" s="2031">
        <v>2021</v>
      </c>
      <c r="C43" s="2042">
        <v>4</v>
      </c>
      <c r="D43" s="2007"/>
      <c r="E43" s="2007">
        <v>0.57999999999999996</v>
      </c>
      <c r="F43" s="2007">
        <v>0.08</v>
      </c>
      <c r="G43" s="2007">
        <v>0.68</v>
      </c>
      <c r="H43" s="2917"/>
      <c r="I43" s="2008">
        <f t="shared" si="88"/>
        <v>0.08</v>
      </c>
      <c r="J43" s="2906"/>
      <c r="K43" s="2043"/>
      <c r="L43" s="2028">
        <f t="shared" si="89"/>
        <v>5.7999999999999996E-3</v>
      </c>
      <c r="M43" s="2028">
        <f t="shared" si="89"/>
        <v>8.0000000000000004E-4</v>
      </c>
      <c r="N43" s="2028">
        <f t="shared" si="89"/>
        <v>6.8000000000000005E-3</v>
      </c>
      <c r="O43" s="2028"/>
      <c r="P43" s="2028">
        <f t="shared" si="103"/>
        <v>8.0000000000000004E-4</v>
      </c>
      <c r="Q43" s="2906"/>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6"/>
      <c r="Y43" s="2028"/>
      <c r="Z43" s="2902">
        <f t="shared" si="105"/>
        <v>4.8999999999999998E-3</v>
      </c>
      <c r="AA43" s="2903">
        <f t="shared" si="105"/>
        <v>3.3E-3</v>
      </c>
      <c r="AB43" s="2028">
        <f t="shared" si="105"/>
        <v>9.1999999999999998E-3</v>
      </c>
      <c r="AC43" s="2904"/>
      <c r="AD43" s="2028">
        <f t="shared" si="105"/>
        <v>3.3E-3</v>
      </c>
    </row>
    <row r="44" spans="1:30" s="2045" customFormat="1" ht="13.2">
      <c r="A44" s="2905" t="s">
        <v>2837</v>
      </c>
      <c r="B44" s="2031">
        <v>2021</v>
      </c>
      <c r="C44" s="2042">
        <v>3</v>
      </c>
      <c r="D44" s="2007"/>
      <c r="E44" s="2007">
        <v>0.47</v>
      </c>
      <c r="F44" s="2007">
        <v>0.28000000000000003</v>
      </c>
      <c r="G44" s="2007">
        <v>0.91</v>
      </c>
      <c r="H44" s="2917"/>
      <c r="I44" s="2008">
        <f t="shared" si="88"/>
        <v>0.28000000000000003</v>
      </c>
      <c r="J44" s="2906"/>
      <c r="K44" s="2043"/>
      <c r="L44" s="2028">
        <f t="shared" si="89"/>
        <v>4.6999999999999993E-3</v>
      </c>
      <c r="M44" s="2028">
        <f t="shared" si="89"/>
        <v>2.8000000000000004E-3</v>
      </c>
      <c r="N44" s="2028">
        <f t="shared" si="89"/>
        <v>9.1000000000000004E-3</v>
      </c>
      <c r="O44" s="2028"/>
      <c r="P44" s="2028">
        <f t="shared" si="103"/>
        <v>2.8000000000000004E-3</v>
      </c>
      <c r="Q44" s="2906"/>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6"/>
      <c r="Y44" s="2028"/>
      <c r="Z44" s="2902">
        <f t="shared" si="105"/>
        <v>4.5999999999999999E-3</v>
      </c>
      <c r="AA44" s="2903">
        <f t="shared" si="105"/>
        <v>4.1000000000000003E-3</v>
      </c>
      <c r="AB44" s="2028">
        <f t="shared" si="105"/>
        <v>0.01</v>
      </c>
      <c r="AC44" s="2904"/>
      <c r="AD44" s="2028">
        <f t="shared" si="105"/>
        <v>4.1000000000000003E-3</v>
      </c>
    </row>
    <row r="45" spans="1:30" s="2045" customFormat="1" ht="13.2">
      <c r="A45" s="2905" t="s">
        <v>2838</v>
      </c>
      <c r="B45" s="2031">
        <v>2021</v>
      </c>
      <c r="C45" s="2042">
        <v>2</v>
      </c>
      <c r="D45" s="2007"/>
      <c r="E45" s="2007">
        <v>0.55000000000000004</v>
      </c>
      <c r="F45" s="2007">
        <v>0.46</v>
      </c>
      <c r="G45" s="2007">
        <v>1.1000000000000001</v>
      </c>
      <c r="H45" s="2917"/>
      <c r="I45" s="2008">
        <f t="shared" si="88"/>
        <v>0.46</v>
      </c>
      <c r="J45" s="2906"/>
      <c r="K45" s="2043"/>
      <c r="L45" s="2028">
        <f t="shared" si="89"/>
        <v>5.5000000000000005E-3</v>
      </c>
      <c r="M45" s="2028">
        <f t="shared" si="89"/>
        <v>4.5999999999999999E-3</v>
      </c>
      <c r="N45" s="2028">
        <f t="shared" si="89"/>
        <v>1.1000000000000001E-2</v>
      </c>
      <c r="O45" s="2028"/>
      <c r="P45" s="2028">
        <f t="shared" si="103"/>
        <v>4.5999999999999999E-3</v>
      </c>
      <c r="Q45" s="2906"/>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6"/>
      <c r="Y45" s="2028"/>
      <c r="Z45" s="2902">
        <f t="shared" si="105"/>
        <v>4.4999999999999997E-3</v>
      </c>
      <c r="AA45" s="2903">
        <f t="shared" si="105"/>
        <v>4.7000000000000002E-3</v>
      </c>
      <c r="AB45" s="2028">
        <f t="shared" si="105"/>
        <v>1.04E-2</v>
      </c>
      <c r="AC45" s="2904"/>
      <c r="AD45" s="2028">
        <f t="shared" si="105"/>
        <v>4.7000000000000002E-3</v>
      </c>
    </row>
    <row r="46" spans="1:30" s="2928" customFormat="1" ht="13.8" thickBot="1">
      <c r="A46" s="2918" t="s">
        <v>2824</v>
      </c>
      <c r="B46" s="2919">
        <v>2021</v>
      </c>
      <c r="C46" s="2920">
        <v>1</v>
      </c>
      <c r="D46" s="2921"/>
      <c r="E46" s="2921">
        <v>0.35</v>
      </c>
      <c r="F46" s="2921">
        <v>0.48</v>
      </c>
      <c r="G46" s="2921">
        <v>0.98</v>
      </c>
      <c r="H46" s="2922"/>
      <c r="I46" s="2923">
        <f t="shared" si="88"/>
        <v>0.48</v>
      </c>
      <c r="J46" s="2924"/>
      <c r="K46" s="2925"/>
      <c r="L46" s="2926">
        <f t="shared" si="89"/>
        <v>3.4999999999999996E-3</v>
      </c>
      <c r="M46" s="2926">
        <f>F46/100</f>
        <v>4.7999999999999996E-3</v>
      </c>
      <c r="N46" s="2926">
        <f t="shared" si="89"/>
        <v>9.7999999999999997E-3</v>
      </c>
      <c r="O46" s="2926"/>
      <c r="P46" s="2926">
        <f t="shared" si="103"/>
        <v>4.7999999999999996E-3</v>
      </c>
      <c r="Q46" s="2924"/>
      <c r="R46" s="2927"/>
      <c r="S46" s="2927">
        <v>1</v>
      </c>
      <c r="T46" s="2927">
        <v>1</v>
      </c>
      <c r="U46" s="2927">
        <v>1</v>
      </c>
      <c r="V46" s="2927"/>
      <c r="W46" s="2927">
        <f t="shared" si="104"/>
        <v>1</v>
      </c>
      <c r="X46" s="2924"/>
      <c r="Y46" s="2926"/>
      <c r="Z46" s="2934">
        <f t="shared" si="105"/>
        <v>3.5000000000000001E-3</v>
      </c>
      <c r="AA46" s="2935">
        <f t="shared" si="105"/>
        <v>4.7999999999999996E-3</v>
      </c>
      <c r="AB46" s="2926">
        <f t="shared" si="105"/>
        <v>9.7999999999999997E-3</v>
      </c>
      <c r="AC46" s="2936"/>
      <c r="AD46" s="2926">
        <f t="shared" si="105"/>
        <v>4.7999999999999996E-3</v>
      </c>
    </row>
    <row r="47" spans="1:30" ht="15" thickTop="1"/>
    <row r="48" spans="1:30">
      <c r="A48" s="3143"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96" t="s">
        <v>452</v>
      </c>
      <c r="C1" s="3496"/>
      <c r="D1" s="3496"/>
      <c r="E1" s="3496"/>
      <c r="F1" s="3496"/>
      <c r="G1" s="3492" t="s">
        <v>453</v>
      </c>
      <c r="H1" s="3492"/>
      <c r="I1" s="3492"/>
      <c r="J1" s="3492"/>
      <c r="K1" s="3492"/>
      <c r="L1" s="3492"/>
      <c r="N1" s="3492" t="s">
        <v>454</v>
      </c>
      <c r="O1" s="3492"/>
      <c r="P1" s="3492"/>
      <c r="Q1" s="3492"/>
      <c r="S1" s="3492" t="s">
        <v>455</v>
      </c>
      <c r="T1" s="3492"/>
      <c r="U1" s="3492"/>
      <c r="V1" s="3492"/>
      <c r="X1" s="3491" t="s">
        <v>456</v>
      </c>
      <c r="Y1" s="3492"/>
      <c r="Z1" s="3492"/>
      <c r="AA1" s="3492"/>
      <c r="AB1" s="3492"/>
      <c r="AD1" s="3491" t="s">
        <v>457</v>
      </c>
      <c r="AE1" s="3492"/>
      <c r="AF1" s="3492"/>
      <c r="AG1" s="3492"/>
      <c r="AH1" s="3492"/>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4">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4"/>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4"/>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1"/>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97">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4"/>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4"/>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1"/>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7">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4"/>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4"/>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5"/>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3">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4"/>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4"/>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5"/>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3">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4"/>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4"/>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5"/>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98">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9"/>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9"/>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0"/>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3">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4"/>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4"/>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95"/>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3">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4">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4">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5">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3">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4">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4">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5">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3">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4">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4">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5">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3">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4">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4">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5">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3">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4">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4">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5">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3">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4">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4">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5">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3">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4">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4">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5">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3">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4">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4">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5">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3">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4">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4">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95">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3">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4">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4">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95">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45734</v>
      </c>
      <c r="D1" s="1217" t="s">
        <v>603</v>
      </c>
      <c r="E1" s="1212">
        <f>'数据-取费表'!B22</f>
        <v>1</v>
      </c>
      <c r="F1" s="1217" t="s">
        <v>604</v>
      </c>
      <c r="G1" s="1213">
        <f ca="1">INDIRECT("d"&amp;$K$1)/100</f>
        <v>3.1E-2</v>
      </c>
      <c r="H1" s="1217" t="s">
        <v>634</v>
      </c>
      <c r="I1" s="1213">
        <f ca="1">F4/100</f>
        <v>1.4999999999999999E-2</v>
      </c>
      <c r="J1" s="1218">
        <f>IF(C1&gt;C13,0,MATCH(C1,C$13:C$114,-1))+IF(SUMIF(C13:C114,C1,D13:D114)=0,13,12)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信息</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2025-03-18T03:13:40Z</dcterms:modified>
</cp:coreProperties>
</file>