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9440" windowHeight="57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state="hidden" r:id="rId19"/>
    <sheet name="Sheet4" sheetId="83" state="hidden" r:id="rId20"/>
    <sheet name="成本法" sheetId="68" r:id="rId21"/>
    <sheet name="成本法 (元)" sheetId="69" state="hidden" r:id="rId22"/>
    <sheet name="假设开发法" sheetId="12" state="hidden" r:id="rId23"/>
    <sheet name="土地比较法-住宅、综合" sheetId="39" r:id="rId24"/>
    <sheet name="土地案例" sheetId="86" r:id="rId25"/>
    <sheet name="收益法 (元)" sheetId="67" state="hidden" r:id="rId26"/>
    <sheet name="收益法-酒店模型" sheetId="77" state="hidden" r:id="rId27"/>
    <sheet name="Sheet1" sheetId="84" state="hidden" r:id="rId28"/>
    <sheet name="典型户型修正" sheetId="31" state="hidden" r:id="rId29"/>
    <sheet name="收益法（汇总）" sheetId="70" state="hidden" r:id="rId30"/>
    <sheet name="收益法" sheetId="15" r:id="rId31"/>
    <sheet name="基准地价修正" sheetId="43" r:id="rId32"/>
    <sheet name="收益法-办公" sheetId="80" state="hidden" r:id="rId33"/>
    <sheet name="收益法-车库" sheetId="81" state="hidden" r:id="rId34"/>
    <sheet name="比较法-住宅" sheetId="21" state="hidden" r:id="rId35"/>
    <sheet name="比较法-工业" sheetId="37" state="hidden" r:id="rId36"/>
    <sheet name="比较法-车位" sheetId="35" state="hidden" r:id="rId37"/>
    <sheet name="比较法-仓储" sheetId="36"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3" sheetId="82" state="hidden" r:id="rId50"/>
    <sheet name="比较法-办公" sheetId="34" state="hidden" r:id="rId51"/>
    <sheet name="Sheet2" sheetId="85" state="hidden" r:id="rId52"/>
  </sheets>
  <externalReferences>
    <externalReference r:id="rId53"/>
    <externalReference r:id="rId54"/>
  </externalReferences>
  <definedNames>
    <definedName name="_xlnm._FilterDatabase" localSheetId="50"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8" hidden="1">'比较法-商业'!$A$1:$L$49</definedName>
    <definedName name="_xlnm._FilterDatabase" localSheetId="3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50">'比较法-办公'!$A$1:$K$55,'比较法-办公'!$A$58:$M$132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8">'比较法-商业'!$A$1:$K$54,'比较法-商业'!$A$57:$M$131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22">假设开发法!$A$1:$K$32</definedName>
    <definedName name="_xlnm.Print_Area" localSheetId="17">结果表!$A$1:$I$127</definedName>
    <definedName name="_xlnm.Print_Area" localSheetId="30">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32">'收益法-办公'!$A$1:$F$43,'收益法-办公'!$H$3:$M$29,'收益法-办公'!$A$46:$F$71,'收益法-办公'!$I$46:$N$65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7" i="39" l="1"/>
  <c r="E5" i="39"/>
  <c r="I7" i="39" l="1"/>
  <c r="G7" i="39"/>
  <c r="I34" i="39"/>
  <c r="G34" i="39"/>
  <c r="E34" i="39"/>
  <c r="I5" i="39"/>
  <c r="G5" i="39"/>
  <c r="S16" i="86"/>
  <c r="T16" i="86" s="1"/>
  <c r="R6" i="86"/>
  <c r="S6" i="86" s="1"/>
  <c r="T6" i="86" s="1"/>
  <c r="S13" i="86"/>
  <c r="T13" i="86" s="1"/>
  <c r="S5" i="86"/>
  <c r="T5" i="86" s="1"/>
  <c r="S7" i="86"/>
  <c r="T7" i="86" s="1"/>
  <c r="S2" i="86"/>
  <c r="T2" i="86" s="1"/>
  <c r="S3" i="86"/>
  <c r="T3" i="86" s="1"/>
  <c r="S11" i="86"/>
  <c r="T11" i="86" s="1"/>
  <c r="S10" i="86"/>
  <c r="T10" i="86" s="1"/>
  <c r="R9" i="86"/>
  <c r="S9" i="86" s="1"/>
  <c r="T9" i="86" s="1"/>
  <c r="R14" i="86"/>
  <c r="S14" i="86" s="1"/>
  <c r="T14" i="86" s="1"/>
  <c r="S8" i="86"/>
  <c r="T8" i="86" s="1"/>
  <c r="S12" i="86"/>
  <c r="T12" i="86" s="1"/>
  <c r="S15" i="86"/>
  <c r="T15" i="86" s="1"/>
  <c r="S4" i="86"/>
  <c r="T4" i="86" s="1"/>
  <c r="D33" i="43" l="1"/>
  <c r="I37" i="34" l="1"/>
  <c r="G37" i="34"/>
  <c r="E37" i="34"/>
  <c r="I5" i="34"/>
  <c r="X22" i="1" l="1"/>
  <c r="G19" i="6"/>
  <c r="V22" i="1" s="1"/>
  <c r="D3" i="31"/>
  <c r="E3" i="31"/>
  <c r="F3" i="31"/>
  <c r="G3" i="31"/>
  <c r="H3" i="31"/>
  <c r="I3" i="31"/>
  <c r="D4" i="31"/>
  <c r="E4" i="31"/>
  <c r="F4" i="31"/>
  <c r="G4" i="31"/>
  <c r="H4" i="31"/>
  <c r="I4" i="31"/>
  <c r="C4" i="31"/>
  <c r="C3" i="31"/>
  <c r="B25" i="31"/>
  <c r="B26" i="31"/>
  <c r="B24" i="31"/>
  <c r="C33" i="33"/>
  <c r="Y23" i="1"/>
  <c r="X25" i="1"/>
  <c r="Y25" i="1" s="1"/>
  <c r="X24" i="1"/>
  <c r="Y24" i="1" s="1"/>
  <c r="I13" i="3"/>
  <c r="B27" i="31" l="1"/>
  <c r="V26" i="1"/>
  <c r="Y22" i="1"/>
  <c r="Y26" i="1" s="1"/>
  <c r="X26" i="1" s="1"/>
  <c r="C38" i="39" l="1"/>
  <c r="I38" i="39"/>
  <c r="G38" i="39"/>
  <c r="E38" i="39"/>
  <c r="T3" i="82"/>
  <c r="U3" i="82" s="1"/>
  <c r="T5" i="82"/>
  <c r="U5" i="82" s="1"/>
  <c r="T2" i="82"/>
  <c r="U2" i="82" s="1"/>
  <c r="Q72" i="81"/>
  <c r="Q59" i="81"/>
  <c r="K59" i="81"/>
  <c r="P74" i="81" s="1"/>
  <c r="F59" i="81"/>
  <c r="Q58" i="81"/>
  <c r="Q51" i="81"/>
  <c r="J50" i="81"/>
  <c r="M47" i="81"/>
  <c r="D46" i="81"/>
  <c r="F33" i="81"/>
  <c r="F61" i="81" s="1"/>
  <c r="F31" i="81"/>
  <c r="F23" i="81"/>
  <c r="D24" i="81" s="1"/>
  <c r="D22" i="8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Y6" i="1"/>
  <c r="M23" i="1"/>
  <c r="F19" i="6"/>
  <c r="C34" i="34" s="1"/>
  <c r="D23" i="81" l="1"/>
  <c r="D3" i="33"/>
  <c r="P61" i="81"/>
  <c r="D24" i="80"/>
  <c r="P61" i="80"/>
  <c r="D22"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T23" i="79" s="1"/>
  <c r="W23" i="79" s="1"/>
  <c r="L29" i="79"/>
  <c r="I29" i="79"/>
  <c r="AD29" i="79" s="1"/>
  <c r="AB25" i="79"/>
  <c r="AA25" i="79"/>
  <c r="Z25" i="79"/>
  <c r="N25" i="79"/>
  <c r="U23" i="79" s="1"/>
  <c r="M25" i="79"/>
  <c r="L25" i="79"/>
  <c r="I25" i="79"/>
  <c r="AD25" i="79" s="1"/>
  <c r="AA23" i="79"/>
  <c r="AD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N5" i="79"/>
  <c r="M5" i="79"/>
  <c r="P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X30" i="71"/>
  <c r="X32" i="71"/>
  <c r="AA32" i="71"/>
  <c r="C34" i="71"/>
  <c r="C35" i="71" s="1"/>
  <c r="Y33" i="71"/>
  <c r="Z33" i="71" s="1"/>
  <c r="AB33" i="71"/>
  <c r="X34" i="71"/>
  <c r="AA34" i="71"/>
  <c r="X35" i="71"/>
  <c r="AA35" i="71"/>
  <c r="X36" i="71"/>
  <c r="AA36" i="71"/>
  <c r="C38" i="71"/>
  <c r="Y37" i="71"/>
  <c r="Z37" i="71" s="1"/>
  <c r="AB37" i="71"/>
  <c r="X38" i="71"/>
  <c r="AA38" i="71"/>
  <c r="F51" i="71"/>
  <c r="F52" i="71" s="1"/>
  <c r="V52" i="71" s="1"/>
  <c r="C28" i="71"/>
  <c r="C27" i="71" s="1"/>
  <c r="Y28" i="71"/>
  <c r="Z28" i="71"/>
  <c r="B28" i="71"/>
  <c r="B27" i="71"/>
  <c r="B26" i="71" s="1"/>
  <c r="X25" i="71"/>
  <c r="X26" i="71"/>
  <c r="X27" i="71"/>
  <c r="X28" i="71"/>
  <c r="C39" i="71"/>
  <c r="D38" i="71"/>
  <c r="C43" i="71"/>
  <c r="D42" i="71"/>
  <c r="C47" i="71"/>
  <c r="D47" i="71" s="1"/>
  <c r="D46" i="71"/>
  <c r="P28" i="71"/>
  <c r="AA3" i="71" s="1"/>
  <c r="E55" i="71"/>
  <c r="E56" i="71" s="1"/>
  <c r="U56" i="71" s="1"/>
  <c r="E59" i="71"/>
  <c r="E60" i="71" s="1"/>
  <c r="U60" i="71" s="1"/>
  <c r="E63" i="71"/>
  <c r="E64" i="71"/>
  <c r="U64" i="71" s="1"/>
  <c r="Q65" i="71"/>
  <c r="U68" i="71"/>
  <c r="E67" i="71"/>
  <c r="Q28" i="71"/>
  <c r="F28" i="71" s="1"/>
  <c r="F27" i="71" s="1"/>
  <c r="F26" i="71" s="1"/>
  <c r="C55" i="71"/>
  <c r="D54" i="71"/>
  <c r="C59" i="71"/>
  <c r="D58"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D87" i="71" s="1"/>
  <c r="S28" i="71"/>
  <c r="AB26" i="71"/>
  <c r="AB28" i="71"/>
  <c r="E28" i="71"/>
  <c r="E27" i="71" s="1"/>
  <c r="E26" i="71" s="1"/>
  <c r="AA25" i="71"/>
  <c r="AA27" i="71"/>
  <c r="AA28" i="71"/>
  <c r="D28" i="71"/>
  <c r="U28" i="71" s="1"/>
  <c r="C66" i="71"/>
  <c r="D66" i="71" s="1"/>
  <c r="D67" i="71"/>
  <c r="D63" i="71"/>
  <c r="C82" i="71"/>
  <c r="D82" i="71" s="1"/>
  <c r="D75" i="71"/>
  <c r="C86" i="71"/>
  <c r="D86" i="71" s="1"/>
  <c r="D79" i="71"/>
  <c r="C70" i="71"/>
  <c r="D70" i="71" s="1"/>
  <c r="C60" i="71"/>
  <c r="T60" i="71" s="1"/>
  <c r="D59" i="71"/>
  <c r="C56" i="71"/>
  <c r="T56" i="71" s="1"/>
  <c r="D55" i="71"/>
  <c r="P67" i="71"/>
  <c r="E66" i="71"/>
  <c r="P65" i="71" s="1"/>
  <c r="C44" i="71"/>
  <c r="T44" i="71" s="1"/>
  <c r="D43" i="71"/>
  <c r="C40" i="71"/>
  <c r="T40" i="71" s="1"/>
  <c r="D39" i="71"/>
  <c r="P66" i="71"/>
  <c r="O65" i="71"/>
  <c r="D40" i="71"/>
  <c r="D44"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S21" i="21"/>
  <c r="H1" i="69"/>
  <c r="W25" i="40"/>
  <c r="U25" i="40"/>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1"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R519" i="31"/>
  <c r="R520" i="31"/>
  <c r="R521" i="31"/>
  <c r="R522" i="31"/>
  <c r="R523" i="31"/>
  <c r="R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C27" i="3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84" i="31"/>
  <c r="S368" i="31"/>
  <c r="S352" i="31"/>
  <c r="S336" i="31"/>
  <c r="S424" i="31"/>
  <c r="S306" i="31"/>
  <c r="S290" i="31"/>
  <c r="S274"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35" i="39"/>
  <c r="AC35" i="39"/>
  <c r="F35" i="39"/>
  <c r="AA35"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J35"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E108" i="39"/>
  <c r="E100" i="39"/>
  <c r="H19" i="39"/>
  <c r="AB19" i="39" s="1"/>
  <c r="F19" i="39"/>
  <c r="AA19" i="39" s="1"/>
  <c r="J23" i="40"/>
  <c r="AC23" i="40" s="1"/>
  <c r="F21" i="40"/>
  <c r="AA21" i="40" s="1"/>
  <c r="J21" i="40"/>
  <c r="W21" i="40" s="1"/>
  <c r="H42" i="39"/>
  <c r="AB42" i="39" s="1"/>
  <c r="F108" i="39"/>
  <c r="G108" i="39" s="1"/>
  <c r="H108" i="39" s="1"/>
  <c r="I108" i="39" s="1"/>
  <c r="J108" i="39" s="1"/>
  <c r="K108" i="39" s="1"/>
  <c r="L108" i="39" s="1"/>
  <c r="M108" i="39" s="1"/>
  <c r="F100" i="39"/>
  <c r="H27" i="39"/>
  <c r="U27" i="39" s="1"/>
  <c r="J19" i="39"/>
  <c r="AC19"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s="1"/>
  <c r="H17" i="40"/>
  <c r="U17" i="40" s="1"/>
  <c r="J15" i="40"/>
  <c r="W15" i="40" s="1"/>
  <c r="J11" i="40"/>
  <c r="W11" i="40" s="1"/>
  <c r="AB8" i="39"/>
  <c r="AA12" i="34"/>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5" i="34"/>
  <c r="S25" i="34" s="1"/>
  <c r="H23" i="34"/>
  <c r="U23" i="34" s="1"/>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G105" i="37"/>
  <c r="J10" i="36"/>
  <c r="AC10" i="36" s="1"/>
  <c r="AB30" i="21"/>
  <c r="AC13" i="36"/>
  <c r="W13" i="36"/>
  <c r="S11" i="36"/>
  <c r="AC30" i="34"/>
  <c r="S45" i="33"/>
  <c r="AB31" i="33"/>
  <c r="W29" i="33"/>
  <c r="AC28" i="21"/>
  <c r="S44" i="34"/>
  <c r="BA586" i="3"/>
  <c r="BA585" i="3"/>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AZ530" i="3" s="1"/>
  <c r="BA528" i="3"/>
  <c r="BA526" i="3"/>
  <c r="BA524" i="3"/>
  <c r="BA522" i="3"/>
  <c r="BA520" i="3"/>
  <c r="BA518" i="3"/>
  <c r="AZ518" i="3" s="1"/>
  <c r="BA516" i="3"/>
  <c r="BA514" i="3"/>
  <c r="BA512" i="3"/>
  <c r="AZ512" i="3" s="1"/>
  <c r="BA510" i="3"/>
  <c r="BA508" i="3"/>
  <c r="BA506" i="3"/>
  <c r="BA504" i="3"/>
  <c r="BA502" i="3"/>
  <c r="BA500" i="3"/>
  <c r="BA498" i="3"/>
  <c r="AZ498" i="3" s="1"/>
  <c r="BA496" i="3"/>
  <c r="BA494" i="3"/>
  <c r="BA587" i="3"/>
  <c r="AZ587" i="3" s="1"/>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F39" i="33"/>
  <c r="AA39" i="33" s="1"/>
  <c r="E123" i="33"/>
  <c r="F123" i="33" s="1"/>
  <c r="F42" i="33"/>
  <c r="AA42" i="33" s="1"/>
  <c r="H28" i="34"/>
  <c r="AB28" i="34" s="1"/>
  <c r="F14" i="36"/>
  <c r="AA14" i="36" s="1"/>
  <c r="F22" i="36"/>
  <c r="S22" i="36" s="1"/>
  <c r="F26" i="36"/>
  <c r="S26" i="36" s="1"/>
  <c r="H27" i="34"/>
  <c r="AB27" i="34" s="1"/>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G123" i="33"/>
  <c r="H123" i="33" s="1"/>
  <c r="I123" i="33" s="1"/>
  <c r="J123" i="33" s="1"/>
  <c r="K123" i="33" s="1"/>
  <c r="L123" i="33" s="1"/>
  <c r="M123" i="33" s="1"/>
  <c r="H42" i="33"/>
  <c r="AB42" i="33"/>
  <c r="J43" i="33"/>
  <c r="AC43" i="33" s="1"/>
  <c r="U43" i="33"/>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W16" i="35"/>
  <c r="W40" i="37"/>
  <c r="G107" i="37"/>
  <c r="H107" i="37" s="1"/>
  <c r="I107" i="37"/>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AA25" i="21"/>
  <c r="H19" i="40"/>
  <c r="U19" i="40" s="1"/>
  <c r="G88" i="40"/>
  <c r="F19" i="40"/>
  <c r="S19" i="40"/>
  <c r="S14" i="40"/>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32"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AZ373" i="3" s="1"/>
  <c r="BA375" i="3"/>
  <c r="AZ375" i="3"/>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s="1"/>
  <c r="BL128" i="3"/>
  <c r="AZ128" i="3" s="1"/>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47" i="3"/>
  <c r="AZ59" i="3"/>
  <c r="AZ63" i="3"/>
  <c r="AZ75" i="3"/>
  <c r="AZ79" i="3"/>
  <c r="AZ136" i="3"/>
  <c r="AZ144" i="3"/>
  <c r="AZ160" i="3"/>
  <c r="AZ176" i="3"/>
  <c r="AZ192" i="3"/>
  <c r="AZ200" i="3"/>
  <c r="AZ89" i="3"/>
  <c r="AZ97" i="3"/>
  <c r="AZ105" i="3"/>
  <c r="AZ109"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BA372" i="3"/>
  <c r="AZ372" i="3"/>
  <c r="BL372" i="3"/>
  <c r="G373" i="3"/>
  <c r="G376" i="3"/>
  <c r="BL377" i="3"/>
  <c r="BL379" i="3"/>
  <c r="BA381" i="3"/>
  <c r="BA382" i="3"/>
  <c r="BL382" i="3"/>
  <c r="G383" i="3"/>
  <c r="G386" i="3"/>
  <c r="BL387" i="3"/>
  <c r="BA389" i="3"/>
  <c r="AZ389" i="3" s="1"/>
  <c r="BA390" i="3"/>
  <c r="BL390" i="3"/>
  <c r="G391" i="3"/>
  <c r="G394" i="3"/>
  <c r="AZ154" i="3"/>
  <c r="AZ170" i="3"/>
  <c r="AZ182" i="3"/>
  <c r="AZ190" i="3"/>
  <c r="AZ194" i="3"/>
  <c r="AZ198" i="3"/>
  <c r="AZ500" i="3"/>
  <c r="BA16" i="3"/>
  <c r="AZ16" i="3" s="1"/>
  <c r="BL303" i="3"/>
  <c r="G304" i="3"/>
  <c r="BA306" i="3"/>
  <c r="AZ306" i="3" s="1"/>
  <c r="BL307" i="3"/>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AZ361" i="3" s="1"/>
  <c r="BL362" i="3"/>
  <c r="AZ362" i="3" s="1"/>
  <c r="G363" i="3"/>
  <c r="BA365" i="3"/>
  <c r="AZ365" i="3" s="1"/>
  <c r="BL366" i="3"/>
  <c r="AZ366" i="3" s="1"/>
  <c r="G367" i="3"/>
  <c r="BA369" i="3"/>
  <c r="AZ369" i="3"/>
  <c r="BL370" i="3"/>
  <c r="G371" i="3"/>
  <c r="BA373" i="3"/>
  <c r="BL374" i="3"/>
  <c r="AZ374" i="3" s="1"/>
  <c r="G375" i="3"/>
  <c r="BA377" i="3"/>
  <c r="AZ229" i="3"/>
  <c r="AZ241" i="3"/>
  <c r="AZ245" i="3"/>
  <c r="AZ269" i="3"/>
  <c r="AZ273" i="3"/>
  <c r="AZ370" i="3"/>
  <c r="BA379" i="3"/>
  <c r="AZ379" i="3"/>
  <c r="BL380" i="3"/>
  <c r="G381" i="3"/>
  <c r="BA383" i="3"/>
  <c r="AZ383" i="3"/>
  <c r="BL384" i="3"/>
  <c r="G385" i="3"/>
  <c r="BA387" i="3"/>
  <c r="AZ387" i="3"/>
  <c r="BL388" i="3"/>
  <c r="G389" i="3"/>
  <c r="BA391" i="3"/>
  <c r="AZ391" i="3"/>
  <c r="BL392" i="3"/>
  <c r="G393" i="3"/>
  <c r="AZ275" i="3"/>
  <c r="AZ291" i="3"/>
  <c r="BO5" i="3"/>
  <c r="BM5" i="3"/>
  <c r="BJ5" i="3"/>
  <c r="BH5" i="3"/>
  <c r="BF5" i="3"/>
  <c r="BD5" i="3"/>
  <c r="AZ333" i="3"/>
  <c r="BQ5" i="3"/>
  <c r="AZ549" i="3"/>
  <c r="AZ496" i="3"/>
  <c r="G548" i="3"/>
  <c r="G538" i="3"/>
  <c r="G520" i="3"/>
  <c r="G502" i="3"/>
  <c r="BS5" i="3"/>
  <c r="BP5" i="3"/>
  <c r="BN5" i="3"/>
  <c r="BK5" i="3"/>
  <c r="BI5" i="3"/>
  <c r="BG5" i="3"/>
  <c r="BE5" i="3"/>
  <c r="BC5" i="3"/>
  <c r="G17" i="3"/>
  <c r="BA17" i="3"/>
  <c r="BT5" i="3"/>
  <c r="AZ350" i="3"/>
  <c r="AZ356" i="3"/>
  <c r="AZ368" i="3"/>
  <c r="BA15" i="3"/>
  <c r="BB5" i="3"/>
  <c r="BR5" i="3"/>
  <c r="AZ380" i="3"/>
  <c r="AZ384" i="3"/>
  <c r="AZ388" i="3"/>
  <c r="AZ392" i="3"/>
  <c r="AZ394" i="3"/>
  <c r="AZ499" i="3"/>
  <c r="AZ509" i="3"/>
  <c r="G509" i="3"/>
  <c r="BL493" i="3"/>
  <c r="AZ390" i="3"/>
  <c r="AZ493" i="3"/>
  <c r="U36" i="40"/>
  <c r="F83" i="43"/>
  <c r="H85" i="43" s="1"/>
  <c r="F50" i="43"/>
  <c r="H54" i="43" s="1"/>
  <c r="G54" i="43" s="1"/>
  <c r="F72" i="43"/>
  <c r="H75" i="43" s="1"/>
  <c r="S14" i="35"/>
  <c r="U43" i="21"/>
  <c r="U35" i="21"/>
  <c r="AC35" i="21"/>
  <c r="G10" i="1"/>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s="1"/>
  <c r="H44" i="34"/>
  <c r="AB44" i="34" s="1"/>
  <c r="AC38" i="39"/>
  <c r="F39" i="39"/>
  <c r="S39" i="39" s="1"/>
  <c r="J39" i="39"/>
  <c r="AC39" i="39" s="1"/>
  <c r="E96" i="39"/>
  <c r="F96" i="39" s="1"/>
  <c r="G96" i="39" s="1"/>
  <c r="AZ353" i="3"/>
  <c r="C40" i="11"/>
  <c r="AZ215" i="3"/>
  <c r="AZ227" i="3"/>
  <c r="AZ240" i="3"/>
  <c r="AZ243" i="3"/>
  <c r="AZ271" i="3"/>
  <c r="AZ280" i="3"/>
  <c r="AZ288" i="3"/>
  <c r="AZ114" i="3"/>
  <c r="AZ130" i="3"/>
  <c r="AZ21" i="3"/>
  <c r="AZ37" i="3"/>
  <c r="AZ42" i="3"/>
  <c r="AZ45" i="3"/>
  <c r="AZ50" i="3"/>
  <c r="AZ61" i="3"/>
  <c r="AZ66"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G29" i="6"/>
  <c r="AC26" i="33"/>
  <c r="W26" i="33"/>
  <c r="W27" i="34"/>
  <c r="AC27" i="34"/>
  <c r="AB34" i="36"/>
  <c r="U34" i="36"/>
  <c r="AB33" i="36"/>
  <c r="U33" i="36"/>
  <c r="AC12" i="39"/>
  <c r="W12" i="39"/>
  <c r="AC39" i="40"/>
  <c r="W39" i="40"/>
  <c r="AZ417" i="3"/>
  <c r="AZ433" i="3"/>
  <c r="AZ465" i="3"/>
  <c r="W12" i="33"/>
  <c r="AC12" i="33"/>
  <c r="AA32" i="36"/>
  <c r="S32" i="36"/>
  <c r="AZ457" i="3"/>
  <c r="AZ473" i="3"/>
  <c r="AA39" i="34"/>
  <c r="F28" i="6"/>
  <c r="BL14" i="3"/>
  <c r="U30" i="33"/>
  <c r="AC13" i="34"/>
  <c r="AA47" i="34"/>
  <c r="W28" i="37"/>
  <c r="S19" i="39"/>
  <c r="F12" i="33"/>
  <c r="H12" i="39"/>
  <c r="AB12" i="39" s="1"/>
  <c r="F39" i="40"/>
  <c r="BA14" i="3"/>
  <c r="AZ14" i="3"/>
  <c r="AZ213" i="3"/>
  <c r="AZ224" i="3"/>
  <c r="AZ238" i="3"/>
  <c r="AZ286" i="3"/>
  <c r="AZ149" i="3"/>
  <c r="AZ165" i="3"/>
  <c r="AZ189" i="3"/>
  <c r="AZ19" i="3"/>
  <c r="AZ26" i="3"/>
  <c r="AZ35" i="3"/>
  <c r="B12" i="1"/>
  <c r="E12" i="1" s="1"/>
  <c r="B10" i="1"/>
  <c r="E10" i="1" s="1"/>
  <c r="AZ80" i="3"/>
  <c r="AZ84" i="3"/>
  <c r="AZ88" i="3"/>
  <c r="AZ107" i="3"/>
  <c r="AZ111" i="3"/>
  <c r="K12" i="1"/>
  <c r="M12" i="1" s="1"/>
  <c r="S13" i="1"/>
  <c r="AR13" i="1" s="1"/>
  <c r="R13" i="1"/>
  <c r="J51" i="67"/>
  <c r="C42" i="1"/>
  <c r="C24" i="12" s="1"/>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H21" i="39"/>
  <c r="AB21" i="39" s="1"/>
  <c r="W19" i="39"/>
  <c r="U19" i="39"/>
  <c r="S15" i="39"/>
  <c r="AA12" i="39"/>
  <c r="U14" i="39"/>
  <c r="AC13" i="39"/>
  <c r="U12" i="39"/>
  <c r="S23" i="36"/>
  <c r="U13" i="36"/>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AB8" i="34"/>
  <c r="AA33" i="34"/>
  <c r="U44" i="34"/>
  <c r="AC39" i="34"/>
  <c r="W41" i="34"/>
  <c r="AC42" i="34"/>
  <c r="U39" i="34"/>
  <c r="AB41"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J32" i="33"/>
  <c r="W32" i="33" s="1"/>
  <c r="S46" i="33"/>
  <c r="W43" i="33"/>
  <c r="S43" i="33"/>
  <c r="F91" i="33"/>
  <c r="F27" i="33" s="1"/>
  <c r="AA27" i="33" s="1"/>
  <c r="H25" i="33"/>
  <c r="U25" i="33" s="1"/>
  <c r="F25" i="33"/>
  <c r="AA25" i="33" s="1"/>
  <c r="J23" i="33"/>
  <c r="W23" i="33" s="1"/>
  <c r="H23" i="33"/>
  <c r="AB23" i="33" s="1"/>
  <c r="F19" i="33"/>
  <c r="S19" i="33" s="1"/>
  <c r="W1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BA13" i="3"/>
  <c r="BL17" i="3"/>
  <c r="AZ17" i="3" s="1"/>
  <c r="BL13" i="3"/>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AA45" i="39"/>
  <c r="AB39"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25" i="33"/>
  <c r="J25" i="33"/>
  <c r="W25" i="33" s="1"/>
  <c r="F23" i="33"/>
  <c r="AA23" i="33" s="1"/>
  <c r="H19" i="33"/>
  <c r="AB19" i="33" s="1"/>
  <c r="S37" i="21"/>
  <c r="AA23" i="21"/>
  <c r="AB15" i="21"/>
  <c r="J23" i="21"/>
  <c r="W23" i="21" s="1"/>
  <c r="F85" i="21"/>
  <c r="G85" i="21"/>
  <c r="H23" i="21"/>
  <c r="S13" i="21"/>
  <c r="D6" i="52"/>
  <c r="AP7" i="1"/>
  <c r="AB45" i="21"/>
  <c r="AB9" i="21"/>
  <c r="U9" i="21"/>
  <c r="AA32" i="21"/>
  <c r="S32" i="21"/>
  <c r="W9" i="21"/>
  <c r="AC9" i="21"/>
  <c r="AB32" i="21"/>
  <c r="U32" i="21"/>
  <c r="U32" i="39"/>
  <c r="AC32" i="39"/>
  <c r="W32" i="39"/>
  <c r="AC19" i="37"/>
  <c r="W23" i="37"/>
  <c r="AC23" i="37"/>
  <c r="J11" i="37"/>
  <c r="AC11" i="37" s="1"/>
  <c r="H70" i="34"/>
  <c r="I70" i="34" s="1"/>
  <c r="J70" i="34" s="1"/>
  <c r="K70" i="34" s="1"/>
  <c r="L70" i="34" s="1"/>
  <c r="M70" i="34" s="1"/>
  <c r="J11" i="34"/>
  <c r="W11" i="34" s="1"/>
  <c r="AB36" i="33"/>
  <c r="U23" i="21"/>
  <c r="AB23" i="21"/>
  <c r="H109" i="9"/>
  <c r="H112" i="9"/>
  <c r="D21" i="53" s="1"/>
  <c r="B39" i="72" s="1"/>
  <c r="H111" i="9"/>
  <c r="D126" i="9" s="1"/>
  <c r="AD3" i="71"/>
  <c r="J1" i="73"/>
  <c r="H69" i="4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8" i="67"/>
  <c r="M8" i="15"/>
  <c r="M28" i="67"/>
  <c r="M9" i="15"/>
  <c r="E13" i="76"/>
  <c r="E10" i="76"/>
  <c r="C76" i="15"/>
  <c r="F40" i="67"/>
  <c r="M8" i="67"/>
  <c r="C76" i="67"/>
  <c r="F42" i="15"/>
  <c r="M22" i="67"/>
  <c r="B7" i="76"/>
  <c r="B13" i="76"/>
  <c r="J15" i="15"/>
  <c r="AO13" i="1"/>
  <c r="L48" i="67"/>
  <c r="F7" i="15"/>
  <c r="M23" i="67"/>
  <c r="F26" i="67"/>
  <c r="F6" i="73"/>
  <c r="M6" i="67"/>
  <c r="B11" i="76"/>
  <c r="B10" i="76"/>
  <c r="D4" i="73"/>
  <c r="F8" i="15"/>
  <c r="F3" i="73"/>
  <c r="M23" i="15"/>
  <c r="F38" i="67"/>
  <c r="D3" i="73"/>
  <c r="E7" i="76"/>
  <c r="E2" i="68"/>
  <c r="F43" i="67"/>
  <c r="F40" i="15"/>
  <c r="F37" i="15"/>
  <c r="F42" i="67"/>
  <c r="M24" i="15"/>
  <c r="F36" i="15"/>
  <c r="E9" i="76"/>
  <c r="E11" i="76"/>
  <c r="F7" i="67"/>
  <c r="F6" i="15"/>
  <c r="F9" i="67"/>
  <c r="F16" i="67"/>
  <c r="F13" i="15"/>
  <c r="F9" i="15"/>
  <c r="F37" i="67"/>
  <c r="M29" i="67"/>
  <c r="F16" i="15"/>
  <c r="B12" i="76"/>
  <c r="F43" i="15"/>
  <c r="M26" i="67"/>
  <c r="M22" i="15"/>
  <c r="L47" i="67"/>
  <c r="L47" i="15"/>
  <c r="M6" i="15"/>
  <c r="B8" i="76"/>
  <c r="M24" i="67"/>
  <c r="F36" i="67"/>
  <c r="F7" i="73"/>
  <c r="E8" i="76"/>
  <c r="F20" i="31"/>
  <c r="F13" i="67"/>
  <c r="M29" i="15"/>
  <c r="F4" i="73"/>
  <c r="E2" i="69"/>
  <c r="E12" i="76"/>
  <c r="F6" i="67"/>
  <c r="B9" i="76"/>
  <c r="F38" i="15"/>
  <c r="M9" i="67"/>
  <c r="F5" i="73"/>
  <c r="M28" i="15"/>
  <c r="D5" i="73"/>
  <c r="F26" i="15"/>
  <c r="J15" i="67"/>
  <c r="M26" i="15"/>
  <c r="E19" i="11" l="1"/>
  <c r="F6" i="1"/>
  <c r="AC23" i="21"/>
  <c r="AZ371" i="3"/>
  <c r="M50" i="43"/>
  <c r="N50" i="43" s="1"/>
  <c r="K50" i="43"/>
  <c r="J50" i="43" s="1"/>
  <c r="I7" i="33"/>
  <c r="E7" i="33"/>
  <c r="G7" i="33"/>
  <c r="F48" i="9"/>
  <c r="O52" i="9" s="1"/>
  <c r="F32" i="81"/>
  <c r="F60" i="81" s="1"/>
  <c r="F28" i="81"/>
  <c r="C28" i="81" s="1"/>
  <c r="M18" i="81"/>
  <c r="F32" i="80"/>
  <c r="F60" i="80" s="1"/>
  <c r="F28" i="80"/>
  <c r="C28" i="80" s="1"/>
  <c r="M18" i="80"/>
  <c r="M54" i="43"/>
  <c r="N54" i="43" s="1"/>
  <c r="K54" i="43"/>
  <c r="J54" i="43" s="1"/>
  <c r="AZ377" i="3"/>
  <c r="AZ310" i="3"/>
  <c r="AZ382" i="3"/>
  <c r="AZ329" i="3"/>
  <c r="AZ341" i="3"/>
  <c r="AZ325" i="3"/>
  <c r="AZ309" i="3"/>
  <c r="I7" i="34"/>
  <c r="E7" i="34"/>
  <c r="G7" i="34"/>
  <c r="AZ513" i="3"/>
  <c r="AZ567" i="3"/>
  <c r="AZ575" i="3"/>
  <c r="AZ497" i="3"/>
  <c r="AZ511" i="3"/>
  <c r="AZ515" i="3"/>
  <c r="AZ519" i="3"/>
  <c r="AZ565" i="3"/>
  <c r="AZ569" i="3"/>
  <c r="AZ573" i="3"/>
  <c r="AZ577" i="3"/>
  <c r="AZ510" i="3"/>
  <c r="AZ540" i="3"/>
  <c r="AZ584" i="3"/>
  <c r="AZ514" i="3"/>
  <c r="AZ524" i="3"/>
  <c r="AZ528" i="3"/>
  <c r="AZ506" i="3"/>
  <c r="AZ516" i="3"/>
  <c r="AZ526" i="3"/>
  <c r="AB45" i="33"/>
  <c r="AA14" i="34"/>
  <c r="AB46" i="34"/>
  <c r="W31" i="34"/>
  <c r="AB26" i="33"/>
  <c r="U31" i="34"/>
  <c r="AA44" i="33"/>
  <c r="AA29" i="35"/>
  <c r="BL586" i="3"/>
  <c r="AZ586" i="3" s="1"/>
  <c r="BL585" i="3"/>
  <c r="AZ585" i="3" s="1"/>
  <c r="F124" i="34"/>
  <c r="G124" i="34" s="1"/>
  <c r="H124" i="34" s="1"/>
  <c r="I124" i="34" s="1"/>
  <c r="J124" i="34" s="1"/>
  <c r="K124" i="34" s="1"/>
  <c r="L124" i="34" s="1"/>
  <c r="M124" i="34" s="1"/>
  <c r="H43" i="34"/>
  <c r="J34" i="35"/>
  <c r="AC34" i="35" s="1"/>
  <c r="F34" i="35"/>
  <c r="BA551" i="3"/>
  <c r="AZ551" i="3" s="1"/>
  <c r="BL548" i="3"/>
  <c r="AZ548" i="3" s="1"/>
  <c r="M20" i="15"/>
  <c r="F34" i="81"/>
  <c r="F62" i="81" s="1"/>
  <c r="F34" i="80"/>
  <c r="F62" i="80" s="1"/>
  <c r="M20" i="81"/>
  <c r="M20" i="80"/>
  <c r="A15" i="62"/>
  <c r="B61" i="72" s="1"/>
  <c r="AZ418" i="3"/>
  <c r="AZ422" i="3"/>
  <c r="AZ434" i="3"/>
  <c r="AZ450" i="3"/>
  <c r="AZ454" i="3"/>
  <c r="AZ459" i="3"/>
  <c r="AZ477" i="3"/>
  <c r="F9" i="36"/>
  <c r="H12" i="36"/>
  <c r="H24" i="36"/>
  <c r="G570" i="3"/>
  <c r="G556" i="3"/>
  <c r="BL550" i="3"/>
  <c r="BA550" i="3"/>
  <c r="AZ550" i="3" s="1"/>
  <c r="G526"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BL283" i="3"/>
  <c r="G285" i="3"/>
  <c r="BL285" i="3"/>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G24" i="3"/>
  <c r="G25" i="3"/>
  <c r="BL25" i="3"/>
  <c r="BA27" i="3"/>
  <c r="AZ27" i="3" s="1"/>
  <c r="BA28" i="3"/>
  <c r="AZ28" i="3" s="1"/>
  <c r="BA29" i="3"/>
  <c r="AZ29" i="3" s="1"/>
  <c r="BL31" i="3"/>
  <c r="AZ31" i="3" s="1"/>
  <c r="BL33" i="3"/>
  <c r="AZ33" i="3" s="1"/>
  <c r="G35" i="3"/>
  <c r="G36" i="3"/>
  <c r="BL36" i="3"/>
  <c r="BA38" i="3"/>
  <c r="AZ38" i="3" s="1"/>
  <c r="BA39" i="3"/>
  <c r="AZ39" i="3" s="1"/>
  <c r="BL41" i="3"/>
  <c r="AZ41" i="3" s="1"/>
  <c r="BL43" i="3"/>
  <c r="AZ43"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D50" i="71"/>
  <c r="C51" i="71"/>
  <c r="AZ25" i="3"/>
  <c r="AZ36" i="3"/>
  <c r="AZ46" i="3"/>
  <c r="AZ49" i="3"/>
  <c r="AZ62" i="3"/>
  <c r="AZ65" i="3"/>
  <c r="AZ76" i="3"/>
  <c r="E23" i="71"/>
  <c r="E22" i="71" s="1"/>
  <c r="E21" i="71" s="1"/>
  <c r="E20" i="71" s="1"/>
  <c r="V24" i="71"/>
  <c r="O66" i="71"/>
  <c r="AB27" i="71"/>
  <c r="AB25" i="71"/>
  <c r="T28" i="71"/>
  <c r="D34" i="71"/>
  <c r="Y27" i="71"/>
  <c r="Z27" i="71" s="1"/>
  <c r="Y26" i="71"/>
  <c r="Z26" i="71" s="1"/>
  <c r="Y25" i="71"/>
  <c r="Z25" i="71" s="1"/>
  <c r="X31" i="71"/>
  <c r="C30" i="71"/>
  <c r="AA30" i="71"/>
  <c r="AA33" i="71"/>
  <c r="B43" i="71"/>
  <c r="B44" i="71" s="1"/>
  <c r="S44" i="71" s="1"/>
  <c r="B47" i="71"/>
  <c r="B48" i="71" s="1"/>
  <c r="S48" i="71" s="1"/>
  <c r="G80" i="3"/>
  <c r="G81" i="3"/>
  <c r="BL81" i="3"/>
  <c r="AZ81" i="3" s="1"/>
  <c r="BL83" i="3"/>
  <c r="AZ83" i="3" s="1"/>
  <c r="BL85" i="3"/>
  <c r="AZ85" i="3"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AZ112" i="3" s="1"/>
  <c r="J51" i="80"/>
  <c r="J51" i="81"/>
  <c r="J51" i="15"/>
  <c r="N59" i="15" s="1"/>
  <c r="C29" i="39"/>
  <c r="B68" i="43"/>
  <c r="B77" i="43"/>
  <c r="U25" i="39"/>
  <c r="S9" i="39"/>
  <c r="U9" i="39"/>
  <c r="J34" i="39"/>
  <c r="AC34" i="39" s="1"/>
  <c r="H34" i="39"/>
  <c r="U34" i="39" s="1"/>
  <c r="F34" i="39"/>
  <c r="AA34" i="39" s="1"/>
  <c r="AB34" i="39"/>
  <c r="S23" i="39"/>
  <c r="F90" i="39"/>
  <c r="G90" i="39" s="1"/>
  <c r="F17" i="39"/>
  <c r="AA17" i="39" s="1"/>
  <c r="J17" i="39"/>
  <c r="H17" i="39"/>
  <c r="AB23" i="34"/>
  <c r="S21" i="34"/>
  <c r="AB17" i="34"/>
  <c r="W19" i="34"/>
  <c r="U19" i="34"/>
  <c r="AC17" i="34"/>
  <c r="AB35" i="34"/>
  <c r="S35" i="34"/>
  <c r="W25" i="34"/>
  <c r="S43" i="34"/>
  <c r="AA45" i="34"/>
  <c r="W9" i="34"/>
  <c r="J27" i="33"/>
  <c r="G91" i="33"/>
  <c r="H91" i="33" s="1"/>
  <c r="I91" i="33" s="1"/>
  <c r="J91" i="33" s="1"/>
  <c r="K91" i="33" s="1"/>
  <c r="L91" i="33" s="1"/>
  <c r="M91" i="33" s="1"/>
  <c r="H27" i="33"/>
  <c r="U27" i="33" s="1"/>
  <c r="AC32" i="33"/>
  <c r="U32" i="33"/>
  <c r="S32" i="33"/>
  <c r="AB27" i="33"/>
  <c r="S27" i="33"/>
  <c r="B22" i="31"/>
  <c r="B7" i="1"/>
  <c r="E7" i="1" s="1"/>
  <c r="G1" i="80"/>
  <c r="G1" i="81"/>
  <c r="W15" i="33"/>
  <c r="F15" i="33"/>
  <c r="M7" i="1"/>
  <c r="AP6" i="1"/>
  <c r="M8" i="1"/>
  <c r="W9" i="33"/>
  <c r="AB25" i="33"/>
  <c r="AA19" i="33"/>
  <c r="AC23" i="33"/>
  <c r="AC34" i="33"/>
  <c r="AB34" i="33"/>
  <c r="AA36" i="33"/>
  <c r="S36" i="33"/>
  <c r="H111" i="33"/>
  <c r="I111" i="33" s="1"/>
  <c r="J111" i="33" s="1"/>
  <c r="K111" i="33" s="1"/>
  <c r="L111" i="33" s="1"/>
  <c r="M111" i="33" s="1"/>
  <c r="S33" i="33"/>
  <c r="S23" i="33"/>
  <c r="AC25" i="33"/>
  <c r="U23" i="33"/>
  <c r="J17" i="33"/>
  <c r="H17" i="33"/>
  <c r="F79" i="33"/>
  <c r="G79" i="33" s="1"/>
  <c r="F17" i="33"/>
  <c r="AA17" i="33" s="1"/>
  <c r="U19" i="33"/>
  <c r="S17" i="33"/>
  <c r="U15" i="33"/>
  <c r="U38" i="39"/>
  <c r="AC11" i="39"/>
  <c r="U29" i="39"/>
  <c r="W29" i="39"/>
  <c r="AC25" i="39"/>
  <c r="U21" i="39"/>
  <c r="S17" i="39"/>
  <c r="S11" i="39"/>
  <c r="F11" i="1"/>
  <c r="G11" i="1" s="1"/>
  <c r="G44" i="43"/>
  <c r="G7" i="1"/>
  <c r="I24" i="43"/>
  <c r="C24" i="43" s="1"/>
  <c r="V4" i="86" s="1"/>
  <c r="F34" i="15"/>
  <c r="F62" i="15" s="1"/>
  <c r="F34" i="67"/>
  <c r="F62" i="67" s="1"/>
  <c r="C28" i="67"/>
  <c r="C21" i="68"/>
  <c r="C40" i="69"/>
  <c r="F8" i="1"/>
  <c r="F3" i="35"/>
  <c r="F29" i="6"/>
  <c r="E19" i="71"/>
  <c r="E18" i="71" s="1"/>
  <c r="E17" i="71" s="1"/>
  <c r="E16" i="71" s="1"/>
  <c r="V20" i="71"/>
  <c r="W12" i="37"/>
  <c r="AC12" i="37"/>
  <c r="AZ521" i="3"/>
  <c r="AZ504" i="3"/>
  <c r="AZ508" i="3"/>
  <c r="AZ520" i="3"/>
  <c r="AZ534" i="3"/>
  <c r="AZ542" i="3"/>
  <c r="AZ556" i="3"/>
  <c r="AA14" i="37"/>
  <c r="AC35" i="40"/>
  <c r="W35" i="40"/>
  <c r="S38" i="40"/>
  <c r="AA38" i="40"/>
  <c r="AZ399" i="3"/>
  <c r="AZ404" i="3"/>
  <c r="C16" i="71"/>
  <c r="M23" i="43" s="1"/>
  <c r="D17" i="71"/>
  <c r="D19" i="53"/>
  <c r="B38" i="72" s="1"/>
  <c r="D16" i="53"/>
  <c r="B34" i="72" s="1"/>
  <c r="G28" i="6"/>
  <c r="AZ334" i="3"/>
  <c r="AZ351" i="3"/>
  <c r="AZ327" i="3"/>
  <c r="G521" i="3"/>
  <c r="G5" i="3" s="1"/>
  <c r="B3" i="3" s="1"/>
  <c r="AC5" i="3"/>
  <c r="AZ583" i="3"/>
  <c r="AZ558" i="3"/>
  <c r="U33" i="40"/>
  <c r="AB33" i="40"/>
  <c r="W11" i="35"/>
  <c r="AC11" i="35"/>
  <c r="W32" i="40"/>
  <c r="AC32" i="40"/>
  <c r="AA36" i="39"/>
  <c r="S36" i="39"/>
  <c r="AZ409" i="3"/>
  <c r="AZ416" i="3"/>
  <c r="AZ425" i="3"/>
  <c r="AZ432" i="3"/>
  <c r="AZ445" i="3"/>
  <c r="AZ447" i="3"/>
  <c r="AZ464" i="3"/>
  <c r="AZ467" i="3"/>
  <c r="AZ474" i="3"/>
  <c r="AZ480" i="3"/>
  <c r="AZ482" i="3"/>
  <c r="AZ486" i="3"/>
  <c r="AZ488" i="3"/>
  <c r="AZ216" i="3"/>
  <c r="AZ221" i="3"/>
  <c r="AZ226" i="3"/>
  <c r="AZ230" i="3"/>
  <c r="AZ242" i="3"/>
  <c r="AZ246" i="3"/>
  <c r="AZ258" i="3"/>
  <c r="AZ262" i="3"/>
  <c r="AZ267"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276" i="3"/>
  <c r="AZ298" i="3"/>
  <c r="AZ301" i="3"/>
  <c r="AZ122" i="3"/>
  <c r="AZ125" i="3"/>
  <c r="AZ22" i="3"/>
  <c r="AZ285" i="3"/>
  <c r="AZ30" i="3"/>
  <c r="AZ54" i="3"/>
  <c r="AZ57" i="3"/>
  <c r="AZ70" i="3"/>
  <c r="AZ92" i="3"/>
  <c r="AZ103" i="3"/>
  <c r="C26" i="71"/>
  <c r="D26" i="71" s="1"/>
  <c r="D27" i="71"/>
  <c r="C36" i="71"/>
  <c r="D35" i="71"/>
  <c r="AB21" i="21"/>
  <c r="AC21" i="34"/>
  <c r="D64" i="71"/>
  <c r="T64" i="71"/>
  <c r="V28" i="71"/>
  <c r="AA26" i="71"/>
  <c r="AA31" i="71"/>
  <c r="AB29" i="71"/>
  <c r="X9" i="71"/>
  <c r="X10" i="71"/>
  <c r="AB9" i="71"/>
  <c r="X24" i="71"/>
  <c r="AA24" i="71"/>
  <c r="Y24" i="71"/>
  <c r="Z24" i="71" s="1"/>
  <c r="AB23" i="71"/>
  <c r="AB21" i="71"/>
  <c r="AA21" i="71"/>
  <c r="Y18" i="71"/>
  <c r="Z18" i="71" s="1"/>
  <c r="X17" i="71"/>
  <c r="Y17" i="71"/>
  <c r="Z17" i="71" s="1"/>
  <c r="AA17" i="71"/>
  <c r="AB18" i="71"/>
  <c r="Y14" i="71"/>
  <c r="Z14" i="71" s="1"/>
  <c r="AB14" i="71"/>
  <c r="U18" i="36"/>
  <c r="Y9" i="71"/>
  <c r="Z9" i="71" s="1"/>
  <c r="AA9" i="71"/>
  <c r="AB24" i="71"/>
  <c r="AA23" i="71"/>
  <c r="AA22" i="71"/>
  <c r="X21" i="71"/>
  <c r="X18" i="71"/>
  <c r="AA18" i="71"/>
  <c r="B67" i="71"/>
  <c r="Y23" i="71"/>
  <c r="Z23" i="71" s="1"/>
  <c r="Y22" i="71"/>
  <c r="Z22" i="71" s="1"/>
  <c r="X22" i="71"/>
  <c r="Y21" i="71"/>
  <c r="Z21" i="71" s="1"/>
  <c r="X15" i="71"/>
  <c r="AA15" i="71"/>
  <c r="AB12" i="71"/>
  <c r="AB11" i="71"/>
  <c r="AA11" i="71"/>
  <c r="AA13" i="71"/>
  <c r="X11" i="71"/>
  <c r="X14" i="71"/>
  <c r="Y10" i="71"/>
  <c r="Z10" i="71" s="1"/>
  <c r="Y13" i="71"/>
  <c r="Z13" i="71" s="1"/>
  <c r="AB15" i="71"/>
  <c r="AB17" i="71"/>
  <c r="AB13" i="71"/>
  <c r="AB10" i="71"/>
  <c r="AA10" i="71"/>
  <c r="AA12" i="71"/>
  <c r="AA14" i="71"/>
  <c r="X13" i="71"/>
  <c r="X12" i="71"/>
  <c r="Y12" i="71"/>
  <c r="Z12" i="71" s="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F26" i="43"/>
  <c r="G26" i="43"/>
  <c r="A1" i="79"/>
  <c r="H55" i="43"/>
  <c r="G55" i="43" s="1"/>
  <c r="H86" i="43"/>
  <c r="H87" i="43"/>
  <c r="N370"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I1" i="73"/>
  <c r="B39" i="1" s="1"/>
  <c r="F51" i="67"/>
  <c r="F65" i="67"/>
  <c r="J53" i="67"/>
  <c r="J57" i="67"/>
  <c r="J55" i="67" s="1"/>
  <c r="J58" i="67" s="1"/>
  <c r="Q50" i="67" s="1"/>
  <c r="L56" i="67"/>
  <c r="I54" i="67"/>
  <c r="M7" i="15"/>
  <c r="J6" i="15" s="1"/>
  <c r="F50" i="15"/>
  <c r="F51" i="15"/>
  <c r="F71" i="15"/>
  <c r="C6" i="15"/>
  <c r="F66" i="67"/>
  <c r="L59" i="15"/>
  <c r="M59" i="15"/>
  <c r="F66" i="15"/>
  <c r="Q71" i="67"/>
  <c r="F64" i="15"/>
  <c r="C27" i="67"/>
  <c r="F71" i="67"/>
  <c r="C27" i="15"/>
  <c r="F65" i="15"/>
  <c r="N59" i="67"/>
  <c r="L59" i="67"/>
  <c r="L58" i="67"/>
  <c r="M59" i="67"/>
  <c r="B13" i="70"/>
  <c r="M7" i="67"/>
  <c r="J6" i="67" s="1"/>
  <c r="F50" i="67"/>
  <c r="F68" i="67"/>
  <c r="F64" i="67"/>
  <c r="F68" i="15"/>
  <c r="C36" i="68"/>
  <c r="D9" i="69"/>
  <c r="C36" i="69"/>
  <c r="D9" i="68"/>
  <c r="L48" i="15"/>
  <c r="D7" i="73"/>
  <c r="C76" i="81"/>
  <c r="F8" i="81"/>
  <c r="M26" i="81"/>
  <c r="F6" i="81"/>
  <c r="M28" i="81"/>
  <c r="M22" i="81"/>
  <c r="F43" i="81"/>
  <c r="M8" i="80"/>
  <c r="F38" i="80"/>
  <c r="M24" i="80"/>
  <c r="F42" i="80"/>
  <c r="J15" i="80"/>
  <c r="F43" i="80"/>
  <c r="D6" i="73"/>
  <c r="M8" i="81"/>
  <c r="L48" i="81"/>
  <c r="F38" i="81"/>
  <c r="F42" i="81"/>
  <c r="M6" i="81"/>
  <c r="F13" i="81"/>
  <c r="M29" i="81"/>
  <c r="F40" i="81"/>
  <c r="F9" i="80"/>
  <c r="F16" i="80"/>
  <c r="M9" i="80"/>
  <c r="F6" i="80"/>
  <c r="F7" i="80"/>
  <c r="M26" i="80"/>
  <c r="C16" i="67"/>
  <c r="J15" i="81"/>
  <c r="M9" i="81"/>
  <c r="F9" i="81"/>
  <c r="F26" i="81"/>
  <c r="M23" i="81"/>
  <c r="L47" i="81"/>
  <c r="F40" i="80"/>
  <c r="M28" i="80"/>
  <c r="M6" i="80"/>
  <c r="F26" i="80"/>
  <c r="F36" i="80"/>
  <c r="L47" i="80"/>
  <c r="L48" i="80"/>
  <c r="C16" i="15"/>
  <c r="M27" i="81"/>
  <c r="F16" i="81"/>
  <c r="M24" i="81"/>
  <c r="F37" i="81"/>
  <c r="F36" i="81"/>
  <c r="F7" i="81"/>
  <c r="F8" i="80"/>
  <c r="C76" i="80"/>
  <c r="M23" i="80"/>
  <c r="F37" i="80"/>
  <c r="M22" i="80"/>
  <c r="F13" i="80"/>
  <c r="M29" i="80"/>
  <c r="G1" i="73"/>
  <c r="C44" i="43" l="1"/>
  <c r="J57" i="15"/>
  <c r="J55" i="15" s="1"/>
  <c r="J58" i="15" s="1"/>
  <c r="Q50" i="15" s="1"/>
  <c r="L58" i="15"/>
  <c r="Q60" i="15" s="1"/>
  <c r="J53" i="15"/>
  <c r="L56" i="15" s="1"/>
  <c r="I54" i="15"/>
  <c r="G6" i="1"/>
  <c r="E253" i="3"/>
  <c r="E128" i="3"/>
  <c r="E330" i="3"/>
  <c r="E424" i="3"/>
  <c r="E496" i="3"/>
  <c r="E256" i="3"/>
  <c r="E32" i="3"/>
  <c r="E164" i="3"/>
  <c r="E448" i="3"/>
  <c r="P6" i="3"/>
  <c r="E443" i="3"/>
  <c r="E558" i="3"/>
  <c r="E581" i="3"/>
  <c r="E444" i="3"/>
  <c r="E404" i="3"/>
  <c r="E88" i="3"/>
  <c r="E121" i="3"/>
  <c r="E166" i="3"/>
  <c r="E295" i="3"/>
  <c r="E316"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38" i="3"/>
  <c r="E120" i="3"/>
  <c r="E437" i="3"/>
  <c r="AE6" i="3"/>
  <c r="E73" i="3"/>
  <c r="E394" i="3"/>
  <c r="E236" i="3"/>
  <c r="AG6" i="3"/>
  <c r="E485" i="3"/>
  <c r="E400" i="3"/>
  <c r="E345" i="3"/>
  <c r="E557" i="3"/>
  <c r="E531" i="3"/>
  <c r="E489" i="3"/>
  <c r="E28" i="3"/>
  <c r="E70" i="3"/>
  <c r="E182" i="3"/>
  <c r="E211" i="3"/>
  <c r="E273" i="3"/>
  <c r="E377"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57" i="43"/>
  <c r="N57" i="43" s="1"/>
  <c r="K57" i="43"/>
  <c r="J57" i="43" s="1"/>
  <c r="D57" i="43" s="1"/>
  <c r="M56" i="43"/>
  <c r="N56" i="43" s="1"/>
  <c r="K56" i="43"/>
  <c r="K58" i="43"/>
  <c r="M58" i="43"/>
  <c r="N58" i="43" s="1"/>
  <c r="V10" i="86"/>
  <c r="W10" i="86" s="1"/>
  <c r="E46" i="39" s="1"/>
  <c r="V14" i="86"/>
  <c r="W14" i="86" s="1"/>
  <c r="I46" i="39" s="1"/>
  <c r="V8" i="86"/>
  <c r="W8" i="86" s="1"/>
  <c r="G46" i="39" s="1"/>
  <c r="W4" i="86"/>
  <c r="D51" i="71"/>
  <c r="C52" i="71"/>
  <c r="AB24" i="36"/>
  <c r="U24" i="36"/>
  <c r="AA9" i="36"/>
  <c r="S9" i="36"/>
  <c r="AA34" i="35"/>
  <c r="S34" i="35"/>
  <c r="BL5" i="3"/>
  <c r="F7" i="36"/>
  <c r="AA7" i="36" s="1"/>
  <c r="R36" i="36" s="1"/>
  <c r="J7" i="37"/>
  <c r="H7" i="36"/>
  <c r="U7" i="36" s="1"/>
  <c r="K53" i="43"/>
  <c r="M53" i="43"/>
  <c r="N53" i="43" s="1"/>
  <c r="M52" i="43"/>
  <c r="N52" i="43" s="1"/>
  <c r="K52" i="43"/>
  <c r="K55" i="43"/>
  <c r="M55" i="43"/>
  <c r="N55" i="43" s="1"/>
  <c r="M51" i="43"/>
  <c r="N51" i="43" s="1"/>
  <c r="K51" i="43"/>
  <c r="J51" i="43" s="1"/>
  <c r="D30" i="71"/>
  <c r="C31" i="71"/>
  <c r="AZ451" i="3"/>
  <c r="AZ438" i="3"/>
  <c r="AZ435" i="3"/>
  <c r="AZ419" i="3"/>
  <c r="AZ402" i="3"/>
  <c r="AZ5" i="3" s="1"/>
  <c r="U12" i="36"/>
  <c r="AB12" i="36"/>
  <c r="AB43" i="34"/>
  <c r="U43" i="34"/>
  <c r="BA5" i="3"/>
  <c r="S34" i="39"/>
  <c r="W34" i="39"/>
  <c r="AB17" i="39"/>
  <c r="U17" i="39"/>
  <c r="AC17" i="39"/>
  <c r="W17" i="39"/>
  <c r="AC27" i="33"/>
  <c r="W27" i="33"/>
  <c r="Q71" i="81"/>
  <c r="F51" i="81"/>
  <c r="F66" i="81"/>
  <c r="C6" i="81"/>
  <c r="C32" i="81" s="1"/>
  <c r="C27" i="81"/>
  <c r="F65" i="81"/>
  <c r="F64" i="81"/>
  <c r="F68" i="81"/>
  <c r="L59" i="81"/>
  <c r="M59" i="81"/>
  <c r="N59" i="81"/>
  <c r="M7" i="81"/>
  <c r="J6" i="81" s="1"/>
  <c r="J19" i="81" s="1"/>
  <c r="F50" i="81"/>
  <c r="F71" i="81"/>
  <c r="F68" i="80"/>
  <c r="F51" i="80"/>
  <c r="Q71" i="80"/>
  <c r="F66" i="80"/>
  <c r="C6" i="80"/>
  <c r="C32" i="80" s="1"/>
  <c r="F65" i="80"/>
  <c r="C27" i="80"/>
  <c r="F64" i="80"/>
  <c r="L59" i="80"/>
  <c r="N59" i="80"/>
  <c r="M59" i="80"/>
  <c r="L58" i="80"/>
  <c r="Q60" i="80" s="1"/>
  <c r="F50" i="80"/>
  <c r="M7" i="80"/>
  <c r="J6" i="80" s="1"/>
  <c r="J18" i="80" s="1"/>
  <c r="F71" i="80"/>
  <c r="L56" i="80"/>
  <c r="J53" i="80"/>
  <c r="F1" i="80" s="1"/>
  <c r="J57" i="80"/>
  <c r="J55" i="80" s="1"/>
  <c r="J58" i="80" s="1"/>
  <c r="Q50" i="80" s="1"/>
  <c r="I54" i="80"/>
  <c r="L57" i="80"/>
  <c r="L60" i="80"/>
  <c r="Q57" i="80" s="1"/>
  <c r="AA15" i="33"/>
  <c r="S15" i="3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76" i="3"/>
  <c r="E252" i="3"/>
  <c r="I6" i="3"/>
  <c r="E580" i="3"/>
  <c r="E274" i="3"/>
  <c r="E203" i="3"/>
  <c r="E55" i="3"/>
  <c r="E429" i="3"/>
  <c r="E344" i="3"/>
  <c r="E481" i="3"/>
  <c r="Q6" i="3"/>
  <c r="E177" i="3"/>
  <c r="E262" i="3"/>
  <c r="E434" i="3"/>
  <c r="E156"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J19" i="80"/>
  <c r="O7" i="1"/>
  <c r="P7" i="1" s="1"/>
  <c r="C33" i="81"/>
  <c r="U17" i="33"/>
  <c r="AB17" i="33"/>
  <c r="W17" i="33"/>
  <c r="AC17" i="33"/>
  <c r="N94" i="46"/>
  <c r="E26" i="43"/>
  <c r="J26" i="43"/>
  <c r="I54" i="81"/>
  <c r="L56" i="81"/>
  <c r="J57" i="81"/>
  <c r="J55" i="81" s="1"/>
  <c r="J58" i="81" s="1"/>
  <c r="Q50" i="81" s="1"/>
  <c r="L60" i="81"/>
  <c r="L58" i="81"/>
  <c r="L57" i="81"/>
  <c r="J53" i="81"/>
  <c r="G8" i="1"/>
  <c r="Q73" i="80"/>
  <c r="F11" i="81"/>
  <c r="M11" i="81"/>
  <c r="J10" i="81" s="1"/>
  <c r="F11" i="80"/>
  <c r="M11" i="80"/>
  <c r="J10" i="80" s="1"/>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N67" i="71"/>
  <c r="B66" i="71"/>
  <c r="AC38" i="40"/>
  <c r="W38" i="40"/>
  <c r="AA44" i="39"/>
  <c r="S44" i="39"/>
  <c r="AA26" i="37"/>
  <c r="S26" i="37"/>
  <c r="AA25" i="37"/>
  <c r="S25" i="37"/>
  <c r="U12" i="33"/>
  <c r="AB12" i="33"/>
  <c r="AB36" i="39"/>
  <c r="U36" i="39"/>
  <c r="AA31" i="39"/>
  <c r="S31" i="39"/>
  <c r="AA23" i="35"/>
  <c r="S23" i="35"/>
  <c r="E521" i="3"/>
  <c r="C15" i="71"/>
  <c r="T16" i="71"/>
  <c r="B15" i="71"/>
  <c r="B14" i="71" s="1"/>
  <c r="B13" i="71" s="1"/>
  <c r="B12" i="71" s="1"/>
  <c r="S16" i="71"/>
  <c r="D36" i="71"/>
  <c r="T36" i="71"/>
  <c r="AB39" i="40"/>
  <c r="U39" i="40"/>
  <c r="U38" i="40"/>
  <c r="AB38" i="40"/>
  <c r="U26" i="37"/>
  <c r="AB26" i="37"/>
  <c r="W25" i="37"/>
  <c r="AC25" i="37"/>
  <c r="W23" i="35"/>
  <c r="AC23" i="35"/>
  <c r="W44" i="39"/>
  <c r="AC44" i="39"/>
  <c r="AC36" i="39"/>
  <c r="W36" i="39"/>
  <c r="W31" i="39"/>
  <c r="AC31" i="39"/>
  <c r="AA27" i="34"/>
  <c r="S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
  <c r="E174" i="3"/>
  <c r="E234" i="3"/>
  <c r="E275" i="3"/>
  <c r="E235" i="3"/>
  <c r="E324" i="3"/>
  <c r="E383" i="3"/>
  <c r="E342" i="3"/>
  <c r="E522" i="3"/>
  <c r="E35" i="3"/>
  <c r="E86" i="3"/>
  <c r="E34" i="3"/>
  <c r="E49" i="3"/>
  <c r="E206" i="3"/>
  <c r="E232" i="3"/>
  <c r="E251" i="3"/>
  <c r="E340" i="3"/>
  <c r="E364" i="3"/>
  <c r="E50" i="3"/>
  <c r="E20" i="3"/>
  <c r="E62" i="3"/>
  <c r="E176" i="3"/>
  <c r="E218" i="3"/>
  <c r="E265" i="3"/>
  <c r="E308"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78" i="3"/>
  <c r="E100" i="3"/>
  <c r="E129" i="3"/>
  <c r="E170" i="3"/>
  <c r="E190" i="3"/>
  <c r="E137" i="3"/>
  <c r="E194" i="3"/>
  <c r="E220" i="3"/>
  <c r="E219" i="3"/>
  <c r="E299" i="3"/>
  <c r="E339" i="3"/>
  <c r="E325" i="3"/>
  <c r="E392" i="3"/>
  <c r="AQ6" i="3"/>
  <c r="E52" i="3"/>
  <c r="E36" i="3"/>
  <c r="E112" i="3"/>
  <c r="E123" i="3"/>
  <c r="E147" i="3"/>
  <c r="E289" i="3"/>
  <c r="E370" i="3"/>
  <c r="AF6" i="3"/>
  <c r="E102" i="3"/>
  <c r="E80" i="3"/>
  <c r="E113" i="3"/>
  <c r="E158" i="3"/>
  <c r="E287" i="3"/>
  <c r="E365" i="3"/>
  <c r="E524" i="3"/>
  <c r="E101" i="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D26" i="43"/>
  <c r="C25" i="43" s="1"/>
  <c r="C7" i="43"/>
  <c r="C5" i="43" s="1"/>
  <c r="D10" i="52"/>
  <c r="D125" i="9"/>
  <c r="D11" i="52" s="1"/>
  <c r="B7" i="74"/>
  <c r="C7" i="74" s="1"/>
  <c r="F67" i="39"/>
  <c r="F59" i="67"/>
  <c r="H7" i="37"/>
  <c r="AB7" i="37" s="1"/>
  <c r="T42" i="37" s="1"/>
  <c r="G42" i="37" s="1"/>
  <c r="B40" i="1"/>
  <c r="F24" i="81" s="1"/>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J18" i="67"/>
  <c r="C32" i="15"/>
  <c r="F1" i="67"/>
  <c r="Q52" i="67"/>
  <c r="Q61" i="67"/>
  <c r="Q74" i="67"/>
  <c r="Q74" i="15"/>
  <c r="Q61" i="15"/>
  <c r="AE11" i="1"/>
  <c r="AE9" i="1"/>
  <c r="F27" i="68"/>
  <c r="AE12" i="1"/>
  <c r="AE10" i="1"/>
  <c r="AE7" i="1"/>
  <c r="F41" i="67"/>
  <c r="C16" i="81"/>
  <c r="AE6" i="1"/>
  <c r="F41" i="80"/>
  <c r="C16" i="80"/>
  <c r="Q52" i="15" l="1"/>
  <c r="G16" i="1"/>
  <c r="AA10" i="39" s="1"/>
  <c r="Q73" i="15"/>
  <c r="AY6" i="3"/>
  <c r="E3" i="6"/>
  <c r="J52" i="43"/>
  <c r="D52" i="43"/>
  <c r="T52" i="71"/>
  <c r="D52" i="71"/>
  <c r="I53" i="39"/>
  <c r="J53" i="39" s="1"/>
  <c r="V46" i="39"/>
  <c r="J56" i="43"/>
  <c r="D56" i="43"/>
  <c r="AC6" i="3"/>
  <c r="D31" i="71"/>
  <c r="C32" i="71"/>
  <c r="J55" i="43"/>
  <c r="D55" i="43"/>
  <c r="J53" i="43"/>
  <c r="D53" i="43"/>
  <c r="G53" i="39"/>
  <c r="H53" i="39" s="1"/>
  <c r="T46" i="39"/>
  <c r="E53" i="39"/>
  <c r="F53" i="39" s="1"/>
  <c r="R46" i="39"/>
  <c r="J58" i="43"/>
  <c r="D58" i="43"/>
  <c r="Q52" i="80"/>
  <c r="J18" i="81"/>
  <c r="J5" i="80"/>
  <c r="J26" i="80" s="1"/>
  <c r="J29" i="80" s="1"/>
  <c r="J5" i="81"/>
  <c r="J26" i="81" s="1"/>
  <c r="C49" i="80"/>
  <c r="C61" i="80" s="1"/>
  <c r="C49" i="81"/>
  <c r="C61" i="81" s="1"/>
  <c r="S10" i="39"/>
  <c r="H10" i="40"/>
  <c r="AB10" i="40" s="1"/>
  <c r="Q66" i="80"/>
  <c r="C33" i="80"/>
  <c r="Q61" i="80"/>
  <c r="Q74" i="80"/>
  <c r="Q61" i="81"/>
  <c r="Q74" i="81"/>
  <c r="F10" i="40"/>
  <c r="S10" i="40" s="1"/>
  <c r="W10" i="39"/>
  <c r="U10" i="39"/>
  <c r="Q66" i="81"/>
  <c r="Q57" i="81"/>
  <c r="F1" i="81"/>
  <c r="Q52" i="81"/>
  <c r="Q73" i="81"/>
  <c r="Q60" i="81"/>
  <c r="C24" i="81"/>
  <c r="C53" i="81"/>
  <c r="C10" i="81"/>
  <c r="C5" i="81" s="1"/>
  <c r="F69" i="80"/>
  <c r="L36" i="43"/>
  <c r="P36" i="43" s="1"/>
  <c r="F24" i="80"/>
  <c r="C53" i="80"/>
  <c r="C10" i="80"/>
  <c r="C5" i="80" s="1"/>
  <c r="B11" i="71"/>
  <c r="B10" i="71" s="1"/>
  <c r="B9" i="71" s="1"/>
  <c r="B8" i="71" s="1"/>
  <c r="B7" i="71" s="1"/>
  <c r="B6" i="71" s="1"/>
  <c r="B5" i="71" s="1"/>
  <c r="S12" i="71"/>
  <c r="D15" i="71"/>
  <c r="C14" i="71"/>
  <c r="N66" i="71"/>
  <c r="N65"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5"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7"/>
  <c r="AB10" i="39"/>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67"/>
  <c r="C17" i="81"/>
  <c r="M27" i="15"/>
  <c r="F41" i="15"/>
  <c r="M27" i="80"/>
  <c r="J24" i="81" l="1"/>
  <c r="J10" i="40"/>
  <c r="T32" i="71"/>
  <c r="D32" i="71"/>
  <c r="E50" i="43"/>
  <c r="B48" i="43" s="1"/>
  <c r="C28" i="43" s="1"/>
  <c r="B14" i="74"/>
  <c r="B1" i="74" s="1"/>
  <c r="U10" i="40"/>
  <c r="R50" i="34"/>
  <c r="C49" i="34" s="1"/>
  <c r="G54" i="34"/>
  <c r="H54" i="34" s="1"/>
  <c r="C48" i="81"/>
  <c r="C66" i="81" s="1"/>
  <c r="J24" i="80"/>
  <c r="C48" i="80"/>
  <c r="C60" i="80" s="1"/>
  <c r="AA10" i="40"/>
  <c r="E8" i="70"/>
  <c r="N36" i="43"/>
  <c r="O36" i="43"/>
  <c r="L37" i="43"/>
  <c r="M37" i="43" s="1"/>
  <c r="C38" i="81"/>
  <c r="C38" i="80"/>
  <c r="M36" i="43"/>
  <c r="Q36" i="43"/>
  <c r="C24" i="80"/>
  <c r="D116" i="43"/>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81"/>
  <c r="F41" i="81"/>
  <c r="C17" i="67"/>
  <c r="C17" i="80"/>
  <c r="C17" i="15"/>
  <c r="C14" i="67"/>
  <c r="AC10" i="40" l="1"/>
  <c r="W10" i="40"/>
  <c r="C25" i="11"/>
  <c r="B2" i="74"/>
  <c r="C14" i="74"/>
  <c r="T15" i="43"/>
  <c r="V15" i="43" s="1"/>
  <c r="T11" i="43"/>
  <c r="V11" i="43" s="1"/>
  <c r="T7" i="43"/>
  <c r="V7" i="43" s="1"/>
  <c r="T14" i="43"/>
  <c r="V14" i="43" s="1"/>
  <c r="T10" i="43"/>
  <c r="V10" i="43" s="1"/>
  <c r="T4" i="43"/>
  <c r="V4" i="43" s="1"/>
  <c r="T2" i="43"/>
  <c r="V2" i="43" s="1"/>
  <c r="T5" i="43"/>
  <c r="V5" i="43" s="1"/>
  <c r="C40" i="43"/>
  <c r="C41" i="43"/>
  <c r="C39" i="43"/>
  <c r="C38" i="43"/>
  <c r="C42" i="43"/>
  <c r="T13" i="43"/>
  <c r="V13" i="43" s="1"/>
  <c r="T9" i="43"/>
  <c r="V9" i="43" s="1"/>
  <c r="T16" i="43"/>
  <c r="V16" i="43" s="1"/>
  <c r="T12" i="43"/>
  <c r="V12" i="43" s="1"/>
  <c r="T8" i="43"/>
  <c r="V8" i="43" s="1"/>
  <c r="T3" i="43"/>
  <c r="V3" i="43" s="1"/>
  <c r="T6" i="43"/>
  <c r="V6" i="43" s="1"/>
  <c r="C33" i="43"/>
  <c r="C37" i="43"/>
  <c r="C50" i="34"/>
  <c r="C66" i="80"/>
  <c r="C60" i="81"/>
  <c r="P37" i="43"/>
  <c r="C15" i="81"/>
  <c r="C18" i="81"/>
  <c r="E7" i="70"/>
  <c r="F69" i="81"/>
  <c r="J29" i="81"/>
  <c r="N37" i="43"/>
  <c r="Q37" i="43"/>
  <c r="O37" i="43"/>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C14" i="15"/>
  <c r="C14" i="80"/>
  <c r="E37" i="43" l="1"/>
  <c r="G37" i="43"/>
  <c r="I37" i="43" s="1"/>
  <c r="E38" i="43"/>
  <c r="G38" i="43"/>
  <c r="I38" i="43" s="1"/>
  <c r="E41" i="43"/>
  <c r="G41" i="43"/>
  <c r="I41" i="43" s="1"/>
  <c r="C34" i="43"/>
  <c r="E34" i="43" s="1"/>
  <c r="C31" i="43" s="1"/>
  <c r="E33" i="43"/>
  <c r="E42" i="43"/>
  <c r="G42" i="43"/>
  <c r="I42" i="43" s="1"/>
  <c r="E39" i="43"/>
  <c r="G39" i="43"/>
  <c r="I39" i="43" s="1"/>
  <c r="E40" i="43"/>
  <c r="G40" i="43"/>
  <c r="I40" i="43" s="1"/>
  <c r="S24" i="31"/>
  <c r="R26" i="31"/>
  <c r="S26" i="31" s="1"/>
  <c r="R25" i="31"/>
  <c r="S25" i="31" s="1"/>
  <c r="R27" i="31"/>
  <c r="S27" i="31" s="1"/>
  <c r="C19" i="81"/>
  <c r="C20" i="81" s="1"/>
  <c r="C26" i="81" s="1"/>
  <c r="C15" i="80"/>
  <c r="C18" i="80"/>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0" i="43" l="1"/>
  <c r="S22" i="31"/>
  <c r="C19" i="80"/>
  <c r="C20" i="80" s="1"/>
  <c r="C26" i="80" s="1"/>
  <c r="C23" i="81"/>
  <c r="C29" i="81" s="1"/>
  <c r="C57" i="81" s="1"/>
  <c r="C64" i="81" s="1"/>
  <c r="C21" i="12"/>
  <c r="C22"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E2" i="76" l="1"/>
  <c r="B2" i="43"/>
  <c r="R22" i="31"/>
  <c r="B20" i="31"/>
  <c r="B21" i="31" s="1"/>
  <c r="J14" i="81"/>
  <c r="J13" i="81" s="1"/>
  <c r="J23" i="81" s="1"/>
  <c r="Q49" i="81"/>
  <c r="C13" i="81"/>
  <c r="C75" i="81" s="1"/>
  <c r="J59" i="81"/>
  <c r="J60" i="81" s="1"/>
  <c r="L46" i="81" s="1"/>
  <c r="C36" i="81"/>
  <c r="C23" i="80"/>
  <c r="C29" i="80" s="1"/>
  <c r="C30" i="12"/>
  <c r="C28" i="12" s="1"/>
  <c r="C27" i="12"/>
  <c r="C25"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81"/>
  <c r="F35" i="80"/>
  <c r="M21" i="67"/>
  <c r="F35" i="67"/>
  <c r="M21" i="81"/>
  <c r="B6" i="76"/>
  <c r="M21" i="15"/>
  <c r="M21" i="80"/>
  <c r="B2" i="76" l="1"/>
  <c r="B3" i="76" s="1"/>
  <c r="B3" i="43"/>
  <c r="J22" i="81"/>
  <c r="C37" i="81"/>
  <c r="Q70" i="81"/>
  <c r="C56" i="81"/>
  <c r="C65" i="81" s="1"/>
  <c r="Q48" i="81"/>
  <c r="C36" i="80"/>
  <c r="C13" i="80"/>
  <c r="J59" i="80"/>
  <c r="J60" i="80" s="1"/>
  <c r="C57" i="80"/>
  <c r="C64" i="80" s="1"/>
  <c r="J14" i="80"/>
  <c r="Q49" i="80"/>
  <c r="J20" i="81"/>
  <c r="J17" i="81" s="1"/>
  <c r="F63" i="81"/>
  <c r="C62" i="81" s="1"/>
  <c r="C59" i="81" s="1"/>
  <c r="C34" i="81"/>
  <c r="C31" i="81" s="1"/>
  <c r="C30" i="81" s="1"/>
  <c r="C39" i="81" s="1"/>
  <c r="J20" i="80"/>
  <c r="J17" i="80" s="1"/>
  <c r="F63" i="80"/>
  <c r="C62" i="80" s="1"/>
  <c r="C59" i="80" s="1"/>
  <c r="C34" i="80"/>
  <c r="C31" i="80"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1" l="1"/>
  <c r="J25" i="81" s="1"/>
  <c r="C58" i="81"/>
  <c r="C67" i="81" s="1"/>
  <c r="C68" i="81" s="1"/>
  <c r="C71" i="81" s="1"/>
  <c r="C75" i="80"/>
  <c r="C37" i="80"/>
  <c r="C30" i="80" s="1"/>
  <c r="C39" i="80" s="1"/>
  <c r="Q70" i="80"/>
  <c r="C56" i="80"/>
  <c r="C65" i="80" s="1"/>
  <c r="C58" i="80" s="1"/>
  <c r="C67" i="80" s="1"/>
  <c r="C68" i="80" s="1"/>
  <c r="C71" i="80" s="1"/>
  <c r="J13" i="80"/>
  <c r="J23" i="80" s="1"/>
  <c r="J22" i="80"/>
  <c r="Q48" i="80"/>
  <c r="L46" i="80"/>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L51" i="81"/>
  <c r="J16" i="80" l="1"/>
  <c r="J25" i="80" s="1"/>
  <c r="C40" i="80"/>
  <c r="B2" i="80" s="1"/>
  <c r="B3" i="80" s="1"/>
  <c r="Q69" i="80"/>
  <c r="Q68" i="80" s="1"/>
  <c r="C80" i="80"/>
  <c r="C79" i="80" s="1"/>
  <c r="Q67" i="81"/>
  <c r="Q47" i="81"/>
  <c r="Q53" i="81" s="1"/>
  <c r="B2" i="81"/>
  <c r="B3" i="81" s="1"/>
  <c r="Q65" i="81"/>
  <c r="Q75" i="81" s="1"/>
  <c r="Q56" i="81"/>
  <c r="Q62" i="81" s="1"/>
  <c r="C43" i="81"/>
  <c r="C83" i="81"/>
  <c r="C82" i="81" s="1"/>
  <c r="C46" i="81"/>
  <c r="Q67" i="80"/>
  <c r="D7" i="71"/>
  <c r="C6" i="71"/>
  <c r="C80" i="67"/>
  <c r="C79" i="67" s="1"/>
  <c r="C40" i="67"/>
  <c r="C45" i="67" s="1"/>
  <c r="C56" i="11"/>
  <c r="C57" i="11" s="1"/>
  <c r="B2" i="21"/>
  <c r="B3" i="21" s="1"/>
  <c r="J16" i="15"/>
  <c r="J25" i="15" s="1"/>
  <c r="J26" i="15" s="1"/>
  <c r="J29" i="15" s="1"/>
  <c r="C58" i="15"/>
  <c r="C67" i="15" s="1"/>
  <c r="C68" i="15" s="1"/>
  <c r="C71" i="15" s="1"/>
  <c r="C30" i="15"/>
  <c r="C39" i="15" s="1"/>
  <c r="O67" i="39"/>
  <c r="N69" i="39"/>
  <c r="C39" i="35"/>
  <c r="C38" i="35"/>
  <c r="N63" i="40"/>
  <c r="M65" i="40"/>
  <c r="E43" i="35"/>
  <c r="F43" i="35" s="1"/>
  <c r="E42" i="35"/>
  <c r="F42" i="35" s="1"/>
  <c r="I43" i="35"/>
  <c r="J43" i="35" s="1"/>
  <c r="L51" i="67"/>
  <c r="D2" i="33"/>
  <c r="O69" i="39" l="1"/>
  <c r="P67" i="39"/>
  <c r="Q69" i="15"/>
  <c r="Q68" i="15" s="1"/>
  <c r="H39" i="15"/>
  <c r="Q47" i="80"/>
  <c r="Q53" i="80" s="1"/>
  <c r="C43" i="80"/>
  <c r="C46" i="80"/>
  <c r="Q65" i="80"/>
  <c r="Q75" i="80" s="1"/>
  <c r="C83" i="80"/>
  <c r="C82"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O63" i="40"/>
  <c r="O65" i="40" s="1"/>
  <c r="N65" i="40"/>
  <c r="D2" i="37"/>
  <c r="D2" i="36"/>
  <c r="L51" i="15"/>
  <c r="D2" i="35"/>
  <c r="D2" i="34"/>
  <c r="Q67" i="39" l="1"/>
  <c r="P69" i="39"/>
  <c r="Q57" i="67"/>
  <c r="Q62" i="67" s="1"/>
  <c r="Q66" i="67"/>
  <c r="Q75" i="67" s="1"/>
  <c r="M24" i="43"/>
  <c r="B3" i="67"/>
  <c r="L57" i="15"/>
  <c r="L60" i="15" s="1"/>
  <c r="Q57" i="15" s="1"/>
  <c r="Q67" i="15"/>
  <c r="B2" i="36"/>
  <c r="B3" i="36" s="1"/>
  <c r="B2" i="35"/>
  <c r="B3" i="35" s="1"/>
  <c r="M3" i="35"/>
  <c r="B2" i="37"/>
  <c r="B3" i="37" s="1"/>
  <c r="B2" i="34"/>
  <c r="Q47" i="15"/>
  <c r="Q53" i="15" s="1"/>
  <c r="C43" i="15"/>
  <c r="Q65" i="15"/>
  <c r="C83" i="15"/>
  <c r="C82" i="15" s="1"/>
  <c r="Q56" i="15"/>
  <c r="J7" i="40"/>
  <c r="F7" i="40"/>
  <c r="H7" i="40"/>
  <c r="AO8" i="1"/>
  <c r="AO12" i="1"/>
  <c r="AO9" i="1"/>
  <c r="AO7" i="1"/>
  <c r="AO11" i="1"/>
  <c r="AO10" i="1"/>
  <c r="R67" i="39" l="1"/>
  <c r="Q69" i="39"/>
  <c r="B3" i="34"/>
  <c r="L46" i="15"/>
  <c r="B2" i="15" s="1"/>
  <c r="Q66" i="15"/>
  <c r="Q75" i="15" s="1"/>
  <c r="Q62" i="15"/>
  <c r="B9" i="70"/>
  <c r="B11" i="70"/>
  <c r="B7" i="70"/>
  <c r="B10" i="70"/>
  <c r="B12" i="70"/>
  <c r="B8" i="70"/>
  <c r="U7" i="40"/>
  <c r="AB7" i="40"/>
  <c r="T42" i="40" s="1"/>
  <c r="G42" i="40" s="1"/>
  <c r="AA7" i="40"/>
  <c r="R42" i="40" s="1"/>
  <c r="S7" i="40"/>
  <c r="AC7" i="40"/>
  <c r="V42" i="40" s="1"/>
  <c r="I42" i="40" s="1"/>
  <c r="W7" i="40"/>
  <c r="AO6" i="1"/>
  <c r="S67" i="39" l="1"/>
  <c r="R69" i="39"/>
  <c r="B6" i="70"/>
  <c r="B2" i="70" s="1"/>
  <c r="D20" i="70" s="1"/>
  <c r="D21" i="70" s="1"/>
  <c r="D22" i="70" s="1"/>
  <c r="B3" i="15"/>
  <c r="I46" i="40"/>
  <c r="J46" i="40" s="1"/>
  <c r="R43" i="40"/>
  <c r="E42" i="40"/>
  <c r="G47" i="40"/>
  <c r="H47" i="40" s="1"/>
  <c r="G46" i="40"/>
  <c r="H46" i="40" s="1"/>
  <c r="D19" i="9"/>
  <c r="T67" i="39" l="1"/>
  <c r="S69" i="39"/>
  <c r="D21" i="9"/>
  <c r="D102" i="9"/>
  <c r="B3" i="70"/>
  <c r="C42" i="40"/>
  <c r="C43" i="40"/>
  <c r="E47" i="40"/>
  <c r="F47" i="40" s="1"/>
  <c r="E46" i="40"/>
  <c r="F46" i="40" s="1"/>
  <c r="I47" i="40"/>
  <c r="J47" i="40" s="1"/>
  <c r="D20" i="9"/>
  <c r="U67" i="39" l="1"/>
  <c r="T69"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V67" i="39" l="1"/>
  <c r="U69" i="39"/>
  <c r="W67" i="39" l="1"/>
  <c r="V69" i="39"/>
  <c r="X67" i="39" l="1"/>
  <c r="W69" i="39"/>
  <c r="Y67" i="39" l="1"/>
  <c r="X69" i="39"/>
  <c r="Z67" i="39" l="1"/>
  <c r="Y69" i="39"/>
  <c r="AA67" i="39" l="1"/>
  <c r="AA69" i="39" s="1"/>
  <c r="Z69" i="39"/>
  <c r="F7" i="39" l="1"/>
  <c r="H7" i="39"/>
  <c r="J7" i="39"/>
  <c r="W7" i="39" l="1"/>
  <c r="AC7" i="39"/>
  <c r="V47" i="39" s="1"/>
  <c r="I47" i="39" s="1"/>
  <c r="AB7" i="39"/>
  <c r="T47" i="39" s="1"/>
  <c r="G47" i="39" s="1"/>
  <c r="U7" i="39"/>
  <c r="S7" i="39"/>
  <c r="AA7" i="39"/>
  <c r="R47" i="39" s="1"/>
  <c r="E47" i="39" l="1"/>
  <c r="R48" i="39"/>
  <c r="I52" i="39"/>
  <c r="J52" i="39" s="1"/>
  <c r="I51" i="39"/>
  <c r="J51" i="39" s="1"/>
  <c r="G52" i="39"/>
  <c r="H52" i="39" s="1"/>
  <c r="G51" i="39"/>
  <c r="H51" i="39" s="1"/>
  <c r="C47" i="39" l="1"/>
  <c r="C48" i="39"/>
  <c r="E51" i="39"/>
  <c r="F51" i="39" s="1"/>
  <c r="E52" i="39"/>
  <c r="F52" i="39" s="1"/>
  <c r="B56" i="39" l="1"/>
  <c r="F56" i="39" s="1"/>
  <c r="F65" i="39" s="1"/>
  <c r="B2" i="39" s="1"/>
  <c r="B62" i="39"/>
  <c r="F62" i="39" s="1"/>
  <c r="B57" i="39"/>
  <c r="F57" i="39" s="1"/>
  <c r="B59" i="39"/>
  <c r="F59" i="39" s="1"/>
  <c r="B61" i="39"/>
  <c r="F61" i="39" s="1"/>
  <c r="B60" i="39"/>
  <c r="F60" i="39" s="1"/>
  <c r="B63" i="39"/>
  <c r="F63" i="39" s="1"/>
  <c r="B58" i="39"/>
  <c r="F58" i="39" s="1"/>
  <c r="B64" i="39"/>
  <c r="F64" i="39" s="1"/>
  <c r="C6" i="68" l="1"/>
  <c r="C7" i="68" s="1"/>
  <c r="C5" i="68" s="1"/>
  <c r="B3" i="39"/>
  <c r="C23" i="68" l="1"/>
  <c r="C20" i="68"/>
  <c r="C25" i="68" s="1"/>
  <c r="C22" i="68" l="1"/>
  <c r="C28" i="68"/>
  <c r="C27" i="68" s="1"/>
  <c r="C31" i="68" l="1"/>
  <c r="C52" i="68" s="1"/>
  <c r="B2" i="68" s="1"/>
  <c r="C19" i="9"/>
  <c r="B3" i="68" l="1"/>
  <c r="G19" i="9"/>
  <c r="D22" i="9"/>
  <c r="C21" i="9"/>
  <c r="C102" i="9"/>
  <c r="C57" i="68"/>
  <c r="C56" i="68" s="1"/>
  <c r="C20" i="9"/>
  <c r="D34" i="9"/>
  <c r="D35" i="9"/>
  <c r="G20" i="9" l="1"/>
  <c r="C103" i="9"/>
  <c r="G21" i="9"/>
  <c r="C32" i="9"/>
  <c r="H118" i="9" s="1"/>
  <c r="C35" i="9" l="1"/>
  <c r="F118" i="9" s="1"/>
  <c r="F4" i="52" s="1"/>
  <c r="B51" i="72" s="1"/>
  <c r="I118" i="9"/>
  <c r="D14" i="74"/>
  <c r="H4" i="52"/>
  <c r="C104" i="9"/>
  <c r="H119" i="9"/>
  <c r="H5" i="52" s="1"/>
  <c r="H101" i="9"/>
  <c r="G118" i="9" l="1"/>
  <c r="G4" i="52" s="1"/>
  <c r="B52" i="72" s="1"/>
  <c r="F119" i="9"/>
  <c r="F5" i="52" s="1"/>
  <c r="B53" i="72" s="1"/>
  <c r="C34" i="9"/>
  <c r="D118" i="9" s="1"/>
  <c r="I4" i="52"/>
  <c r="H102" i="9"/>
  <c r="D7" i="53" s="1"/>
  <c r="B21" i="72" s="1"/>
  <c r="C105" i="9"/>
  <c r="M48" i="9"/>
  <c r="D45" i="9"/>
  <c r="D5" i="53"/>
  <c r="H107" i="9"/>
  <c r="G14" i="74"/>
  <c r="B6" i="74" s="1"/>
  <c r="F14" i="74"/>
  <c r="E14" i="74"/>
  <c r="B5" i="74"/>
  <c r="E118" i="9" l="1"/>
  <c r="E4" i="52" s="1"/>
  <c r="B48" i="72" s="1"/>
  <c r="D119" i="9"/>
  <c r="D5" i="52" s="1"/>
  <c r="B49" i="72" s="1"/>
  <c r="D4" i="52"/>
  <c r="B47" i="72" s="1"/>
  <c r="C5" i="74"/>
  <c r="D5" i="74"/>
  <c r="D13" i="53"/>
  <c r="M49" i="9"/>
  <c r="D122" i="9"/>
  <c r="H108" i="9"/>
  <c r="D15" i="53" s="1"/>
  <c r="B31" i="72" s="1"/>
  <c r="D52" i="9"/>
  <c r="C72" i="9"/>
  <c r="D55" i="9"/>
  <c r="M53" i="9" s="1"/>
  <c r="C93" i="9"/>
  <c r="C86" i="9" s="1"/>
  <c r="C85" i="9"/>
  <c r="D53" i="9"/>
  <c r="C78" i="9"/>
  <c r="C73" i="9" s="1"/>
  <c r="C64" i="9"/>
  <c r="C63" i="9" s="1"/>
  <c r="C67" i="9" s="1"/>
  <c r="D6" i="74"/>
  <c r="C6" i="74"/>
  <c r="B20" i="72"/>
  <c r="D6" i="53"/>
  <c r="B22" i="72" s="1"/>
  <c r="C79" i="9" l="1"/>
  <c r="L67" i="9"/>
  <c r="M67" i="9" s="1"/>
  <c r="L63" i="9"/>
  <c r="M63" i="9" s="1"/>
  <c r="L64" i="9"/>
  <c r="M64" i="9" s="1"/>
  <c r="L68" i="9"/>
  <c r="M68" i="9" s="1"/>
  <c r="L66" i="9"/>
  <c r="M66" i="9" s="1"/>
  <c r="L65" i="9"/>
  <c r="M65" i="9" s="1"/>
  <c r="D59" i="9"/>
  <c r="M55" i="9" s="1"/>
  <c r="C68" i="9"/>
  <c r="D54" i="9" s="1"/>
  <c r="C95" i="9"/>
  <c r="D8" i="52"/>
  <c r="D123" i="9"/>
  <c r="D9" i="52" s="1"/>
  <c r="D14" i="53"/>
  <c r="B32" i="72" s="1"/>
  <c r="B30" i="72"/>
  <c r="C96" i="9" l="1"/>
  <c r="E96" i="9" s="1"/>
  <c r="E97" i="9" s="1"/>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<sst xmlns="http://schemas.openxmlformats.org/spreadsheetml/2006/main" count="9115" uniqueCount="3645">
  <si>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</si>
  <si>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</si>
  <si>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</si>
  <si>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</si>
  <si>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</si>
  <si>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</si>
  <si>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</si>
  <si>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</si>
  <si>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</si>
  <si>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</si>
  <si>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</si>
  <si>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</si>
  <si>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</si>
  <si>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</si>
  <si>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</si>
  <si>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</si>
  <si>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</si>
  <si>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</si>
  <si>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</si>
  <si>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</si>
  <si>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</si>
  <si>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</si>
  <si>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</si>
  <si>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</si>
  <si>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</si>
  <si>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</si>
  <si>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</si>
  <si>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</si>
  <si>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</si>
  <si>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</si>
  <si>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</si>
  <si>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</si>
  <si>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</si>
  <si>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</si>
  <si>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</si>
  <si>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</si>
  <si>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</si>
  <si>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</si>
  <si>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</si>
  <si>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</si>
  <si>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</si>
  <si>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</si>
  <si>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</si>
  <si>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</si>
  <si>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</si>
  <si>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</si>
  <si>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</si>
  <si>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</si>
  <si>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</si>
  <si>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</si>
  <si>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</si>
  <si>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</si>
  <si>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</si>
  <si>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</si>
  <si>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</si>
  <si>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</si>
  <si>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</si>
  <si>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</si>
  <si>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</si>
  <si>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</si>
  <si>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</si>
  <si>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</si>
  <si>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</si>
  <si>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</si>
  <si>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</si>
  <si>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</si>
  <si>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</si>
  <si>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</si>
  <si>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</si>
  <si>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</si>
  <si>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</si>
  <si>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</si>
  <si>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</si>
  <si>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</si>
  <si>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</si>
  <si>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</si>
  <si>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</si>
  <si>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</si>
  <si>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</si>
  <si>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</si>
  <si>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</si>
  <si>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</si>
  <si>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</si>
  <si>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</si>
  <si>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</si>
  <si>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</si>
  <si>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</si>
  <si>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</si>
  <si>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</si>
  <si>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</si>
  <si>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</si>
  <si>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</si>
  <si>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</si>
  <si>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</si>
  <si>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</si>
  <si>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</si>
  <si>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</si>
  <si>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</si>
  <si>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</si>
  <si>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</si>
  <si>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</si>
  <si>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</si>
  <si>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</si>
  <si>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</si>
  <si>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</si>
  <si>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</si>
  <si>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</si>
  <si>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</si>
  <si>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</si>
  <si>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</si>
  <si>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</si>
  <si>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</si>
  <si>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</si>
  <si>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</si>
  <si>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</si>
  <si>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</si>
  <si>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</si>
  <si>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</si>
  <si>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</si>
  <si>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</si>
  <si>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</si>
  <si>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</si>
  <si>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</si>
  <si>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</si>
  <si>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</si>
  <si>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</si>
  <si>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</si>
  <si>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</si>
  <si>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</si>
  <si>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</si>
  <si>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</si>
  <si>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</si>
  <si>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</si>
  <si>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</si>
  <si>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</si>
  <si>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</si>
  <si>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</si>
  <si>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</si>
  <si>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</si>
  <si>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</si>
  <si>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</si>
  <si>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</si>
  <si>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</si>
  <si>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</si>
  <si>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</si>
  <si>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</si>
  <si>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</si>
  <si>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</si>
  <si>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</si>
  <si>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</si>
  <si>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</si>
  <si>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</si>
  <si>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</si>
  <si>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</si>
  <si>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</si>
  <si>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</si>
  <si>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</si>
  <si>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</si>
  <si>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</si>
  <si>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</si>
  <si>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</si>
  <si>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</si>
  <si>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</si>
  <si>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</si>
  <si>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</si>
  <si>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</si>
  <si>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</si>
  <si>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</si>
  <si>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</si>
  <si>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</si>
  <si>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</si>
  <si>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</si>
  <si>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</si>
  <si>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</si>
  <si>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</si>
  <si>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</si>
  <si>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</si>
  <si>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</si>
  <si>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</si>
  <si>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</si>
  <si>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</si>
  <si>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</si>
  <si>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</si>
  <si>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</si>
  <si>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</si>
  <si>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</si>
  <si>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</si>
  <si>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</si>
  <si>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</si>
  <si>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</si>
  <si>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</si>
  <si>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</si>
  <si>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</si>
  <si>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</si>
  <si>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</si>
  <si>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</si>
  <si>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</si>
  <si>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</si>
  <si>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</si>
  <si>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</si>
  <si>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</si>
  <si>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</si>
  <si>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</si>
  <si>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</si>
  <si>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</si>
  <si>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</si>
  <si>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</si>
  <si>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</si>
  <si>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</si>
  <si>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</si>
  <si>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</si>
  <si>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</si>
  <si>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</si>
  <si>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</si>
  <si>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</si>
  <si>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</si>
  <si>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</si>
  <si>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</si>
  <si>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</si>
  <si>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</si>
  <si>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</si>
  <si>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</si>
  <si>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</si>
  <si>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</si>
  <si>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</si>
  <si>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</si>
  <si>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</si>
  <si>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</si>
  <si>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</si>
  <si>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</si>
  <si>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</si>
  <si>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</si>
  <si>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</si>
  <si>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</si>
  <si>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</si>
  <si>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</si>
  <si>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</si>
  <si>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</si>
  <si>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</si>
  <si>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</si>
  <si>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</si>
  <si>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</si>
  <si>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</si>
  <si>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</si>
  <si>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</si>
  <si>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</si>
  <si>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</si>
  <si>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</si>
  <si>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</si>
  <si>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</si>
  <si>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</si>
  <si>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</si>
  <si>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</si>
  <si>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</si>
  <si>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</si>
  <si>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</si>
  <si>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</si>
  <si>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</si>
  <si>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</si>
  <si>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</si>
  <si>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</si>
  <si>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</si>
  <si>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</si>
  <si>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</si>
  <si>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</si>
  <si>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</si>
  <si>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</si>
  <si>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</si>
  <si>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</si>
  <si>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</si>
  <si>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</si>
  <si>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</si>
  <si>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</si>
  <si>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</si>
  <si>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</si>
  <si>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</si>
  <si>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</si>
  <si>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</si>
  <si>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</si>
  <si>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</si>
  <si>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</si>
  <si>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</si>
  <si>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</si>
  <si>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</si>
  <si>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</si>
  <si>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</si>
  <si>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</si>
  <si>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</si>
  <si>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</si>
  <si>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</si>
  <si>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</si>
  <si>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</si>
  <si>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</si>
  <si>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</si>
  <si>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</si>
  <si>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</si>
  <si>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</si>
  <si>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</si>
  <si>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</si>
  <si>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</si>
  <si>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</si>
  <si>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</si>
  <si>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</si>
  <si>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</si>
  <si>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</si>
  <si>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</si>
  <si>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</si>
  <si>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</si>
  <si>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</si>
  <si>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</si>
  <si>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</si>
  <si>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</si>
  <si>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</si>
  <si>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</si>
  <si>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</si>
  <si>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</si>
  <si>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</si>
  <si>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</si>
  <si>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</si>
  <si>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</si>
  <si>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</si>
  <si>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</si>
  <si>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</si>
  <si>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</si>
  <si>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</si>
  <si>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</si>
  <si>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</si>
  <si>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</si>
  <si>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</si>
  <si>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</si>
  <si>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</si>
  <si>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</si>
  <si>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</si>
  <si>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</si>
  <si>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</si>
  <si>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</si>
  <si>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</si>
  <si>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</si>
  <si>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</si>
  <si>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</si>
  <si>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</si>
  <si>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</si>
  <si>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</si>
  <si>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</si>
  <si>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</si>
  <si>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</si>
  <si>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</si>
  <si>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</si>
  <si>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</si>
  <si>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</si>
  <si>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</si>
  <si>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</si>
  <si>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</si>
  <si>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</si>
  <si>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</si>
  <si>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</si>
  <si>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</si>
  <si>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</si>
  <si>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</si>
  <si>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</si>
  <si>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</si>
  <si>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</si>
  <si>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</si>
  <si>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</si>
  <si>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</si>
  <si>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</si>
  <si>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</si>
  <si>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</si>
  <si>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</si>
  <si>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</si>
  <si>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</si>
  <si>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</si>
  <si>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</si>
  <si>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</si>
  <si>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</si>
  <si>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</si>
  <si>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</si>
  <si>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</si>
  <si>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</si>
  <si>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</si>
  <si>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</si>
  <si>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</si>
  <si>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</si>
  <si>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</si>
  <si>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</si>
  <si>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</si>
  <si>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</si>
  <si>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</si>
  <si>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</si>
  <si>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</si>
  <si>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</si>
  <si>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</si>
  <si>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</si>
  <si>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</si>
  <si>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</si>
  <si>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</si>
  <si>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</si>
  <si>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</si>
  <si>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</si>
  <si>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</si>
  <si>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</si>
  <si>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</si>
  <si>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</si>
  <si>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</si>
  <si>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</si>
  <si>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</si>
  <si>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</si>
  <si>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</si>
  <si>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</si>
  <si>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</si>
  <si>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</si>
  <si>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</si>
  <si>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</si>
  <si>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</si>
  <si>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</si>
  <si>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</si>
  <si>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</si>
  <si>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</si>
  <si>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</si>
  <si>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</si>
  <si>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</si>
  <si>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</si>
  <si>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</si>
  <si>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</si>
  <si>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</si>
  <si>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</si>
  <si>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</si>
  <si>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</si>
  <si>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</si>
  <si>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</si>
  <si>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</si>
  <si>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</si>
  <si>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</si>
  <si>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</si>
  <si>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</si>
  <si>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</si>
  <si>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</si>
  <si>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</si>
  <si>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</si>
  <si>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</si>
  <si>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</si>
  <si>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</si>
  <si>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</si>
  <si>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</si>
  <si>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</si>
  <si>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</si>
  <si>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</si>
  <si>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</si>
  <si>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</si>
  <si>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</si>
  <si>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</si>
  <si>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</si>
  <si>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</si>
  <si>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</si>
  <si>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</si>
  <si>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</si>
  <si>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</si>
  <si>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</si>
  <si>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</si>
  <si>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</si>
  <si>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</si>
  <si>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</si>
  <si>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</si>
  <si>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</si>
  <si>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</si>
  <si>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</si>
  <si>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</si>
  <si>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</si>
  <si>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</si>
  <si>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</si>
  <si>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</si>
  <si>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</si>
  <si>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</si>
  <si>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</si>
  <si>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</si>
  <si>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</si>
  <si>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</si>
  <si>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</si>
  <si>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</si>
  <si>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</si>
  <si>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</si>
  <si>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</si>
  <si>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</si>
  <si>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</si>
  <si>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</si>
  <si>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</si>
  <si>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</si>
  <si>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</si>
  <si>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</si>
  <si>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</si>
  <si>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</si>
  <si>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</si>
  <si>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</si>
  <si>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</si>
  <si>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</si>
  <si>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</si>
  <si>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</si>
  <si>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</si>
  <si>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</si>
  <si>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</si>
  <si>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</si>
  <si>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</si>
  <si>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</si>
  <si>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</si>
  <si>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</si>
  <si>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</si>
  <si>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</si>
  <si>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</si>
  <si>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</si>
  <si>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</si>
  <si>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</si>
  <si>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</si>
  <si>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</si>
  <si>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</si>
  <si>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</si>
  <si>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</si>
  <si>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</si>
  <si>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</si>
  <si>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</si>
  <si>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</si>
  <si>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</si>
  <si>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</si>
  <si>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</si>
  <si>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</si>
  <si>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</si>
  <si>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</si>
  <si>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</si>
  <si>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</si>
  <si>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</si>
  <si>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</si>
  <si>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</si>
  <si>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</si>
  <si>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</si>
  <si>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</si>
  <si>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</si>
  <si>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</si>
  <si>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</si>
  <si>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</si>
  <si>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</si>
  <si>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</si>
  <si>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</si>
  <si>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</si>
  <si>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</si>
  <si>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</si>
  <si>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</si>
  <si>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</si>
  <si>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</si>
  <si>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</si>
  <si>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</si>
  <si>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</si>
  <si>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</si>
  <si>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</si>
  <si>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</si>
  <si>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</si>
  <si>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</si>
  <si>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</si>
  <si>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</si>
  <si>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</si>
  <si>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</si>
  <si>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</si>
  <si>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</si>
  <si>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</si>
  <si>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</si>
  <si>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</si>
  <si>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</si>
  <si>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</si>
  <si>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</si>
  <si>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</si>
  <si>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</si>
  <si>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</si>
  <si>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</si>
  <si>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</si>
  <si>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</si>
  <si>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</si>
  <si>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</si>
  <si>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</si>
  <si>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</si>
  <si>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</si>
  <si>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</si>
  <si>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</si>
  <si>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</si>
  <si>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</si>
  <si>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</si>
  <si>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</si>
  <si>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</si>
  <si>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</si>
  <si>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</si>
  <si>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</si>
  <si>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</si>
  <si>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</si>
  <si>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</si>
  <si>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</si>
  <si>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</si>
  <si>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</si>
  <si>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</si>
  <si>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</si>
  <si>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</si>
  <si>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</si>
  <si>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</si>
  <si>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</si>
  <si>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</si>
  <si>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</si>
  <si>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</si>
  <si>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</si>
  <si>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</si>
  <si>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</si>
  <si>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</si>
  <si>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</si>
  <si>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</si>
  <si>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</si>
  <si>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</si>
  <si>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</si>
  <si>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</si>
  <si>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</si>
  <si>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</si>
  <si>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</si>
  <si>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</si>
  <si>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</si>
  <si>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</si>
  <si>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</si>
  <si>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</si>
  <si>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</si>
  <si>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</si>
  <si>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</si>
  <si>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</si>
  <si>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</si>
  <si>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</si>
  <si>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</si>
  <si>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</si>
  <si>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</si>
  <si>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</si>
  <si>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</si>
  <si>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</si>
  <si>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</si>
  <si>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</si>
  <si>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</si>
  <si>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</si>
  <si>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</si>
  <si>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</si>
  <si>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</si>
  <si>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</si>
  <si>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</si>
  <si>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</si>
  <si>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</si>
  <si>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</si>
  <si>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</si>
  <si>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</si>
  <si>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</si>
  <si>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</si>
  <si>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</si>
  <si>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</si>
  <si>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</si>
  <si>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</si>
  <si>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</si>
  <si>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</si>
  <si>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</si>
  <si>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</si>
  <si>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</si>
  <si>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</si>
  <si>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</si>
  <si>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</si>
  <si>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</si>
  <si>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</si>
  <si>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</si>
  <si>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</si>
  <si>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</si>
  <si>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</si>
  <si>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</si>
  <si>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</si>
  <si>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</si>
  <si>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</si>
  <si>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</si>
  <si>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</si>
  <si>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</si>
  <si>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</si>
  <si>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</si>
  <si>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</si>
  <si>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</si>
  <si>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</si>
  <si>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</si>
  <si>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</si>
  <si>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</si>
  <si>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</si>
  <si>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</si>
  <si>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</si>
  <si>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</si>
  <si>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</si>
  <si>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</si>
  <si>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</si>
  <si>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</si>
  <si>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</si>
  <si>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</si>
  <si>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</si>
  <si>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</si>
  <si>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</si>
  <si>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</si>
  <si>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</si>
  <si>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</si>
  <si>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</si>
  <si>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</si>
  <si>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</si>
  <si>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</si>
  <si>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</si>
  <si>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</si>
  <si>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</si>
  <si>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</si>
  <si>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</si>
  <si>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</si>
  <si>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</si>
  <si>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</si>
  <si>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</si>
  <si>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</si>
  <si>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</si>
  <si>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</si>
  <si>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</si>
  <si>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</si>
  <si>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</si>
  <si>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</si>
  <si>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</si>
  <si>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</si>
  <si>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</si>
  <si>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</si>
  <si>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</si>
  <si>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</si>
  <si>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</si>
  <si>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</si>
  <si>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</si>
  <si>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</si>
  <si>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</si>
  <si>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</si>
  <si>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</si>
  <si>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</si>
  <si>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</si>
  <si>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</si>
  <si>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</si>
  <si>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</si>
  <si>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</si>
  <si>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</si>
  <si>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</si>
  <si>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</si>
  <si>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</si>
  <si>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</si>
  <si>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</si>
  <si>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</si>
  <si>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</si>
  <si>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</si>
  <si>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</si>
  <si>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</si>
  <si>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</si>
  <si>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</si>
  <si>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</si>
  <si>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</si>
  <si>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</si>
  <si>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</si>
  <si>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</si>
  <si>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</si>
  <si>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</si>
  <si>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</si>
  <si>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</si>
  <si>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</si>
  <si>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</si>
  <si>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</si>
  <si>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</si>
  <si>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</si>
  <si>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</si>
  <si>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</si>
  <si>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</si>
  <si>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</si>
  <si>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</si>
  <si>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</si>
  <si>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</si>
  <si>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</si>
  <si>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</si>
  <si>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</si>
  <si>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</si>
  <si>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</si>
  <si>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</si>
  <si>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</si>
  <si>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</si>
  <si>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</si>
  <si>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</si>
  <si>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</si>
  <si>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</si>
  <si>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</si>
  <si>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</si>
  <si>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</si>
  <si>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</si>
  <si>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</si>
  <si>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</si>
  <si>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</si>
  <si>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</si>
  <si>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</si>
  <si>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</si>
  <si>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</si>
  <si>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</si>
  <si>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</si>
  <si>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</si>
  <si>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</si>
  <si>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</si>
  <si>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</si>
  <si>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</si>
  <si>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</si>
  <si>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</si>
  <si>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</si>
  <si>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</si>
  <si>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</si>
  <si>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</si>
  <si>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</si>
  <si>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</si>
  <si>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</si>
  <si>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</si>
  <si>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</si>
  <si>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</si>
  <si>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</si>
  <si>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</si>
  <si>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</si>
  <si>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</si>
  <si>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</si>
  <si>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</si>
  <si>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</si>
  <si>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</si>
  <si>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</si>
  <si>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</si>
  <si>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</si>
  <si>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</si>
  <si>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</si>
  <si>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</si>
  <si>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</si>
  <si>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</si>
  <si>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</si>
  <si>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</si>
  <si>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</si>
  <si>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</si>
  <si>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</si>
  <si>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</si>
  <si>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</si>
  <si>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</si>
  <si>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</si>
  <si>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</si>
  <si>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</si>
  <si>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</si>
  <si>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</si>
  <si>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</si>
  <si>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</si>
  <si>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</si>
  <si>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</si>
  <si>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</si>
  <si>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</si>
  <si>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</si>
  <si>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</si>
  <si>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</si>
  <si>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</si>
  <si>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</si>
  <si>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</si>
  <si>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</si>
  <si>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</si>
  <si>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</si>
  <si>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</si>
  <si>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</si>
  <si>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</si>
  <si>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</si>
  <si>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</si>
  <si>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</si>
  <si>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</si>
  <si>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</si>
  <si>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</si>
  <si>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</si>
  <si>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</si>
  <si>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</si>
  <si>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</si>
  <si>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</si>
  <si>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</si>
  <si>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</si>
  <si>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</si>
  <si>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</si>
  <si>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</si>
  <si>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</si>
  <si>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</si>
  <si>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</si>
  <si>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</si>
  <si>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</si>
  <si>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</si>
  <si>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</si>
  <si>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</si>
  <si>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</si>
  <si>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</si>
  <si>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</si>
  <si>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</si>
  <si>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</si>
  <si>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</si>
  <si>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</si>
  <si>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</si>
  <si>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</si>
  <si>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</si>
  <si>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</si>
  <si>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</si>
  <si>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</si>
  <si>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</si>
  <si>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</si>
  <si>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</si>
  <si>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</si>
  <si>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</si>
  <si>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</si>
  <si>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</si>
  <si>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</si>
  <si>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</si>
  <si>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</si>
  <si>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</si>
  <si>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</si>
  <si>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</si>
  <si>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</si>
  <si>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</si>
  <si>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</si>
  <si>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</si>
  <si>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</si>
  <si>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</si>
  <si>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</si>
  <si>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</si>
  <si>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</si>
  <si>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</si>
  <si>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</si>
  <si>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</si>
  <si>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</si>
  <si>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</si>
  <si>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</si>
  <si>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</si>
  <si>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</si>
  <si>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</si>
  <si>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</si>
  <si>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</si>
  <si>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</si>
  <si>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</si>
  <si>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</si>
  <si>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</si>
  <si>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</si>
  <si>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</si>
  <si>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</si>
  <si>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</si>
  <si>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</si>
  <si>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</si>
  <si>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</si>
  <si>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</si>
  <si>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</si>
  <si>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</si>
  <si>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</si>
  <si>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</si>
  <si>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</si>
  <si>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</si>
  <si>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</si>
  <si>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</si>
  <si>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</si>
  <si>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</si>
  <si>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</si>
  <si>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</si>
  <si>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</si>
  <si>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</si>
  <si>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</si>
  <si>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</si>
  <si>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</si>
  <si>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</si>
  <si>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</si>
  <si>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</si>
  <si>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</si>
  <si>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</si>
  <si>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</si>
  <si>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</si>
  <si>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</si>
  <si>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</si>
  <si>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</si>
  <si>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</si>
  <si>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</si>
  <si>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</si>
  <si>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</si>
  <si>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</si>
  <si>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</si>
  <si>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</si>
  <si>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</si>
  <si>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</si>
  <si>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</si>
  <si>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</si>
  <si>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</si>
  <si>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</si>
  <si>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</si>
  <si>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</si>
  <si>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</si>
  <si>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</si>
  <si>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</si>
  <si>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</si>
  <si>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</si>
  <si>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</si>
  <si>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</si>
  <si>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</si>
  <si>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</si>
  <si>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</si>
  <si>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</si>
  <si>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</si>
  <si>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</si>
  <si>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</si>
  <si>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</si>
  <si>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</si>
  <si>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</si>
  <si>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</si>
  <si>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</si>
  <si>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</si>
  <si>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</si>
  <si>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</si>
  <si>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</si>
  <si>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</si>
  <si>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</si>
  <si>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</si>
  <si>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</si>
  <si>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</si>
  <si>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</si>
  <si>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</si>
  <si>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</si>
  <si>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</si>
  <si>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</si>
  <si>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</si>
  <si>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</si>
  <si>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</si>
  <si>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</si>
  <si>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</si>
  <si>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</si>
  <si>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</si>
  <si>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</si>
  <si>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</si>
  <si>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</si>
  <si>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</si>
  <si>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</si>
  <si>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</si>
  <si>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</si>
  <si>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</si>
  <si>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</si>
  <si>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</si>
  <si>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</si>
  <si>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</si>
  <si>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</si>
  <si>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</si>
  <si>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</si>
  <si>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</si>
  <si>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</si>
  <si>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</si>
  <si>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</si>
  <si>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</si>
  <si>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</si>
  <si>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</si>
  <si>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</si>
  <si>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</si>
  <si>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</si>
  <si>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</si>
  <si>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</si>
  <si>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</si>
  <si>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</si>
  <si>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</si>
  <si>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</si>
  <si>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</si>
  <si>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</si>
  <si>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</si>
  <si>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</si>
  <si>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</si>
  <si>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</si>
  <si>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</si>
  <si>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</si>
  <si>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</si>
  <si>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</si>
  <si>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</si>
  <si>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</si>
  <si>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</si>
  <si>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</si>
  <si>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</si>
  <si>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</si>
  <si>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</si>
  <si>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</si>
  <si>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</si>
  <si>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</si>
  <si>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</si>
  <si>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</si>
  <si>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</si>
  <si>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</si>
  <si>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</si>
  <si>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</si>
  <si>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</si>
  <si>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</si>
  <si>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</si>
  <si>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</si>
  <si>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</si>
  <si>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</si>
  <si>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</si>
  <si>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</si>
  <si>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</si>
  <si>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</si>
  <si>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</si>
  <si>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</si>
  <si>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</si>
  <si>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</si>
  <si>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</si>
  <si>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</si>
  <si>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</si>
  <si>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</si>
  <si>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</si>
  <si>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</si>
  <si>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</si>
  <si>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</si>
  <si>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</si>
  <si>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</si>
  <si>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</si>
  <si>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</si>
  <si>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</si>
  <si>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</si>
  <si>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</si>
  <si>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</si>
  <si>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</si>
  <si>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</si>
  <si>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</si>
  <si>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</si>
  <si>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</si>
  <si>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</si>
  <si>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</si>
  <si>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</si>
  <si>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</si>
  <si>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</si>
  <si>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</si>
  <si>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</si>
  <si>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</si>
  <si>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</si>
  <si>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</si>
  <si>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</si>
  <si>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</si>
  <si>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</si>
  <si>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</si>
  <si>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</si>
  <si>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</si>
  <si>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</si>
  <si>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</si>
  <si>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</si>
  <si>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</si>
  <si>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</si>
  <si>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</si>
  <si>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</si>
  <si>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</si>
  <si>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</si>
  <si>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</si>
  <si>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</si>
  <si>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</si>
  <si>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</si>
  <si>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</si>
  <si>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</si>
  <si>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</si>
  <si>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</si>
  <si>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</si>
  <si>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</si>
  <si>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</si>
  <si>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</si>
  <si>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</si>
  <si>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</si>
  <si>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</si>
  <si>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</si>
  <si>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</si>
  <si>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</si>
  <si>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</si>
  <si>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</si>
  <si>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</si>
  <si>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</si>
  <si>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</si>
  <si>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</si>
  <si>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</si>
  <si>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</si>
  <si>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</si>
  <si>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</si>
  <si>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</si>
  <si>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</si>
  <si>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</si>
  <si>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</si>
  <si>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</si>
  <si>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</si>
  <si>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</si>
  <si>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</si>
  <si>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</si>
  <si>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</si>
  <si>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</si>
  <si>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</si>
  <si>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</si>
  <si>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</si>
  <si>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</si>
  <si>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</si>
  <si>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</si>
  <si>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</si>
  <si>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</si>
  <si>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</si>
  <si>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</si>
  <si>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</si>
  <si>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</si>
  <si>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</si>
  <si>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</si>
  <si>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</si>
  <si>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</si>
  <si>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</si>
  <si>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</si>
  <si>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</si>
  <si>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</si>
  <si>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</si>
  <si>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</si>
  <si>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</si>
  <si>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</si>
  <si>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</si>
  <si>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</si>
  <si>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</si>
  <si>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</si>
  <si>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</si>
  <si>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</si>
  <si>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</si>
  <si>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</si>
  <si>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</si>
  <si>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</si>
  <si>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</si>
  <si>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</si>
  <si>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</si>
  <si>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</si>
  <si>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</si>
  <si>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</si>
  <si>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</si>
  <si>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</si>
  <si>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</si>
  <si>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</si>
  <si>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</si>
  <si>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</si>
  <si>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</si>
  <si>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</si>
  <si>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</si>
  <si>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</si>
  <si>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</si>
  <si>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</si>
  <si>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</si>
  <si>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</si>
  <si>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</si>
  <si>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</si>
  <si>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</si>
  <si>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</si>
  <si>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</si>
  <si>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</si>
  <si>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</si>
  <si>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</si>
  <si>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</si>
  <si>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</si>
  <si>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</si>
  <si>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</si>
  <si>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</si>
  <si>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</si>
  <si>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</si>
  <si>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</si>
  <si>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</si>
  <si>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</si>
  <si>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</si>
  <si>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</si>
  <si>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</si>
  <si>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</si>
  <si>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</si>
  <si>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</si>
  <si>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</si>
  <si>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</si>
  <si>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</si>
  <si>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</si>
  <si>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</si>
  <si>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</si>
  <si>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</si>
  <si>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</si>
  <si>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</si>
  <si>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</si>
  <si>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</si>
  <si>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</si>
  <si>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</si>
  <si>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</si>
  <si>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</si>
  <si>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</si>
  <si>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</si>
  <si>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</si>
  <si>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</si>
  <si>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</si>
  <si>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</si>
  <si>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</si>
  <si>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</si>
  <si>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</si>
  <si>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</si>
  <si>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</si>
  <si>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</si>
  <si>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</si>
  <si>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</si>
  <si>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</si>
  <si>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</si>
  <si>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</si>
  <si>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</si>
  <si>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</si>
  <si>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</si>
  <si>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</si>
  <si>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</si>
  <si>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</si>
  <si>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</si>
  <si>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</si>
  <si>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</si>
  <si>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</si>
  <si>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</si>
  <si>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</si>
  <si>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</si>
  <si>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</si>
  <si>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</si>
  <si>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</si>
  <si>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</si>
  <si>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</si>
  <si>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</si>
  <si>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</si>
  <si>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</si>
  <si>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</si>
  <si>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</si>
  <si>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</si>
  <si>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</si>
  <si>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</si>
  <si>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</si>
  <si>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</si>
  <si>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</si>
  <si>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</si>
  <si>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</si>
  <si>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</si>
  <si>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</si>
  <si>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</si>
  <si>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</si>
  <si>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</si>
  <si>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</si>
  <si>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</si>
  <si>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</si>
  <si>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</si>
  <si>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</si>
  <si>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</si>
  <si>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</si>
  <si>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</si>
  <si>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</si>
  <si>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</si>
  <si>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</si>
  <si>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</si>
  <si>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</si>
  <si>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</si>
  <si>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</si>
  <si>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</si>
  <si>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</si>
  <si>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</si>
  <si>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</si>
  <si>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</si>
  <si>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</si>
  <si>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</si>
  <si>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</si>
  <si>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</si>
  <si>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</si>
  <si>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</si>
  <si>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</si>
  <si>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</si>
  <si>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</si>
  <si>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</si>
  <si>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</si>
  <si>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</si>
  <si>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</si>
  <si>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</si>
  <si>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</si>
  <si>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</si>
  <si>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</si>
  <si>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</si>
  <si>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</si>
  <si>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</si>
  <si>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</si>
  <si>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</si>
  <si>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</si>
  <si>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</si>
  <si>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</si>
  <si>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</si>
  <si>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</si>
  <si>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</si>
  <si>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</si>
  <si>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</si>
  <si>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</si>
  <si>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</si>
  <si>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</si>
  <si>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</si>
  <si>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</si>
  <si>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</si>
  <si>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</si>
  <si>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</si>
  <si>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</si>
  <si>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</si>
  <si>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</si>
  <si>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</si>
  <si>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</si>
  <si>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</si>
  <si>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</si>
  <si>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</si>
  <si>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</si>
  <si>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</si>
  <si>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</si>
  <si>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</si>
  <si>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</si>
  <si>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</si>
  <si>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</si>
  <si>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</si>
  <si>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</si>
  <si>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</si>
  <si>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</si>
  <si>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</si>
  <si>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</si>
  <si>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</si>
  <si>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</si>
  <si>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</si>
  <si>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</si>
  <si>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</si>
  <si>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</si>
  <si>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</si>
  <si>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</si>
  <si>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</si>
  <si>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</si>
  <si>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</si>
  <si>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</si>
  <si>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</si>
  <si>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</si>
  <si>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</si>
  <si>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</si>
  <si>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</si>
  <si>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</si>
  <si>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</si>
  <si>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</si>
  <si>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</si>
  <si>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</si>
  <si>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</si>
  <si>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</si>
  <si>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</si>
  <si>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</si>
  <si>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</si>
  <si>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</si>
  <si>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</si>
  <si>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</si>
  <si>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</si>
  <si>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</si>
  <si>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</si>
  <si>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</si>
  <si>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</si>
  <si>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</si>
  <si>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</si>
  <si>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</si>
  <si>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</si>
  <si>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</si>
  <si>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</si>
  <si>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</si>
  <si>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</si>
  <si>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</si>
  <si>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</si>
  <si>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</si>
  <si>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</si>
  <si>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</si>
  <si>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</si>
  <si>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</si>
  <si>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</si>
  <si>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</si>
  <si>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</si>
  <si>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</si>
  <si>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</si>
  <si>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</si>
  <si>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</si>
  <si>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</si>
  <si>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</si>
  <si>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</si>
  <si>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</si>
  <si>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</si>
  <si>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</si>
  <si>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</si>
  <si>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</si>
  <si>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</si>
  <si>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</si>
  <si>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</si>
  <si>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</si>
  <si>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</si>
  <si>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</si>
  <si>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</si>
  <si>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</si>
  <si>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</si>
  <si>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</si>
  <si>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</si>
  <si>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</si>
  <si>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</si>
  <si>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</si>
  <si>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</si>
  <si>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</si>
  <si>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</si>
  <si>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</si>
  <si>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</si>
  <si>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</si>
  <si>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</si>
  <si>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</si>
  <si>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</si>
  <si>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</si>
  <si>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</si>
  <si>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</si>
  <si>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</si>
  <si>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</si>
  <si>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</si>
  <si>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</si>
  <si>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</si>
  <si>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</si>
  <si>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</si>
  <si>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</si>
  <si>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</si>
  <si>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</si>
  <si>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</si>
  <si>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</si>
  <si>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</si>
  <si>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</si>
  <si>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</si>
  <si>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</si>
  <si>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</si>
  <si>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</si>
  <si>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</si>
  <si>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</si>
  <si>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</si>
  <si>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</si>
  <si>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</si>
  <si>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</si>
  <si>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</si>
  <si>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</si>
  <si>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</si>
  <si>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</si>
  <si>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</si>
  <si>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</si>
  <si>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</si>
  <si>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</si>
  <si>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</si>
  <si>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</si>
  <si>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</si>
  <si>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</si>
  <si>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</si>
  <si>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</si>
  <si>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</si>
  <si>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</si>
  <si>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</si>
  <si>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</si>
  <si>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</si>
  <si>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</si>
  <si>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</si>
  <si>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</si>
  <si>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</si>
  <si>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</si>
  <si>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</si>
  <si>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</si>
  <si>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</si>
  <si>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</si>
  <si>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</si>
  <si>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</si>
  <si>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</si>
  <si>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</si>
  <si>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</si>
  <si>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</si>
  <si>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</si>
  <si>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</si>
  <si>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</si>
  <si>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</si>
  <si>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</si>
  <si>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</si>
  <si>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</si>
  <si>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</si>
  <si>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</si>
  <si>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</si>
  <si>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</si>
  <si>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</si>
  <si>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</si>
  <si>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</si>
  <si>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</si>
  <si>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</si>
  <si>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</si>
  <si>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</si>
  <si>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</si>
  <si>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</si>
  <si>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</si>
  <si>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</si>
  <si>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</si>
  <si>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</si>
  <si>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</si>
  <si>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</si>
  <si>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</si>
  <si>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</si>
  <si>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</si>
  <si>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</si>
  <si>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</si>
  <si>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</si>
  <si>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</si>
  <si>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</si>
  <si>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</si>
  <si>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</si>
  <si>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</si>
  <si>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</si>
  <si>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</si>
  <si>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</si>
  <si>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</si>
  <si>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</si>
  <si>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</si>
  <si>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</si>
  <si>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</si>
  <si>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</si>
  <si>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</si>
  <si>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</si>
  <si>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</si>
  <si>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</si>
  <si>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</si>
  <si>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</si>
  <si>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</si>
  <si>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</si>
  <si>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</si>
  <si>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</si>
  <si>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</si>
  <si>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</si>
  <si>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</si>
  <si>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</si>
  <si>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</si>
  <si>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</si>
  <si>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</si>
  <si>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</si>
  <si>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</si>
  <si>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</si>
  <si>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</si>
  <si>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</si>
  <si>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</si>
  <si>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</si>
  <si>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</si>
  <si>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</si>
  <si>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</si>
  <si>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</si>
  <si>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</si>
  <si>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</si>
  <si>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</si>
  <si>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</si>
  <si>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</si>
  <si>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</si>
  <si>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</si>
  <si>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</si>
  <si>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</si>
  <si>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</si>
  <si>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</si>
  <si>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</si>
  <si>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</si>
  <si>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</si>
  <si>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</si>
  <si>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</si>
  <si>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</si>
  <si>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</si>
  <si>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</si>
  <si>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</si>
  <si>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</si>
  <si>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</si>
  <si>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</si>
  <si>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</si>
  <si>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</si>
  <si>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</si>
  <si>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</si>
  <si>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</si>
  <si>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</si>
  <si>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</si>
  <si>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</si>
  <si>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</si>
  <si>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</si>
  <si>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</si>
  <si>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</si>
  <si>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</si>
  <si>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</si>
  <si>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</si>
  <si>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</si>
  <si>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</si>
  <si>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</si>
  <si>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</si>
  <si>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</si>
  <si>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</si>
  <si>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</si>
  <si>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</si>
  <si>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</si>
  <si>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</si>
  <si>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</si>
  <si>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</si>
  <si>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</si>
  <si>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</si>
  <si>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</si>
  <si>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</si>
  <si>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</si>
  <si>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</si>
  <si>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</si>
  <si>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</si>
  <si>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</si>
  <si>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</si>
  <si>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</si>
  <si>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</si>
  <si>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</si>
  <si>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</si>
  <si>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</si>
  <si>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</si>
  <si>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</si>
  <si>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</si>
  <si>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</si>
  <si>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</si>
  <si>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</si>
  <si>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</si>
  <si>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</si>
  <si>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</si>
  <si>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</si>
  <si>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</si>
  <si>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</si>
  <si>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</si>
  <si>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</si>
  <si>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</si>
  <si>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</si>
  <si>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</si>
  <si>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</si>
  <si>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</si>
  <si>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</si>
  <si>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</si>
  <si>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</si>
  <si>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</si>
  <si>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</si>
  <si>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</si>
  <si>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</si>
  <si>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</si>
  <si>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</si>
  <si>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</si>
  <si>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</si>
  <si>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</si>
  <si>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</si>
  <si>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</si>
  <si>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</si>
  <si>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</si>
  <si>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</si>
  <si>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</si>
  <si>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</si>
  <si>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</si>
  <si>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</si>
  <si>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</si>
  <si>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</si>
  <si>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</si>
  <si>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</si>
  <si>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</si>
  <si>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</si>
  <si>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</si>
  <si>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</si>
  <si>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</si>
  <si>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</si>
  <si>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</si>
  <si>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</si>
  <si>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</si>
  <si>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</si>
  <si>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</si>
  <si>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</si>
  <si>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</si>
  <si>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</si>
  <si>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</si>
  <si>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</si>
  <si>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</si>
  <si>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</si>
  <si>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</si>
  <si>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</si>
  <si>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</si>
  <si>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</si>
  <si>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</si>
  <si>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</si>
  <si>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</si>
  <si>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</si>
  <si>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</si>
  <si>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</si>
  <si>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</si>
  <si>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</si>
  <si>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</si>
  <si>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</si>
  <si>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</si>
  <si>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</si>
  <si>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</si>
  <si>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</si>
  <si>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</si>
  <si>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</si>
  <si>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</si>
  <si>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</si>
  <si>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</si>
  <si>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</si>
  <si>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</si>
  <si>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</si>
  <si>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</si>
  <si>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</si>
  <si>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</si>
  <si>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</si>
  <si>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</si>
  <si>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</si>
  <si>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</si>
  <si>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</si>
  <si>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</si>
  <si>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</si>
  <si>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</si>
  <si>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</si>
  <si>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</si>
  <si>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</si>
  <si>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</si>
  <si>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</si>
  <si>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</si>
  <si>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</si>
  <si>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</si>
  <si>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</si>
  <si>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</si>
  <si>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</si>
  <si>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</si>
  <si>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</si>
  <si>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</si>
  <si>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</si>
  <si>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</si>
  <si>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</si>
  <si>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</si>
  <si>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</si>
  <si>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</si>
  <si>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</si>
  <si>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</si>
  <si>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</si>
  <si>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</si>
  <si>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</si>
  <si>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</si>
  <si>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</si>
  <si>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</si>
  <si>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</si>
  <si>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</si>
  <si>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</si>
  <si>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</si>
  <si>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</si>
  <si>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</si>
  <si>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</si>
  <si>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</si>
  <si>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</si>
  <si>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</si>
  <si>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</si>
  <si>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</si>
  <si>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</si>
  <si>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</si>
  <si>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</si>
  <si>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</si>
  <si>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</si>
  <si>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</si>
  <si>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</si>
  <si>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</si>
  <si>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</si>
  <si>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</si>
  <si>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</si>
  <si>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</si>
  <si>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</si>
  <si>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</si>
  <si>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</si>
  <si>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</si>
  <si>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</si>
  <si>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</si>
  <si>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</si>
  <si>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</si>
  <si>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</si>
  <si>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</si>
  <si>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</si>
  <si>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</si>
  <si>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</si>
  <si>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</si>
  <si>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</si>
  <si>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</si>
  <si>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</si>
  <si>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</si>
  <si>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</si>
  <si>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</si>
  <si>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</si>
  <si>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</si>
  <si>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</si>
  <si>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</si>
  <si>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</si>
  <si>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</si>
  <si>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</si>
  <si>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</si>
  <si>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</si>
  <si>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</si>
  <si>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</si>
  <si>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</si>
  <si>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</si>
  <si>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</si>
  <si>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</si>
  <si>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</si>
  <si>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</si>
  <si>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</si>
  <si>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</si>
  <si>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</si>
  <si>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</si>
  <si>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</si>
  <si>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</si>
  <si>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</si>
  <si>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</si>
  <si>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</si>
  <si>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</si>
  <si>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</si>
  <si>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</si>
  <si>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</si>
  <si>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</si>
  <si>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</si>
  <si>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</si>
  <si>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</si>
  <si>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</si>
  <si>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</si>
  <si>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</si>
  <si>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</si>
  <si>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</si>
  <si>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</si>
  <si>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</si>
  <si>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</si>
  <si>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</si>
  <si>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</si>
  <si>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</si>
  <si>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</si>
  <si>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</si>
  <si>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</si>
  <si>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</si>
  <si>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</si>
  <si>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</si>
  <si>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</si>
  <si>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</si>
  <si>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</si>
  <si>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</si>
  <si>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</si>
  <si>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</si>
  <si>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</si>
  <si>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</si>
  <si>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</si>
  <si>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</si>
  <si>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</si>
  <si>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</si>
  <si>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</si>
  <si>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</si>
  <si>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</si>
  <si>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</si>
  <si>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</si>
  <si>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</si>
  <si>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</si>
  <si>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</si>
  <si>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</si>
  <si>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</si>
  <si>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</si>
  <si>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</si>
  <si>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</si>
  <si>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</si>
  <si>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</si>
  <si>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</si>
  <si>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</si>
  <si>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</si>
  <si>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</si>
  <si>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</si>
  <si>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</si>
  <si>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</si>
  <si>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</si>
  <si>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</si>
  <si>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</si>
  <si>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</si>
  <si>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</si>
  <si>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</si>
  <si>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</si>
  <si>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</si>
  <si>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</si>
  <si>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</si>
  <si>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</si>
  <si>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</si>
  <si>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</si>
  <si>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</si>
  <si>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</si>
  <si>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</si>
  <si>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</si>
  <si>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</si>
  <si>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</si>
  <si>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</si>
  <si>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</si>
  <si>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</si>
  <si>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</si>
  <si>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</si>
  <si>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</si>
  <si>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</si>
  <si>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</si>
  <si>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</si>
  <si>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</si>
  <si>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</si>
  <si>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</si>
  <si>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</si>
  <si>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</si>
  <si>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</si>
  <si>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</si>
  <si>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</si>
  <si>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</si>
  <si>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</si>
  <si>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</si>
  <si>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</si>
  <si>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</si>
  <si>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</si>
  <si>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</si>
  <si>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</si>
  <si>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</si>
  <si>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</si>
  <si>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</si>
  <si>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</si>
  <si>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</si>
  <si>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</si>
  <si>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</si>
  <si>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</si>
  <si>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</si>
  <si>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</si>
  <si>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</si>
  <si>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</si>
  <si>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</si>
  <si>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</si>
  <si>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</si>
  <si>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</si>
  <si>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</si>
  <si>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</si>
  <si>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</si>
  <si>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</si>
  <si>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</si>
  <si>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</si>
  <si>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</si>
  <si>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</si>
  <si>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</si>
  <si>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</si>
  <si>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</si>
  <si>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</si>
  <si>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</si>
  <si>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</si>
  <si>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</si>
  <si>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</si>
  <si>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</si>
  <si>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</si>
  <si>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</si>
  <si>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</si>
  <si>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</si>
  <si>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</si>
  <si>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</si>
  <si>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</si>
  <si>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</si>
  <si>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</si>
  <si>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</si>
  <si>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</si>
  <si>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</si>
  <si>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</si>
  <si>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</si>
  <si>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</si>
  <si>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</si>
  <si>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</si>
  <si>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</si>
  <si>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</si>
  <si>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</si>
  <si>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</si>
  <si>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</si>
  <si>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</si>
  <si>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</si>
  <si>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</si>
  <si>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</si>
  <si>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</si>
  <si>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</si>
  <si>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</si>
  <si>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</si>
  <si>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</si>
  <si>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</si>
  <si>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</si>
  <si>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</si>
  <si>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</si>
  <si>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</si>
  <si>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</si>
  <si>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</si>
  <si>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</si>
  <si>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</si>
  <si>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</si>
  <si>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</si>
  <si>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</si>
  <si>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</si>
  <si>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</si>
  <si>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</si>
  <si>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</si>
  <si>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</si>
  <si>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</si>
  <si>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</si>
  <si>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</si>
  <si>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</si>
  <si>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</si>
  <si>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</si>
  <si>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</si>
  <si>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</si>
  <si>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</si>
  <si>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</si>
  <si>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</si>
  <si>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</si>
  <si>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</si>
  <si>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</si>
  <si>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</si>
  <si>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</si>
  <si>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</si>
  <si>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</si>
  <si>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</si>
  <si>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</si>
  <si>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</si>
  <si>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</si>
  <si>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</si>
  <si>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</si>
  <si>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</si>
  <si>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</si>
  <si>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</si>
  <si>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</si>
  <si>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</si>
  <si>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</si>
  <si>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</si>
  <si>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</si>
  <si>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</si>
  <si>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</si>
  <si>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</si>
  <si>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</si>
  <si>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</si>
  <si>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</si>
  <si>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</si>
  <si>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</si>
  <si>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</si>
  <si>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</si>
  <si>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</si>
  <si>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</si>
  <si>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</si>
  <si>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</si>
  <si>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</si>
  <si>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</si>
  <si>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</si>
  <si>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</si>
  <si>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</si>
  <si>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</si>
  <si>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</si>
  <si>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</si>
  <si>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</si>
  <si>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</si>
  <si>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</si>
  <si>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</si>
  <si>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</si>
  <si>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</si>
  <si>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</si>
  <si>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</si>
  <si>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</si>
  <si>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</si>
  <si>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</si>
  <si>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</si>
  <si>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</si>
  <si>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</si>
  <si>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</si>
  <si>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</si>
  <si>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</si>
  <si>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</si>
  <si>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</si>
  <si>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</si>
  <si>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</si>
  <si>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</si>
  <si>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</si>
  <si>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</si>
  <si>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</si>
  <si>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</si>
  <si>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</si>
  <si>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</si>
  <si>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</si>
  <si>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</si>
  <si>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</si>
  <si>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</si>
  <si>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</si>
  <si>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</si>
  <si>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</si>
  <si>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</si>
  <si>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</si>
  <si>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</si>
  <si>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</si>
  <si>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</si>
  <si>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</si>
  <si>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</si>
  <si>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</si>
  <si>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</si>
  <si>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</si>
  <si>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</si>
  <si>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</si>
  <si>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</si>
  <si>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</si>
  <si>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</si>
  <si>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</si>
  <si>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</si>
  <si>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</si>
  <si>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</si>
  <si>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</si>
  <si>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</si>
  <si>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</si>
  <si>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</si>
  <si>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</si>
  <si>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</si>
  <si>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</si>
  <si>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</si>
  <si>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</si>
  <si>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</si>
  <si>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</si>
  <si>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</si>
  <si>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</si>
  <si>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</si>
  <si>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</si>
  <si>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</si>
  <si>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</si>
  <si>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</si>
  <si>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</si>
  <si>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</si>
  <si>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</si>
  <si>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</si>
  <si>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</si>
  <si>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</si>
  <si>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</si>
  <si>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</si>
  <si>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</si>
  <si>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</si>
  <si>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</si>
  <si>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</si>
  <si>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</si>
  <si>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</si>
  <si>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</si>
  <si>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</si>
  <si>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</si>
  <si>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</si>
  <si>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</si>
  <si>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</si>
  <si>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</si>
  <si>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</si>
  <si>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</si>
  <si>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</si>
  <si>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</si>
  <si>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</si>
  <si>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</si>
  <si>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</si>
  <si>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</si>
  <si>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</si>
  <si>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</si>
  <si>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</si>
  <si>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</si>
  <si>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</si>
  <si>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</si>
  <si>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</si>
  <si>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</si>
  <si>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</si>
  <si>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</si>
  <si>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</si>
  <si>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</si>
  <si>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</si>
  <si>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</si>
  <si>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</si>
  <si>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</si>
  <si>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</si>
  <si>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</si>
  <si>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</si>
  <si>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</si>
  <si>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</si>
  <si>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</si>
  <si>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</si>
  <si>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</si>
  <si>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</si>
  <si>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</si>
  <si>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</si>
  <si>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</si>
  <si>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</si>
  <si>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</si>
  <si>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</si>
  <si>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</si>
  <si>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</si>
  <si>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</si>
  <si>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</si>
  <si>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</si>
  <si>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</si>
  <si>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</si>
  <si>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</si>
  <si>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</si>
  <si>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</si>
  <si>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</si>
  <si>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</si>
  <si>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</si>
  <si>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</si>
  <si>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</si>
  <si>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</si>
  <si>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</si>
  <si>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</si>
  <si>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</si>
  <si>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</si>
  <si>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</si>
  <si>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</si>
  <si>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</si>
  <si>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</si>
  <si>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</si>
  <si>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</si>
  <si>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</si>
  <si>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</si>
  <si>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</si>
  <si>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</si>
  <si>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</si>
  <si>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</si>
  <si>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</si>
  <si>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</si>
  <si>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</si>
  <si>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</si>
  <si>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</si>
  <si>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</si>
  <si>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</si>
  <si>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</si>
  <si>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</si>
  <si>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</si>
  <si>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</si>
  <si>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</si>
  <si>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</si>
  <si>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</si>
  <si>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</si>
  <si>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</si>
  <si>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</si>
  <si>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</si>
  <si>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</si>
  <si>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</si>
  <si>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</si>
  <si>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</si>
  <si>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</si>
  <si>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</si>
  <si>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</si>
  <si>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</si>
  <si>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</si>
  <si>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</si>
  <si>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</si>
  <si>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</si>
  <si>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</si>
  <si>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</si>
  <si>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</si>
  <si>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</si>
  <si>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</si>
  <si>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</si>
  <si>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</si>
  <si>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</si>
  <si>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</si>
  <si>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</si>
  <si>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</si>
  <si>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</si>
  <si>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</si>
  <si>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</si>
  <si>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</si>
  <si>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</si>
  <si>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</si>
  <si>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</si>
  <si>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</si>
  <si>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</si>
  <si>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</si>
  <si>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</si>
  <si>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</si>
  <si>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</si>
  <si>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</si>
  <si>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</si>
  <si>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</si>
  <si>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</si>
  <si>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</si>
  <si>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</si>
  <si>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</si>
  <si>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</si>
  <si>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</si>
  <si>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</si>
  <si>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</si>
  <si>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</si>
  <si>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</si>
  <si>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</si>
  <si>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</si>
  <si>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</si>
  <si>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</si>
  <si>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</si>
  <si>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</si>
  <si>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</si>
  <si>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</si>
  <si>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</si>
  <si>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</si>
  <si>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</si>
  <si>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</si>
  <si>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</si>
  <si>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</si>
  <si>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</si>
  <si>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</si>
  <si>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</si>
  <si>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</si>
  <si>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</si>
  <si>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</si>
  <si>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</si>
  <si>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</si>
  <si>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</si>
  <si>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</si>
  <si>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</si>
  <si>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</si>
  <si>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</si>
  <si>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</si>
  <si>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</si>
  <si>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</si>
  <si>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</si>
  <si>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</si>
  <si>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</si>
  <si>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</si>
  <si>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</si>
  <si>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</si>
  <si>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</si>
  <si>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</si>
  <si>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</si>
  <si>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</si>
  <si>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</si>
  <si>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</si>
  <si>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</si>
  <si>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</si>
  <si>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</si>
  <si>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</si>
  <si>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</si>
  <si>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</si>
  <si>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</si>
  <si>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</si>
  <si>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</si>
  <si>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</si>
  <si>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</si>
  <si>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</si>
  <si>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</si>
  <si>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</si>
  <si>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</si>
  <si>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</si>
  <si>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</si>
  <si>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</si>
  <si>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</si>
  <si>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</si>
  <si>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</si>
  <si>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</si>
  <si>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</si>
  <si>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</si>
  <si>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</si>
  <si>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</si>
  <si>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</si>
  <si>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</si>
  <si>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</si>
  <si>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</si>
  <si>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</si>
  <si>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</si>
  <si>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</si>
  <si>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</si>
  <si>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</si>
  <si>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</si>
  <si>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</si>
  <si>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</si>
  <si>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</si>
  <si>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</si>
  <si>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</si>
  <si>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</si>
  <si>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</si>
  <si>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</si>
  <si>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</si>
  <si>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</si>
  <si>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</si>
  <si>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</si>
  <si>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</si>
  <si>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</si>
  <si>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</si>
  <si>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</si>
  <si>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</si>
  <si>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</si>
  <si>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</si>
  <si>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</si>
  <si>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</si>
  <si>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</si>
  <si>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</si>
  <si>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</si>
  <si>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</si>
  <si>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</si>
  <si>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</si>
  <si>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</si>
  <si>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</si>
  <si>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</si>
  <si>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</si>
  <si>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</si>
  <si>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</si>
  <si>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</si>
  <si>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</si>
  <si>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</si>
  <si>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</si>
  <si>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</si>
  <si>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</si>
  <si>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</si>
  <si>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</si>
  <si>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</si>
  <si>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</si>
  <si>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</si>
  <si>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</si>
  <si>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</si>
  <si>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</si>
  <si>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</si>
  <si>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</si>
  <si>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</si>
  <si>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</si>
  <si>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</si>
  <si>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</si>
  <si>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</si>
  <si>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</si>
  <si>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</si>
  <si>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</si>
  <si>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</si>
  <si>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</si>
  <si>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</si>
  <si>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</si>
  <si>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</si>
  <si>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</si>
  <si>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</si>
  <si>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</si>
  <si>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</si>
  <si>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</si>
  <si>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</si>
  <si>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</si>
  <si>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</si>
  <si>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</si>
  <si>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</si>
  <si>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</si>
  <si>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</si>
  <si>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</si>
  <si>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</si>
  <si>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</si>
  <si>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</si>
  <si>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</si>
  <si>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</si>
  <si>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</si>
  <si>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</si>
  <si>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</si>
  <si>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</si>
  <si>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</si>
  <si>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</si>
  <si>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</si>
  <si>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</si>
  <si>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</si>
  <si>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</si>
  <si>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</si>
  <si>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</si>
  <si>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</si>
  <si>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</si>
  <si>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</si>
  <si>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</si>
  <si>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</si>
  <si>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</si>
  <si>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</si>
  <si>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</si>
  <si>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</si>
  <si>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</si>
  <si>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</si>
  <si>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</si>
  <si>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</si>
  <si>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</si>
  <si>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</si>
  <si>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</si>
  <si>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</si>
  <si>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</si>
  <si>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</si>
  <si>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</si>
  <si>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</si>
  <si>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</si>
  <si>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</si>
  <si>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</si>
  <si>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</si>
  <si>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</si>
  <si>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</si>
  <si>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</si>
  <si>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</si>
  <si>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</si>
  <si>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</si>
  <si>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</si>
  <si>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</si>
  <si>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</si>
  <si>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</si>
  <si>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</si>
  <si>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</si>
  <si>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</si>
  <si>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</si>
  <si>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</si>
  <si>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</si>
  <si>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</si>
  <si>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</si>
  <si>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</si>
  <si>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</si>
  <si>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</si>
  <si>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</si>
  <si>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</si>
  <si>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</si>
  <si>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</si>
  <si>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</si>
  <si>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</si>
  <si>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</si>
  <si>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</si>
  <si>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</si>
  <si>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</si>
  <si>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</si>
  <si>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</si>
  <si>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</si>
  <si>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</si>
  <si>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</si>
  <si>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</si>
  <si>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</si>
  <si>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</si>
  <si>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</si>
  <si>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</si>
  <si>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</si>
  <si>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</si>
  <si>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</si>
  <si>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</si>
  <si>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</si>
  <si>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</si>
  <si>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</si>
  <si>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</si>
  <si>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</si>
  <si>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</si>
  <si>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</si>
  <si>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</si>
  <si>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</si>
  <si>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</si>
  <si>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</si>
  <si>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</si>
  <si>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</si>
  <si>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</si>
  <si>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</si>
  <si>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</si>
  <si>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</si>
  <si>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</si>
  <si>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</si>
  <si>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</si>
  <si>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</si>
  <si>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</si>
  <si>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</si>
  <si>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</si>
  <si>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</si>
  <si>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</si>
  <si>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</si>
  <si>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</si>
  <si>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</si>
  <si>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</si>
  <si>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</si>
  <si>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</si>
  <si>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</si>
  <si>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</si>
  <si>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</si>
  <si>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</si>
  <si>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</si>
  <si>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</si>
  <si>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</si>
  <si>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</si>
  <si>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</si>
  <si>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</si>
  <si>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</si>
  <si>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</si>
  <si>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</si>
  <si>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</si>
  <si>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</si>
  <si>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</si>
  <si>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</si>
  <si>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</si>
  <si>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</si>
  <si>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</si>
  <si>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</si>
  <si>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</si>
  <si>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</si>
  <si>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</si>
  <si>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</si>
  <si>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</si>
  <si>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</si>
  <si>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</si>
  <si>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</si>
  <si>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</si>
  <si>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</si>
  <si>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</si>
  <si>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</si>
  <si>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</si>
  <si>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</si>
  <si>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</si>
  <si>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</si>
  <si>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</si>
  <si>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</si>
  <si>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</si>
  <si>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</si>
  <si>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</si>
  <si>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</si>
  <si>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</si>
  <si>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</si>
  <si>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</si>
  <si>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</si>
  <si>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</si>
  <si>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</si>
  <si>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</si>
  <si>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</si>
  <si>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</si>
  <si>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</si>
  <si>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</si>
  <si>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</si>
  <si>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</si>
  <si>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</si>
  <si>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</si>
  <si>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</si>
  <si>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</si>
  <si>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</si>
  <si>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</si>
  <si>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</si>
  <si>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</si>
  <si>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</si>
  <si>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</si>
  <si>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</si>
  <si>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</si>
  <si>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</si>
  <si>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</si>
  <si>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</si>
  <si>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</si>
  <si>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</si>
  <si>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</si>
  <si>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</si>
  <si>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</si>
  <si>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</si>
  <si>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</si>
  <si>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</si>
  <si>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</si>
  <si>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</si>
  <si>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</si>
  <si>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</si>
  <si>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</si>
  <si>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</si>
  <si>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</si>
  <si>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</si>
  <si>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</si>
  <si>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</si>
  <si>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</si>
  <si>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</si>
  <si>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</si>
  <si>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</si>
  <si>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</si>
  <si>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</si>
  <si>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</si>
  <si>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</si>
  <si>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</si>
  <si>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</si>
  <si>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</si>
  <si>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</si>
  <si>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</si>
  <si>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</si>
  <si>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</si>
  <si>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</si>
  <si>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</si>
  <si>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</si>
  <si>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</si>
  <si>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</si>
  <si>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</si>
  <si>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</si>
  <si>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</si>
  <si>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</si>
  <si>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</si>
  <si>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</si>
  <si>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</si>
  <si>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</si>
  <si>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</si>
  <si>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</si>
  <si>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</si>
  <si>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</si>
  <si>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</si>
  <si>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</si>
  <si>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</si>
  <si>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</si>
  <si>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</si>
  <si>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</si>
  <si>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</si>
  <si>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</si>
  <si>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</si>
  <si>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</si>
  <si>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</si>
  <si>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</si>
  <si>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</si>
  <si>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</si>
  <si>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</si>
  <si>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</si>
  <si>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</si>
  <si>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</si>
  <si>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</si>
  <si>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</si>
  <si>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</si>
  <si>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</si>
  <si>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</si>
  <si>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</si>
  <si>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</si>
  <si>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</si>
  <si>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</si>
  <si>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</si>
  <si>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</si>
  <si>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</si>
  <si>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</si>
  <si>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</si>
  <si>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</si>
  <si>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</si>
  <si>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</si>
  <si>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</si>
  <si>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</si>
  <si>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</si>
  <si>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</si>
  <si>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</si>
  <si>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</si>
  <si>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</si>
  <si>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</si>
  <si>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</si>
  <si>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</si>
  <si>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</si>
  <si>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</si>
  <si>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</si>
  <si>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</si>
  <si>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</si>
  <si>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</si>
  <si>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</si>
  <si>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</si>
  <si>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</si>
  <si>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</si>
  <si>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</si>
  <si>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</si>
  <si>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</si>
  <si>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</si>
  <si>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</si>
  <si>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</si>
  <si>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</si>
  <si>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</si>
  <si>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</si>
  <si>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</si>
  <si>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</si>
  <si>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</si>
  <si>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</si>
  <si>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</si>
  <si>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</si>
  <si>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</si>
  <si>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</si>
  <si>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</si>
  <si>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</si>
  <si>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</si>
  <si>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</si>
  <si>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</si>
  <si>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</si>
  <si>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</si>
  <si>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</si>
  <si>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</si>
  <si>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</si>
  <si>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</si>
  <si>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</si>
  <si>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</si>
  <si>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</si>
  <si>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</si>
  <si>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</si>
  <si>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</si>
  <si>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</si>
  <si>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</si>
  <si>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</si>
  <si>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</si>
  <si>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</si>
  <si>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</si>
  <si>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</si>
  <si>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</si>
  <si>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</si>
  <si>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</si>
  <si>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</si>
  <si>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</si>
  <si>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</si>
  <si>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</si>
  <si>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</si>
  <si>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</si>
  <si>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</si>
  <si>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</si>
  <si>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</si>
  <si>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</si>
  <si>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</si>
  <si>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</si>
  <si>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</si>
  <si>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</si>
  <si>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</si>
  <si>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</si>
  <si>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</si>
  <si>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</si>
  <si>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</si>
  <si>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</si>
  <si>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</si>
  <si>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</si>
  <si>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</si>
  <si>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</si>
  <si>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</si>
  <si>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</si>
  <si>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</si>
  <si>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</si>
  <si>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</si>
  <si>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</si>
  <si>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</si>
  <si>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</si>
  <si>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</si>
  <si>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</si>
  <si>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</si>
  <si>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</si>
  <si>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</si>
  <si>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</si>
  <si>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</si>
  <si>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</si>
  <si>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</si>
  <si>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</si>
  <si>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</si>
  <si>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</si>
  <si>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</si>
  <si>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</si>
  <si>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</si>
  <si>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</si>
  <si>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</si>
  <si>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</si>
  <si>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</si>
  <si>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</si>
  <si>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</si>
  <si>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</si>
  <si>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</si>
  <si>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</si>
  <si>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</si>
  <si>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</si>
  <si>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</si>
  <si>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</si>
  <si>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</si>
  <si>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</si>
  <si>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</si>
  <si>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</si>
  <si>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</si>
  <si>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</si>
  <si>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</si>
  <si>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</si>
  <si>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</si>
  <si>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</si>
  <si>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</si>
  <si>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</si>
  <si>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</si>
  <si>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</si>
  <si>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</si>
  <si>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</si>
  <si>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</si>
  <si>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</si>
  <si>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</si>
  <si>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</si>
  <si>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</si>
  <si>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</si>
  <si>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</si>
  <si>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</si>
  <si>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</si>
  <si>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</si>
  <si>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</si>
  <si>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</si>
  <si>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</si>
  <si>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</si>
  <si>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</si>
  <si>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</si>
  <si>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</si>
  <si>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</si>
  <si>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</si>
  <si>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</si>
  <si>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</si>
  <si>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</si>
  <si>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</si>
  <si>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</si>
  <si>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</si>
  <si>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</si>
  <si>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</si>
  <si>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</si>
  <si>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</si>
  <si>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</si>
  <si>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</si>
  <si>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</si>
  <si>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</si>
  <si>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</si>
  <si>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</si>
  <si>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</si>
  <si>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</si>
  <si>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</si>
  <si>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</si>
  <si>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</si>
  <si>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</si>
  <si>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</si>
  <si>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</si>
  <si>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</si>
  <si>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</si>
  <si>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</si>
  <si>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</si>
  <si>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</si>
  <si>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</si>
  <si>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</si>
  <si>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</si>
  <si>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</si>
  <si>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</si>
  <si>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</si>
  <si>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</si>
  <si>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</si>
  <si>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</si>
  <si>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</si>
  <si>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</si>
  <si>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</si>
  <si>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</si>
  <si>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</si>
  <si>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</si>
  <si>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</si>
  <si>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</si>
  <si>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</si>
  <si>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</si>
  <si>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</si>
  <si>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</si>
  <si>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</si>
  <si>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</si>
  <si>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</si>
  <si>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</si>
  <si>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</si>
  <si>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</si>
  <si>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</si>
  <si>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</si>
  <si>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</si>
  <si>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</si>
  <si>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</si>
  <si>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</si>
  <si>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</si>
  <si>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</si>
  <si>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</si>
  <si>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</si>
  <si>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</si>
  <si>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</si>
  <si>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</si>
  <si>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</si>
  <si>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</si>
  <si>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</si>
  <si>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</si>
  <si>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</si>
  <si>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</si>
  <si>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</si>
  <si>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</si>
  <si>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</si>
  <si>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</si>
  <si>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</si>
  <si>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</si>
  <si>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</si>
  <si>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</si>
  <si>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</si>
  <si>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</si>
  <si>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</si>
  <si>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</si>
  <si>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</si>
  <si>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</si>
  <si>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</si>
  <si>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</si>
  <si>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</si>
  <si>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</si>
  <si>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</si>
  <si>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</si>
  <si>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</si>
  <si>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</si>
  <si>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</si>
  <si>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</si>
  <si>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</si>
  <si>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</si>
  <si>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</si>
  <si>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</si>
  <si>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</si>
  <si>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</si>
  <si>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</si>
  <si>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</si>
  <si>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</si>
  <si>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</si>
  <si>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</si>
  <si>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</si>
  <si>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</si>
  <si>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</si>
  <si>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</si>
  <si>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</si>
  <si>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</si>
  <si>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</si>
  <si>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</si>
  <si>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</si>
  <si>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</si>
  <si>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</si>
  <si>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</si>
  <si>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</si>
  <si>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</si>
  <si>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</si>
  <si>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</si>
  <si>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</si>
  <si>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</si>
  <si>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</si>
  <si>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</si>
  <si>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</si>
  <si>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</si>
  <si>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</si>
  <si>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</si>
  <si>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</si>
  <si>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</si>
  <si>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</si>
  <si>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</si>
  <si>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</si>
  <si>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</si>
  <si>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</si>
  <si>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</si>
  <si>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</si>
  <si>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</si>
  <si>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</si>
  <si>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</si>
  <si>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</si>
  <si>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</si>
  <si>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</si>
  <si>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</si>
  <si>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</si>
  <si>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</si>
  <si>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</si>
  <si>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</si>
  <si>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</si>
  <si>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</si>
  <si>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</si>
  <si>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</si>
  <si>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</si>
  <si>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</si>
  <si>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</si>
  <si>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</si>
  <si>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</si>
  <si>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</si>
  <si>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</si>
  <si>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</si>
  <si>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</si>
  <si>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</si>
  <si>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</si>
  <si>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</si>
  <si>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</si>
  <si>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</si>
  <si>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</si>
  <si>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</si>
  <si>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</si>
  <si>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</si>
  <si>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</si>
  <si>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</si>
  <si>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</si>
  <si>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</si>
  <si>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</si>
  <si>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</si>
  <si>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</si>
  <si>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</si>
  <si>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</si>
  <si>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</si>
  <si>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</si>
  <si>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</si>
  <si>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</si>
  <si>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</si>
  <si>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</si>
  <si>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</si>
  <si>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</si>
  <si>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</si>
  <si>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</si>
  <si>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</si>
  <si>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</si>
  <si>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</si>
  <si>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</si>
  <si>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</si>
  <si>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</si>
  <si>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</si>
  <si>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</si>
  <si>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</si>
  <si>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</si>
  <si>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</si>
  <si>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</si>
  <si>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</si>
  <si>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</si>
  <si>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</si>
  <si>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</si>
  <si>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</si>
  <si>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</si>
  <si>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</si>
  <si>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</si>
  <si>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</si>
  <si>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</si>
  <si>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</si>
  <si>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</si>
  <si>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</si>
  <si>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</si>
  <si>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</si>
  <si>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</si>
  <si>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</si>
  <si>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</si>
  <si>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</si>
  <si>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</si>
  <si>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</si>
  <si>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</si>
  <si>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</si>
  <si>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</si>
  <si>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</si>
  <si>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</si>
  <si>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</si>
  <si>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</si>
  <si>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</si>
  <si>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</si>
  <si>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</si>
  <si>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</si>
  <si>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</si>
  <si>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</si>
  <si>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</si>
  <si>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</si>
  <si>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</si>
  <si>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</si>
  <si>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</si>
  <si>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</si>
  <si>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</si>
  <si>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</si>
  <si>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</si>
  <si>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</si>
  <si>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</si>
  <si>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</si>
  <si>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</si>
  <si>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</si>
  <si>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</si>
  <si>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</si>
  <si>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</si>
  <si>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</si>
  <si>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</si>
  <si>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</si>
  <si>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</si>
  <si>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</si>
  <si>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</si>
  <si>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</si>
  <si>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</si>
  <si>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</si>
  <si>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</si>
  <si>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</si>
  <si>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</si>
  <si>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</si>
  <si>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</si>
  <si>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</si>
  <si>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</si>
  <si>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</si>
  <si>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</si>
  <si>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</si>
  <si>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</si>
  <si>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</si>
  <si>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</si>
  <si>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</si>
  <si>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</si>
  <si>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</si>
  <si>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</si>
  <si>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</si>
  <si>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</si>
  <si>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</si>
  <si>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</si>
  <si>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</si>
  <si>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</si>
  <si>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</si>
  <si>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</si>
  <si>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</si>
  <si>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</si>
  <si>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</si>
  <si>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</si>
  <si>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</si>
  <si>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</si>
  <si>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</si>
  <si>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</si>
  <si>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</si>
  <si>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</si>
  <si>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</si>
  <si>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</si>
  <si>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</si>
  <si>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</si>
  <si>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</si>
  <si>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</si>
  <si>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</si>
  <si>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</si>
  <si>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</si>
  <si>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</si>
  <si>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</si>
  <si>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</si>
  <si>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</si>
  <si>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</si>
  <si>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</si>
  <si>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</si>
  <si>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</si>
  <si>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</si>
  <si>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</si>
  <si>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</si>
  <si>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</si>
  <si>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</si>
  <si>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</si>
  <si>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</si>
  <si>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</si>
  <si>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</si>
  <si>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</si>
  <si>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</si>
  <si>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</si>
  <si>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</si>
  <si>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</si>
  <si>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</si>
  <si>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</si>
  <si>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</si>
  <si>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</si>
  <si>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</si>
  <si>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</si>
  <si>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</si>
  <si>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</si>
  <si>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</si>
  <si>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</si>
  <si>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</si>
  <si>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</si>
  <si>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</si>
  <si>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</si>
  <si>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</si>
  <si>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</si>
  <si>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</si>
  <si>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</si>
  <si>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</si>
  <si>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</si>
  <si>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</si>
  <si>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</si>
  <si>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</si>
  <si>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</si>
  <si>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</si>
  <si>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</si>
  <si>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</si>
  <si>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</si>
  <si>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</si>
  <si>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</si>
  <si>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</si>
  <si>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</si>
  <si>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</si>
  <si>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</si>
  <si>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</si>
  <si>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</si>
  <si>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</si>
  <si>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</si>
  <si>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</si>
  <si>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</si>
  <si>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</si>
  <si>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</si>
  <si>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</si>
  <si>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</si>
  <si>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</si>
  <si>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</si>
  <si>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</si>
  <si>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</si>
  <si>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</si>
  <si>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</si>
  <si>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</si>
  <si>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</si>
  <si>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</si>
  <si>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</si>
  <si>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</si>
  <si>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</si>
  <si>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</si>
  <si>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</si>
  <si>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</si>
  <si>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</si>
  <si>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</si>
  <si>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</si>
  <si>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</si>
  <si>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</si>
  <si>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</si>
  <si>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</si>
  <si>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</si>
  <si>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</si>
  <si>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</si>
  <si>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</si>
  <si>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</si>
  <si>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</si>
  <si>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</si>
  <si>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</si>
  <si>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</si>
  <si>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</si>
  <si>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</si>
  <si>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</si>
  <si>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</si>
  <si>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</si>
  <si>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</si>
  <si>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</si>
  <si>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</si>
  <si>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</si>
  <si>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</si>
  <si>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</si>
  <si>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</si>
  <si>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</si>
  <si>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</si>
  <si>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</si>
  <si>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</si>
  <si>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</si>
  <si>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</si>
  <si>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</si>
  <si>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</si>
  <si>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</si>
  <si>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地下</t>
  </si>
  <si>
    <t>车库—商业</t>
  </si>
  <si>
    <t>是</t>
  </si>
  <si>
    <t>商业</t>
    <phoneticPr fontId="7" type="noConversion"/>
  </si>
  <si>
    <t>抵押</t>
  </si>
  <si>
    <t>房地产抵押价值</t>
  </si>
  <si>
    <t>北京市</t>
  </si>
  <si>
    <t>企业</t>
  </si>
  <si>
    <t>不临65条商业街</t>
  </si>
  <si>
    <t>通路</t>
  </si>
  <si>
    <t>通电</t>
  </si>
  <si>
    <t>通讯</t>
  </si>
  <si>
    <t>通上水</t>
  </si>
  <si>
    <t>通下水</t>
  </si>
  <si>
    <t>平整</t>
  </si>
  <si>
    <t>与级别开发程度一致</t>
  </si>
  <si>
    <t>中心城区以外</t>
  </si>
  <si>
    <t>较好</t>
  </si>
  <si>
    <t>一般</t>
  </si>
  <si>
    <t>利息：取LPR加浮动点数</t>
  </si>
  <si>
    <t>成新度</t>
  </si>
  <si>
    <t>押一</t>
  </si>
  <si>
    <t>钢混</t>
  </si>
  <si>
    <t>非生产用房</t>
  </si>
  <si>
    <t>否</t>
  </si>
  <si>
    <t>收益法-办公</t>
    <phoneticPr fontId="16" type="noConversion"/>
  </si>
  <si>
    <t>收益法-车库</t>
    <phoneticPr fontId="16" type="noConversion"/>
  </si>
  <si>
    <t>收益法</t>
  </si>
  <si>
    <t>全部缴纳</t>
  </si>
  <si>
    <t>已包含在土地取得成本中</t>
  </si>
  <si>
    <t>未包含在土地购买价格中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</si>
  <si>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</si>
  <si>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</si>
  <si>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</si>
  <si>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</si>
  <si>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</si>
  <si>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</si>
  <si>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</si>
  <si>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</si>
  <si>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</si>
  <si>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</si>
  <si>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</si>
  <si>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</si>
  <si>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</si>
  <si>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</si>
  <si>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</si>
  <si>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</si>
  <si>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</si>
  <si>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北京市怀柔区怀北、雁栖镇HR00-0211-6031地块〔城市客厅B地块(北侧地块)〕F3其他类多功能用地(怀柔科学城核心区及周边土地一级开发项目)</t>
  </si>
  <si>
    <t>商业/办公用地</t>
  </si>
  <si>
    <t>挂牌</t>
  </si>
  <si>
    <t>F3其他类多功能用地</t>
  </si>
  <si>
    <t>2022-01-19</t>
  </si>
  <si>
    <t>北京怀柔科学城城开三部开发建设有限公司</t>
  </si>
  <si>
    <t>2星</t>
  </si>
  <si>
    <t>北京市怀柔区北房镇、怀北镇HR00-0211-6027、6028、6029、6030地块(城市客厅C地块)F3其他类多功能用地(怀柔科学城核心区及周边土地一级开发项目)</t>
  </si>
  <si>
    <t>北京怀柔科学城城开四部开发建设有限公司</t>
  </si>
  <si>
    <t>北京市怀柔区怀北镇雁柏山庄北侧地块B1商业用地</t>
  </si>
  <si>
    <t>≤0.45</t>
  </si>
  <si>
    <t>B1商业用地</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</si>
  <si>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</si>
  <si>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</si>
  <si>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</si>
  <si>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</si>
  <si>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</si>
  <si>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</si>
  <si>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4星</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</si>
  <si>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</si>
  <si>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</si>
  <si>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</si>
  <si>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</si>
  <si>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</si>
  <si>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</si>
  <si>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</si>
  <si>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</si>
  <si>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</si>
  <si>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</si>
  <si>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正常</t>
    <phoneticPr fontId="30" type="noConversion"/>
  </si>
  <si>
    <t>正常</t>
    <phoneticPr fontId="30" type="noConversion"/>
  </si>
  <si>
    <t>自定义容积率</t>
  </si>
  <si>
    <t>容积率</t>
    <phoneticPr fontId="134" type="noConversion"/>
  </si>
  <si>
    <t>系数</t>
    <phoneticPr fontId="134" type="noConversion"/>
  </si>
  <si>
    <t>系数转换</t>
    <phoneticPr fontId="134" type="noConversion"/>
  </si>
  <si>
    <t>修正系数</t>
    <phoneticPr fontId="134" type="noConversion"/>
  </si>
  <si>
    <t>楼面积修正</t>
    <phoneticPr fontId="134" type="noConversion"/>
  </si>
  <si>
    <t>单位面积地价</t>
  </si>
  <si>
    <t>一般</t>
    <phoneticPr fontId="30" type="noConversion"/>
  </si>
  <si>
    <t>较好</t>
    <phoneticPr fontId="30" type="noConversion"/>
  </si>
  <si>
    <t>七通</t>
    <phoneticPr fontId="30" type="noConversion"/>
  </si>
  <si>
    <t>七通</t>
    <phoneticPr fontId="30" type="noConversion"/>
  </si>
  <si>
    <t>项目模式</t>
  </si>
  <si>
    <t>售价</t>
  </si>
  <si>
    <t>2021年7月</t>
  </si>
  <si>
    <t>兴创国际中心B座</t>
  </si>
  <si>
    <t>大兴区</t>
  </si>
  <si>
    <t>资产交易</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</si>
  <si>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</si>
  <si>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</si>
  <si>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</si>
  <si>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</si>
  <si>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</si>
  <si>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</si>
  <si>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</si>
  <si>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</si>
  <si>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</si>
  <si>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</si>
  <si>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</si>
  <si>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</si>
  <si>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</si>
  <si>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</si>
  <si>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</si>
  <si>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</si>
  <si>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</si>
  <si>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2021年8月</t>
  </si>
  <si>
    <t>京投万科西华府</t>
  </si>
  <si>
    <t>丰台区</t>
  </si>
  <si>
    <t>京投发展、万科</t>
  </si>
  <si>
    <r>
      <rPr>
        <sz val="8"/>
        <color rgb="FF252525"/>
        <rFont val="KaiTi"/>
        <family val="3"/>
      </rPr>
      <t>京投</t>
    </r>
  </si>
  <si>
    <t>商业</t>
    <phoneticPr fontId="30" type="noConversion"/>
  </si>
  <si>
    <t>办公</t>
    <phoneticPr fontId="30" type="noConversion"/>
  </si>
  <si>
    <t>钢混</t>
    <phoneticPr fontId="30" type="noConversion"/>
  </si>
  <si>
    <t>45-50</t>
    <phoneticPr fontId="30" type="noConversion"/>
  </si>
  <si>
    <t>40-45</t>
    <phoneticPr fontId="30" type="noConversion"/>
  </si>
  <si>
    <t>35-40</t>
    <phoneticPr fontId="30" type="noConversion"/>
  </si>
  <si>
    <t>30-35</t>
    <phoneticPr fontId="30" type="noConversion"/>
  </si>
  <si>
    <t>25-30</t>
    <phoneticPr fontId="30" type="noConversion"/>
  </si>
  <si>
    <t>20-25</t>
    <phoneticPr fontId="30" type="noConversion"/>
  </si>
  <si>
    <t>15-20</t>
    <phoneticPr fontId="30" type="noConversion"/>
  </si>
  <si>
    <t>10-15</t>
    <phoneticPr fontId="30" type="noConversion"/>
  </si>
  <si>
    <t>5-10</t>
    <phoneticPr fontId="30" type="noConversion"/>
  </si>
  <si>
    <t>15-20</t>
    <phoneticPr fontId="30" type="noConversion"/>
  </si>
  <si>
    <t>电话市调</t>
    <phoneticPr fontId="134" type="noConversion"/>
  </si>
  <si>
    <t>良乡国泰百货附近</t>
    <phoneticPr fontId="134" type="noConversion"/>
  </si>
  <si>
    <t>面积</t>
    <phoneticPr fontId="134" type="noConversion"/>
  </si>
  <si>
    <t>单价</t>
    <phoneticPr fontId="134" type="noConversion"/>
  </si>
  <si>
    <t>西大街</t>
    <phoneticPr fontId="30" type="noConversion"/>
  </si>
  <si>
    <t>南关大街</t>
    <phoneticPr fontId="3" type="noConversion"/>
  </si>
  <si>
    <t>良乡中学附近</t>
    <phoneticPr fontId="3" type="noConversion"/>
  </si>
  <si>
    <t>商业</t>
    <phoneticPr fontId="30" type="noConversion"/>
  </si>
  <si>
    <t>15-20</t>
    <phoneticPr fontId="30" type="noConversion"/>
  </si>
  <si>
    <t>一般</t>
    <phoneticPr fontId="30" type="noConversion"/>
  </si>
  <si>
    <t>一般</t>
    <phoneticPr fontId="30" type="noConversion"/>
  </si>
  <si>
    <r>
      <t>1</t>
    </r>
    <r>
      <rPr>
        <b/>
        <sz val="10"/>
        <color indexed="10"/>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</si>
  <si>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</si>
  <si>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</si>
  <si>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B1</t>
    </r>
    <r>
      <rPr>
        <sz val="10"/>
        <color indexed="8"/>
        <rFont val="宋体"/>
        <family val="3"/>
        <charset val="134"/>
      </rPr>
      <t>层</t>
    </r>
    <phoneticPr fontId="24" type="noConversion"/>
  </si>
  <si>
    <t>租金</t>
    <phoneticPr fontId="3" type="noConversion"/>
  </si>
  <si>
    <t>楼层系数</t>
    <phoneticPr fontId="3" type="noConversion"/>
  </si>
  <si>
    <t>面积</t>
    <phoneticPr fontId="3" type="noConversion"/>
  </si>
  <si>
    <t>独栋</t>
    <phoneticPr fontId="30" type="noConversion"/>
  </si>
  <si>
    <t>配套商业</t>
    <phoneticPr fontId="30" type="noConversion"/>
  </si>
  <si>
    <t>配套商业</t>
    <phoneticPr fontId="30" type="noConversion"/>
  </si>
  <si>
    <t>配套商业</t>
    <phoneticPr fontId="30" type="noConversion"/>
  </si>
  <si>
    <t>独栋</t>
    <phoneticPr fontId="30" type="noConversion"/>
  </si>
  <si>
    <t>大</t>
    <phoneticPr fontId="30" type="noConversion"/>
  </si>
  <si>
    <t>大</t>
    <phoneticPr fontId="30" type="noConversion"/>
  </si>
  <si>
    <t>较大</t>
    <phoneticPr fontId="30" type="noConversion"/>
  </si>
  <si>
    <t>一般</t>
    <phoneticPr fontId="30" type="noConversion"/>
  </si>
  <si>
    <t>较小</t>
    <phoneticPr fontId="30" type="noConversion"/>
  </si>
  <si>
    <t>较小</t>
    <phoneticPr fontId="30" type="noConversion"/>
  </si>
  <si>
    <t>总价</t>
  </si>
  <si>
    <t>市调信息</t>
    <phoneticPr fontId="134" type="noConversion"/>
  </si>
  <si>
    <r>
      <t>北侧南关大道繁华地段，商铺最低2</t>
    </r>
    <r>
      <rPr>
        <sz val="11"/>
        <color theme="1"/>
        <rFont val="宋体"/>
        <family val="3"/>
        <charset val="134"/>
        <scheme val="minor"/>
      </rPr>
      <t>8000，项目所在位置繁华度较南关大道有一定差距</t>
    </r>
    <phoneticPr fontId="134" type="noConversion"/>
  </si>
  <si>
    <t>周边市场（出售、租赁）案例较少</t>
    <phoneticPr fontId="134" type="noConversion"/>
  </si>
  <si>
    <t>估价对象</t>
    <phoneticPr fontId="134" type="noConversion"/>
  </si>
  <si>
    <t>农林路1号</t>
    <phoneticPr fontId="134" type="noConversion"/>
  </si>
  <si>
    <t>正常</t>
    <phoneticPr fontId="31" type="noConversion"/>
  </si>
  <si>
    <t>华亨国际中心</t>
    <phoneticPr fontId="3" type="noConversion"/>
  </si>
  <si>
    <t>绿地启航国际</t>
    <phoneticPr fontId="3" type="noConversion"/>
  </si>
  <si>
    <t>商业</t>
    <phoneticPr fontId="31" type="noConversion"/>
  </si>
  <si>
    <t>办公</t>
    <phoneticPr fontId="31" type="noConversion"/>
  </si>
  <si>
    <t>办公</t>
    <phoneticPr fontId="31" type="noConversion"/>
  </si>
  <si>
    <t>一般</t>
    <phoneticPr fontId="31" type="noConversion"/>
  </si>
  <si>
    <t>较好</t>
    <phoneticPr fontId="31" type="noConversion"/>
  </si>
  <si>
    <t>含地下</t>
    <phoneticPr fontId="31" type="noConversion"/>
  </si>
  <si>
    <t>是</t>
    <phoneticPr fontId="31" type="noConversion"/>
  </si>
  <si>
    <t>否</t>
    <phoneticPr fontId="31" type="noConversion"/>
  </si>
  <si>
    <t>精装</t>
    <phoneticPr fontId="31" type="noConversion"/>
  </si>
  <si>
    <t>简装</t>
    <phoneticPr fontId="31" type="noConversion"/>
  </si>
  <si>
    <t>普装</t>
    <phoneticPr fontId="31" type="noConversion"/>
  </si>
  <si>
    <t>毛坯</t>
    <phoneticPr fontId="31" type="noConversion"/>
  </si>
  <si>
    <t>40-50</t>
    <phoneticPr fontId="31" type="noConversion"/>
  </si>
  <si>
    <t>30-40</t>
    <phoneticPr fontId="31" type="noConversion"/>
  </si>
  <si>
    <t>20-30</t>
    <phoneticPr fontId="31" type="noConversion"/>
  </si>
  <si>
    <t>10-20</t>
    <phoneticPr fontId="31" type="noConversion"/>
  </si>
  <si>
    <t>0-10</t>
    <phoneticPr fontId="31" type="noConversion"/>
  </si>
  <si>
    <t>主干道</t>
    <phoneticPr fontId="31" type="noConversion"/>
  </si>
  <si>
    <t>次干道</t>
    <phoneticPr fontId="31" type="noConversion"/>
  </si>
  <si>
    <t>多层</t>
    <phoneticPr fontId="31" type="noConversion"/>
  </si>
  <si>
    <t>高层</t>
    <phoneticPr fontId="31" type="noConversion"/>
  </si>
  <si>
    <t>钢混</t>
    <phoneticPr fontId="31" type="noConversion"/>
  </si>
  <si>
    <t>七通</t>
    <phoneticPr fontId="31" type="noConversion"/>
  </si>
  <si>
    <t>七通</t>
    <phoneticPr fontId="31" type="noConversion"/>
  </si>
  <si>
    <t>成本法</t>
  </si>
  <si>
    <t>北京大兴国际机场临空经济区DX12-0105-6103地块S5加油加气站(加氢站)用地</t>
  </si>
  <si>
    <t>≤0.4</t>
  </si>
  <si>
    <t>S5加油加气站(加氢站)用地</t>
  </si>
  <si>
    <t>2023-01-19</t>
  </si>
  <si>
    <t>空气(北京)氢能科技有限公司</t>
  </si>
  <si>
    <t>北京经济技术开发区亦庄新城0303街区C14C-3地块F3其他类多功能用地</t>
  </si>
  <si>
    <t>≤5.0</t>
  </si>
  <si>
    <t>2022-06-23</t>
  </si>
  <si>
    <t>北京京东昆岳科技产业创新发展有限公司</t>
  </si>
  <si>
    <t>3星</t>
  </si>
  <si>
    <t>北京大兴国际机场临空经济区*DX12-0105-6006、6009*地块F3其他类多功能用地</t>
  </si>
  <si>
    <t>≤2.2</t>
  </si>
  <si>
    <t>2022-04-29</t>
  </si>
  <si>
    <t>北京新航城建设实业发展有限公司</t>
  </si>
  <si>
    <t>北京大兴国际机场临空经济区(北京部分)0205街区DX09-0103-0205地块B4综合性商业金融服务业用地</t>
  </si>
  <si>
    <t>B4综合性商业金融服务业用地</t>
  </si>
  <si>
    <t>2022-03-01</t>
  </si>
  <si>
    <t>北京经济技术开发区亦庄新城0902街区JG01-07地块F3其他类多功能用地</t>
  </si>
  <si>
    <t>2022-02-08</t>
  </si>
  <si>
    <t>中国太平洋人寿保险股份有限公司</t>
  </si>
  <si>
    <t>北京市大兴区黄村镇DX00-0201-6001地块B14旅馆用地</t>
  </si>
  <si>
    <t>B14旅馆用地</t>
  </si>
  <si>
    <t>第三批</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</si>
  <si>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</si>
  <si>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</si>
  <si>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</si>
  <si>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</si>
  <si>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</si>
  <si>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</si>
  <si>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</si>
  <si>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</si>
  <si>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</si>
  <si>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</si>
  <si>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</si>
  <si>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</si>
  <si>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</si>
  <si>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</si>
  <si>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北京市房山区长沟镇中心区FS12-0100-6022、6023等地块(北京基金小镇核心区一期)F3其他类多功能用地</t>
  </si>
  <si>
    <t>2018-06-19</t>
  </si>
  <si>
    <t>北京基金小镇控股有限公司、北京基金小镇圣泉投资中心(有限合伙)联合体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</si>
  <si>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</si>
  <si>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</si>
  <si>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</si>
  <si>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</si>
  <si>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北京市门头沟区永定镇MC00-0018-0060、0061地块B4综合性商业金融服务业用地</t>
  </si>
  <si>
    <t>2018-02-28</t>
  </si>
  <si>
    <t>金融街融辰(北京)置业有限公司、北京市京西置地有限责任公司联合体</t>
  </si>
  <si>
    <t>北京市门头沟区龙泉镇MC00-0010-6004地块B2商务用地</t>
  </si>
  <si>
    <t>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</si>
  <si>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</si>
  <si>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</si>
  <si>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</si>
  <si>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</si>
  <si>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t>
  </si>
  <si>
    <t>容积率1系数</t>
    <phoneticPr fontId="134" type="noConversion"/>
  </si>
  <si>
    <t>容积率修正</t>
  </si>
  <si>
    <r>
      <rPr>
        <sz val="10"/>
        <rFont val="宋体"/>
        <family val="3"/>
        <charset val="134"/>
      </rPr>
      <t>容积率系数</t>
    </r>
    <phoneticPr fontId="134" type="noConversion"/>
  </si>
  <si>
    <r>
      <rPr>
        <sz val="10"/>
        <rFont val="宋体"/>
        <family val="3"/>
        <charset val="134"/>
      </rPr>
      <t>修正系数</t>
    </r>
    <phoneticPr fontId="134" type="noConversion"/>
  </si>
  <si>
    <r>
      <rPr>
        <sz val="10"/>
        <rFont val="宋体"/>
        <family val="3"/>
        <charset val="134"/>
      </rPr>
      <t>楼面单价</t>
    </r>
    <phoneticPr fontId="134" type="noConversion"/>
  </si>
  <si>
    <t>较好</t>
    <phoneticPr fontId="30" type="noConversion"/>
  </si>
  <si>
    <t>一般</t>
    <phoneticPr fontId="30" type="noConversion"/>
  </si>
  <si>
    <t>九级</t>
    <phoneticPr fontId="134" type="noConversion"/>
  </si>
  <si>
    <t>七级</t>
    <phoneticPr fontId="134" type="noConversion"/>
  </si>
  <si>
    <t>十级</t>
    <phoneticPr fontId="30" type="noConversion"/>
  </si>
  <si>
    <t>六级</t>
    <phoneticPr fontId="30" type="noConversion"/>
  </si>
  <si>
    <t>七级</t>
    <phoneticPr fontId="30" type="noConversion"/>
  </si>
  <si>
    <t>八级</t>
    <phoneticPr fontId="30" type="noConversion"/>
  </si>
  <si>
    <t>九级</t>
    <phoneticPr fontId="30" type="noConversion"/>
  </si>
  <si>
    <t>商业</t>
    <phoneticPr fontId="30" type="noConversion"/>
  </si>
  <si>
    <t>B4</t>
  </si>
  <si>
    <t>B4</t>
    <phoneticPr fontId="30" type="noConversion"/>
  </si>
  <si>
    <t>F3</t>
  </si>
  <si>
    <t>F3</t>
    <phoneticPr fontId="30" type="noConversion"/>
  </si>
  <si>
    <t>吴薇</t>
  </si>
  <si>
    <t>郑燚</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</si>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</sst>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000000"/>
      <name val="KaiTi"/>
      <family val="3"/>
    </font>
    <font>
      <sz val="8"/>
      <name val="KaiTi"/>
      <family val="3"/>
    </font>
    <font>
      <sz val="8"/>
      <color rgb="FF252525"/>
      <name val="KaiTi"/>
      <family val="3"/>
    </font>
    <font>
      <sz val="8"/>
      <color theme="1"/>
      <name val="宋体"/>
      <family val="3"/>
      <charset val="134"/>
      <scheme val="minor"/>
    </font>
    <font>
      <b/>
      <sz val="8"/>
      <name val="KaiTi"/>
      <family val="1"/>
    </font>
    <font>
      <b/>
      <sz val="8"/>
      <color rgb="FF006A4D"/>
      <name val="KaiTi"/>
      <family val="3"/>
    </font>
    <font>
      <sz val="8"/>
      <color theme="1"/>
      <name val="KaiTi"/>
      <family val="3"/>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16" borderId="0" xfId="19" applyFill="1"/>
    <xf numFmtId="0" fontId="0" fillId="16"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1" fontId="269" fillId="0" borderId="176" xfId="0" applyNumberFormat="1" applyFont="1" applyBorder="1" applyAlignment="1">
      <alignment horizontal="center" vertical="top" shrinkToFit="1"/>
    </xf>
    <xf numFmtId="0" fontId="270" fillId="0" borderId="176" xfId="0" applyFont="1" applyBorder="1" applyAlignment="1">
      <alignment horizontal="center" vertical="top" wrapText="1"/>
    </xf>
    <xf numFmtId="2" fontId="269" fillId="0" borderId="176" xfId="0" applyNumberFormat="1" applyFont="1" applyBorder="1" applyAlignment="1">
      <alignment shrinkToFit="1"/>
    </xf>
    <xf numFmtId="3" fontId="271" fillId="0" borderId="176" xfId="0" applyNumberFormat="1" applyFont="1" applyBorder="1" applyAlignment="1">
      <alignment shrinkToFit="1"/>
    </xf>
    <xf numFmtId="3" fontId="271" fillId="0" borderId="177" xfId="0" applyNumberFormat="1" applyFont="1" applyBorder="1" applyAlignment="1">
      <alignment shrinkToFit="1"/>
    </xf>
    <xf numFmtId="0" fontId="270" fillId="0" borderId="176" xfId="0" applyFont="1" applyBorder="1" applyAlignment="1">
      <alignment horizontal="center" vertical="center" wrapText="1"/>
    </xf>
    <xf numFmtId="0" fontId="272" fillId="0" borderId="0" xfId="0" applyFont="1" applyAlignment="1">
      <alignment horizontal="left" vertical="top"/>
    </xf>
    <xf numFmtId="1" fontId="269" fillId="22" borderId="176" xfId="0" applyNumberFormat="1" applyFont="1" applyFill="1" applyBorder="1" applyAlignment="1">
      <alignment horizontal="center" vertical="top" shrinkToFit="1"/>
    </xf>
    <xf numFmtId="0" fontId="270" fillId="22" borderId="176" xfId="0" applyFont="1" applyFill="1" applyBorder="1" applyAlignment="1">
      <alignment horizontal="center" vertical="top" wrapText="1"/>
    </xf>
    <xf numFmtId="2" fontId="269" fillId="22" borderId="176" xfId="0" applyNumberFormat="1" applyFont="1" applyFill="1" applyBorder="1" applyAlignment="1">
      <alignment shrinkToFit="1"/>
    </xf>
    <xf numFmtId="3" fontId="271" fillId="22" borderId="176" xfId="0" applyNumberFormat="1" applyFont="1" applyFill="1" applyBorder="1" applyAlignment="1">
      <alignment shrinkToFit="1"/>
    </xf>
    <xf numFmtId="3" fontId="271" fillId="22" borderId="177" xfId="0" applyNumberFormat="1" applyFont="1" applyFill="1" applyBorder="1" applyAlignment="1">
      <alignment shrinkToFit="1"/>
    </xf>
    <xf numFmtId="0" fontId="270" fillId="22" borderId="176" xfId="0" applyFont="1" applyFill="1" applyBorder="1" applyAlignment="1">
      <alignment horizontal="center" vertical="center" wrapText="1"/>
    </xf>
    <xf numFmtId="0" fontId="273" fillId="0" borderId="178" xfId="0" applyFont="1" applyBorder="1" applyAlignment="1">
      <alignment horizontal="center" vertical="top" wrapText="1"/>
    </xf>
    <xf numFmtId="0" fontId="274" fillId="0" borderId="178" xfId="0" applyFont="1" applyBorder="1" applyAlignment="1">
      <alignment horizontal="center" vertical="top" wrapText="1"/>
    </xf>
    <xf numFmtId="0" fontId="275" fillId="0" borderId="178" xfId="0" applyFont="1" applyBorder="1" applyAlignment="1">
      <alignment horizontal="left" vertical="top" wrapText="1"/>
    </xf>
    <xf numFmtId="0" fontId="274" fillId="0" borderId="179" xfId="0" applyFont="1" applyBorder="1" applyAlignment="1">
      <alignment horizontal="left" vertical="top" wrapText="1"/>
    </xf>
    <xf numFmtId="0" fontId="274" fillId="0" borderId="178" xfId="0" applyFont="1" applyBorder="1" applyAlignment="1">
      <alignment horizontal="left" vertical="top" wrapText="1" indent="1"/>
    </xf>
    <xf numFmtId="0" fontId="57" fillId="23" borderId="13" xfId="0" applyFont="1" applyFill="1" applyBorder="1" applyAlignment="1" applyProtection="1">
      <alignment horizontal="right" vertical="center"/>
    </xf>
    <xf numFmtId="189" fontId="44" fillId="6" borderId="9"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49" fontId="68" fillId="0" borderId="44" xfId="0" applyNumberFormat="1" applyFont="1" applyFill="1" applyBorder="1" applyAlignment="1" applyProtection="1">
      <alignment horizontal="center" vertical="center" wrapText="1"/>
      <protection locked="0"/>
    </xf>
    <xf numFmtId="4" fontId="276" fillId="0" borderId="180" xfId="0" applyNumberFormat="1" applyFont="1" applyBorder="1" applyAlignment="1">
      <alignment horizontal="center" vertical="center" wrapText="1"/>
    </xf>
    <xf numFmtId="4" fontId="276" fillId="0" borderId="181" xfId="0" applyNumberFormat="1" applyFont="1" applyBorder="1" applyAlignment="1">
      <alignment horizontal="center" vertical="center" wrapText="1"/>
    </xf>
    <xf numFmtId="4" fontId="276" fillId="0" borderId="182" xfId="0" applyNumberFormat="1" applyFont="1" applyBorder="1" applyAlignment="1">
      <alignment horizontal="center" vertical="center" wrapText="1"/>
    </xf>
    <xf numFmtId="4" fontId="60" fillId="0"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2" borderId="41"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0" fontId="53" fillId="0" borderId="0" xfId="19"/>
    <xf numFmtId="0" fontId="53" fillId="0" borderId="0" xfId="19" applyFill="1"/>
    <xf numFmtId="0" fontId="0" fillId="0" borderId="0" xfId="0" applyFill="1">
      <alignment vertical="center"/>
    </xf>
    <xf numFmtId="0" fontId="53" fillId="8" borderId="0" xfId="19" applyFill="1"/>
    <xf numFmtId="0" fontId="0" fillId="8" borderId="0" xfId="0" applyFill="1">
      <alignment vertical="center"/>
    </xf>
    <xf numFmtId="0" fontId="95" fillId="16" borderId="0" xfId="0" applyFont="1" applyFill="1">
      <alignment vertical="center"/>
    </xf>
    <xf numFmtId="0" fontId="44" fillId="6" borderId="30" xfId="0" applyNumberFormat="1" applyFont="1" applyFill="1" applyBorder="1" applyAlignment="1" applyProtection="1">
      <alignment horizontal="center" vertical="center" wrapText="1"/>
      <protection locked="0"/>
    </xf>
    <xf numFmtId="0" fontId="44" fillId="18" borderId="24" xfId="0" applyNumberFormat="1" applyFont="1" applyFill="1" applyBorder="1" applyAlignment="1" applyProtection="1">
      <alignment horizontal="center" vertical="center" wrapText="1"/>
    </xf>
    <xf numFmtId="0" fontId="95" fillId="0"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179496</xdr:colOff>
      <xdr:row>65</xdr:row>
      <xdr:rowOff>65553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1838096" cy="8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12</xdr:col>
      <xdr:colOff>804555</xdr:colOff>
      <xdr:row>58</xdr:row>
      <xdr:rowOff>27715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10085715" cy="6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208324</xdr:colOff>
      <xdr:row>46</xdr:row>
      <xdr:rowOff>160920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9524" cy="8047620"/>
        </a:xfrm>
        <a:prstGeom prst="rect">
          <a:avLst/>
        </a:prstGeom>
      </xdr:spPr>
    </xdr:pic>
    <xdr:clientData/>
  </xdr:twoCellAnchor>
  <xdr:twoCellAnchor editAs="oneCell">
    <xdr:from>
      <xdr:col>0</xdr:col>
      <xdr:colOff>0</xdr:colOff>
      <xdr:row>48</xdr:row>
      <xdr:rowOff>0</xdr:rowOff>
    </xdr:from>
    <xdr:to>
      <xdr:col>14</xdr:col>
      <xdr:colOff>65467</xdr:colOff>
      <xdr:row>96</xdr:row>
      <xdr:rowOff>65639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666667" cy="8295239"/>
        </a:xfrm>
        <a:prstGeom prst="rect">
          <a:avLst/>
        </a:prstGeom>
      </xdr:spPr>
    </xdr:pic>
    <xdr:clientData/>
  </xdr:twoCellAnchor>
  <xdr:twoCellAnchor editAs="oneCell">
    <xdr:from>
      <xdr:col>0</xdr:col>
      <xdr:colOff>676274</xdr:colOff>
      <xdr:row>110</xdr:row>
      <xdr:rowOff>95250</xdr:rowOff>
    </xdr:from>
    <xdr:to>
      <xdr:col>12</xdr:col>
      <xdr:colOff>93805</xdr:colOff>
      <xdr:row>141</xdr:row>
      <xdr:rowOff>33766</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4" y="18954750"/>
          <a:ext cx="7647131" cy="5253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48</xdr:row>
      <xdr:rowOff>37067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8266667"/>
        </a:xfrm>
        <a:prstGeom prst="rect">
          <a:avLst/>
        </a:prstGeom>
      </xdr:spPr>
    </xdr:pic>
    <xdr:clientData/>
  </xdr:twoCellAnchor>
  <xdr:twoCellAnchor editAs="oneCell">
    <xdr:from>
      <xdr:col>0</xdr:col>
      <xdr:colOff>0</xdr:colOff>
      <xdr:row>49</xdr:row>
      <xdr:rowOff>0</xdr:rowOff>
    </xdr:from>
    <xdr:to>
      <xdr:col>14</xdr:col>
      <xdr:colOff>8324</xdr:colOff>
      <xdr:row>96</xdr:row>
      <xdr:rowOff>94232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9609524" cy="8152382"/>
        </a:xfrm>
        <a:prstGeom prst="rect">
          <a:avLst/>
        </a:prstGeom>
      </xdr:spPr>
    </xdr:pic>
    <xdr:clientData/>
  </xdr:twoCellAnchor>
  <xdr:twoCellAnchor editAs="oneCell">
    <xdr:from>
      <xdr:col>0</xdr:col>
      <xdr:colOff>0</xdr:colOff>
      <xdr:row>97</xdr:row>
      <xdr:rowOff>0</xdr:rowOff>
    </xdr:from>
    <xdr:to>
      <xdr:col>13</xdr:col>
      <xdr:colOff>522696</xdr:colOff>
      <xdr:row>143</xdr:row>
      <xdr:rowOff>18062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438096" cy="7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估价对象为北京市房地产，为所有。根据《国有土地使用证》[]，估价对象（分摊）出让国有建设用地使用权面积为10405.33平方米，建筑面积为20062.9平方米。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估价对象为北京市房地产,属开发建设的，该项目尚在开发建设中。根据《国有土地使用证》[]，估价对象（分摊）出让国有建设用地使用权面积为10405.33平方米，规划建筑面积为20062.9平方米。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2023年5月22日</v>
      </c>
    </row>
    <row r="13" spans="1:2" s="1201" customFormat="1">
      <c r="A13" s="1199" t="s">
        <v>529</v>
      </c>
      <c r="B13" s="120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24240</v>
      </c>
    </row>
    <row r="21" spans="1:2" s="1201" customFormat="1">
      <c r="A21" s="1199" t="s">
        <v>537</v>
      </c>
      <c r="B21" s="1200">
        <f ca="1">'预评函-2'!D7</f>
        <v>12082</v>
      </c>
    </row>
    <row r="22" spans="1:2" s="1201" customFormat="1">
      <c r="A22" s="1199" t="s">
        <v>538</v>
      </c>
      <c r="B22" s="1200" t="str">
        <f ca="1">'预评函-2'!D6</f>
        <v>贰亿肆仟贰佰肆拾万元整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24240</v>
      </c>
    </row>
    <row r="31" spans="1:2" s="1201" customFormat="1">
      <c r="A31" s="1199" t="s">
        <v>576</v>
      </c>
      <c r="B31" s="1200">
        <f ca="1">'预评函-2'!D15</f>
        <v>12082</v>
      </c>
    </row>
    <row r="32" spans="1:2" s="1201" customFormat="1">
      <c r="A32" s="1199" t="s">
        <v>543</v>
      </c>
      <c r="B32" s="1200" t="str">
        <f ca="1">'预评函-2'!D14</f>
        <v>贰亿肆仟贰佰肆拾万元整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20062.899999999998</v>
      </c>
    </row>
    <row r="44" spans="1:2" s="1201" customFormat="1">
      <c r="A44" s="1199" t="s">
        <v>575</v>
      </c>
      <c r="B44" s="1200" t="str">
        <f>'预评函-3'!C2</f>
        <v>(分摊)土地面积</v>
      </c>
    </row>
    <row r="45" spans="1:2" s="1201" customFormat="1">
      <c r="A45" s="1199" t="s">
        <v>547</v>
      </c>
      <c r="B45" s="1200">
        <f>'预评函-3'!C4</f>
        <v>10405.33</v>
      </c>
    </row>
    <row r="46" spans="1:2" s="1201" customFormat="1">
      <c r="A46" s="1199" t="s">
        <v>573</v>
      </c>
      <c r="B46" s="1200" t="str">
        <f>'预评函-3'!D2</f>
        <v>出让国有建设用地使用权价值</v>
      </c>
    </row>
    <row r="47" spans="1:2" s="1201" customFormat="1">
      <c r="A47" s="1199" t="s">
        <v>548</v>
      </c>
      <c r="B47" s="1200">
        <f ca="1">'预评函-3'!D4</f>
        <v>14447</v>
      </c>
    </row>
    <row r="48" spans="1:2" s="1201" customFormat="1">
      <c r="A48" s="1199" t="s">
        <v>549</v>
      </c>
      <c r="B48" s="1200">
        <f ca="1">'预评函-3'!E4</f>
        <v>7201</v>
      </c>
    </row>
    <row r="49" spans="1:2" s="1201" customFormat="1">
      <c r="A49" s="1199" t="s">
        <v>550</v>
      </c>
      <c r="B49" s="1200" t="str">
        <f ca="1">'预评函-3'!D5</f>
        <v>壹亿肆仟肆佰肆拾柒万元整</v>
      </c>
    </row>
    <row r="50" spans="1:2" s="1201" customFormat="1">
      <c r="A50" s="1199" t="s">
        <v>574</v>
      </c>
      <c r="B50" s="1200" t="str">
        <f>'预评函-3'!F2</f>
        <v>在建建筑物价值</v>
      </c>
    </row>
    <row r="51" spans="1:2" s="1201" customFormat="1">
      <c r="A51" s="1199" t="s">
        <v>551</v>
      </c>
      <c r="B51" s="1200">
        <f ca="1">'预评函-3'!F4</f>
        <v>9793</v>
      </c>
    </row>
    <row r="52" spans="1:2" s="1201" customFormat="1">
      <c r="A52" s="1199" t="s">
        <v>552</v>
      </c>
      <c r="B52" s="1200">
        <f ca="1">'预评函-3'!G4</f>
        <v>4881</v>
      </c>
    </row>
    <row r="53" spans="1:2" s="1201" customFormat="1">
      <c r="A53" s="1199" t="s">
        <v>580</v>
      </c>
      <c r="B53" s="1200" t="str">
        <f ca="1">'预评函-3'!F5</f>
        <v>玖仟柒佰玖拾叁万元整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3400</v>
      </c>
      <c r="C19" s="1545"/>
    </row>
    <row r="20" spans="1:3">
      <c r="A20" s="1544" t="s">
        <v>1048</v>
      </c>
      <c r="B20" s="1544" t="s">
        <v>3401</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1552" t="s">
        <v>385</v>
      </c>
      <c r="C54" s="1549" t="s">
        <v>583</v>
      </c>
    </row>
    <row r="55" spans="1:4">
      <c r="A55" s="3567"/>
      <c r="B55" s="1552" t="s">
        <v>386</v>
      </c>
      <c r="C55" s="1549" t="s">
        <v>584</v>
      </c>
    </row>
    <row r="56" spans="1:4">
      <c r="A56" s="3567"/>
      <c r="B56" s="1552" t="s">
        <v>387</v>
      </c>
      <c r="C56" s="1549" t="s">
        <v>588</v>
      </c>
    </row>
    <row r="57" spans="1:4">
      <c r="A57" s="356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68" t="s">
        <v>2581</v>
      </c>
      <c r="J2" s="3568"/>
      <c r="K2" s="3568"/>
      <c r="L2" s="3568"/>
      <c r="M2" s="3568"/>
      <c r="N2" s="3568"/>
      <c r="O2" s="3568"/>
      <c r="P2" s="3568"/>
      <c r="Q2" s="3568"/>
      <c r="R2" s="3568"/>
    </row>
    <row r="3" spans="1:18">
      <c r="A3" s="3016" t="s">
        <v>2502</v>
      </c>
      <c r="B3" s="3017">
        <f>项目基本情况!D3</f>
        <v>45068</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3.58</v>
      </c>
      <c r="D5" s="3021">
        <f>IF(ISERROR(ROUND(POWER(1+E5,A5-C5)*(POWER(1+E5,C5)-1)/(POWER(1+E5,A5)-1),3)),0,ROUND(POWER(1+E5,A5-C5)*(POWER(1+E5,C5)-1)/(POWER(1+E5,A5)-1),4))</f>
        <v>0.16550000000000001</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13.58</v>
      </c>
      <c r="D6" s="3021">
        <f>IF(ISERROR(ROUND(POWER(1+E6,A6-C6)*(POWER(1+E6,C6)-1)/(POWER(1+E6,A6)-1),3)),0,ROUND(POWER(1+E6,A6-C6)*(POWER(1+E6,C6)-1)/(POWER(1+E6,A6)-1),4))</f>
        <v>0.48060000000000003</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33.6</v>
      </c>
      <c r="D7" s="3021">
        <f>IF(ISERROR(ROUND(POWER(1+E7,A7-C7)*(POWER(1+E7,C7)-1)/(POWER(1+E7,A7)-1),3)),0,ROUND(POWER(1+E7,A7-C7)*(POWER(1+E7,C7)-1)/(POWER(1+E7,A7)-1),4))</f>
        <v>0.78249999999999997</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24" sqref="B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2166</v>
      </c>
      <c r="B1" s="3577" t="str">
        <f>IF(B10="北京市","北京市",C10)&amp;F10&amp;IF(结果表!G1="在建","出让国有建设用地使用权及在建建筑物",IF(结果表!G1="土地","出让国有建设用地使用权",))&amp;B9&amp;"预评估"</f>
        <v>北京市房地产抵押价值预评估</v>
      </c>
      <c r="C1" s="3578"/>
      <c r="D1" s="3578"/>
      <c r="E1" s="3578"/>
      <c r="F1" s="3578"/>
      <c r="G1" s="3578"/>
      <c r="H1" s="3578"/>
      <c r="I1" s="3579"/>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4" t="s">
        <v>2167</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0"/>
      <c r="C3" s="2371" t="s">
        <v>2169</v>
      </c>
      <c r="D3" s="2370">
        <v>45068</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5" thickBot="1">
      <c r="A4" s="1089" t="s">
        <v>2170</v>
      </c>
      <c r="B4" s="2372" t="s">
        <v>3642</v>
      </c>
      <c r="C4" s="2373">
        <f ca="1">SUMIF(注册房地产估价师,B4,估价师及机构信息!B3:B24)</f>
        <v>1419970001</v>
      </c>
      <c r="D4" s="2372" t="s">
        <v>3643</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吴薇（注册号：1419970001)、郑燚（注册号：1120070131)</v>
      </c>
      <c r="L4" s="2366"/>
      <c r="M4" s="2366"/>
      <c r="N4" s="2367"/>
      <c r="O4" s="1574"/>
      <c r="P4" s="2367"/>
      <c r="Q4" s="2367"/>
      <c r="R4" s="2367"/>
      <c r="S4" s="1680"/>
      <c r="T4" s="1743"/>
      <c r="U4" s="1743"/>
      <c r="V4" s="1743"/>
      <c r="W4" s="1743"/>
      <c r="X4" s="1743"/>
      <c r="Y4" s="1743"/>
      <c r="Z4" s="1743"/>
      <c r="AA4" s="1743"/>
      <c r="AB4" s="1743"/>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80"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81"/>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3382</v>
      </c>
      <c r="C11" s="2400"/>
      <c r="D11" s="2401"/>
      <c r="E11" s="2367"/>
      <c r="F11" s="2367"/>
      <c r="G11" s="2367"/>
      <c r="H11" s="2367"/>
      <c r="I11" s="2367"/>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2577</v>
      </c>
      <c r="J12" s="3058"/>
      <c r="K12" s="2610"/>
      <c r="L12" s="2610"/>
      <c r="M12" s="2436"/>
      <c r="N12" s="2447"/>
      <c r="O12" s="2436"/>
      <c r="P12" s="2436"/>
      <c r="Q12" s="2436"/>
      <c r="AD12" s="1743"/>
    </row>
    <row r="13" spans="1:30">
      <c r="A13" s="3419" t="s">
        <v>3334</v>
      </c>
      <c r="B13" s="2404" t="s">
        <v>2188</v>
      </c>
      <c r="C13" s="855"/>
      <c r="D13" s="855">
        <v>51945</v>
      </c>
      <c r="E13" s="855"/>
      <c r="F13" s="855">
        <v>51945</v>
      </c>
      <c r="G13" s="855"/>
      <c r="H13" s="855"/>
      <c r="I13" s="855"/>
      <c r="J13" s="3058"/>
      <c r="K13" s="2610"/>
      <c r="L13" s="2610"/>
      <c r="M13" s="2436"/>
      <c r="N13" s="2447"/>
      <c r="O13" s="2436"/>
      <c r="P13" s="2436"/>
      <c r="Q13" s="2436"/>
      <c r="AD13" s="1743"/>
    </row>
    <row r="14" spans="1:30">
      <c r="A14" s="1080"/>
      <c r="B14" s="2404" t="s">
        <v>2189</v>
      </c>
      <c r="C14" s="2405"/>
      <c r="D14" s="2405">
        <v>40</v>
      </c>
      <c r="E14" s="2405"/>
      <c r="F14" s="2405">
        <v>40</v>
      </c>
      <c r="G14" s="2405"/>
      <c r="H14" s="2405"/>
      <c r="I14" s="2405"/>
      <c r="J14" s="3059"/>
      <c r="K14" s="2610"/>
      <c r="L14" s="2610"/>
      <c r="M14" s="2436"/>
      <c r="N14" s="2447"/>
      <c r="O14" s="2436"/>
      <c r="P14" s="2436"/>
      <c r="Q14" s="2436"/>
      <c r="AD14" s="1743"/>
    </row>
    <row r="15" spans="1:30">
      <c r="A15" s="320"/>
      <c r="B15" s="2406" t="s">
        <v>2190</v>
      </c>
      <c r="C15" s="2407" t="str">
        <f>IF(A13="出让",IF(C13="","",ROUNDDOWN(MIN((C13-$D$3)/365,C14),2)),C14)</f>
        <v/>
      </c>
      <c r="D15" s="2407">
        <f>IF(A13="出让",IF(D13="","",ROUNDDOWN(MIN((D13-$D$3)/365,D14),2)),D14)</f>
        <v>18.84</v>
      </c>
      <c r="E15" s="2407" t="str">
        <f>IF(A13="出让",IF(E13="","",ROUNDDOWN(MIN((E13-$D$3)/365,E14),2)),E14)</f>
        <v/>
      </c>
      <c r="F15" s="2407">
        <f>IF(A13="出让",IF(F13="","",ROUNDDOWN(MIN((F13-$D$3)/365,F14),2)),F14)</f>
        <v>18.84</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3"/>
    </row>
    <row r="16" spans="1:30">
      <c r="A16" s="2397" t="s">
        <v>2191</v>
      </c>
      <c r="B16" s="3587"/>
      <c r="C16" s="3588"/>
      <c r="D16" s="3589"/>
      <c r="E16" s="2410" t="s">
        <v>2192</v>
      </c>
      <c r="F16" s="3590"/>
      <c r="G16" s="3591"/>
      <c r="H16" s="3591"/>
      <c r="I16" s="3592"/>
      <c r="J16" s="2436"/>
      <c r="K16" s="2614"/>
      <c r="L16" s="2448"/>
      <c r="M16" s="2448"/>
      <c r="N16" s="2506"/>
      <c r="O16" s="2448"/>
      <c r="P16" s="2506"/>
      <c r="Q16" s="2436"/>
      <c r="R16" s="2436"/>
    </row>
    <row r="17" spans="1:28">
      <c r="A17" s="313" t="s">
        <v>2193</v>
      </c>
      <c r="B17" s="302" t="s">
        <v>2194</v>
      </c>
      <c r="C17" s="8">
        <f>'数据-汇总表'!E3</f>
        <v>20062.899999999998</v>
      </c>
      <c r="D17" s="2319" t="s">
        <v>2195</v>
      </c>
      <c r="E17" s="3593" t="s">
        <v>2196</v>
      </c>
      <c r="F17" s="3594"/>
      <c r="G17" s="3594"/>
      <c r="H17" s="3594"/>
      <c r="I17" s="3595"/>
      <c r="J17" s="2436"/>
      <c r="K17" s="2615"/>
      <c r="L17" s="2448"/>
      <c r="M17" s="2448"/>
      <c r="N17" s="2506"/>
      <c r="O17" s="2448"/>
      <c r="P17" s="2506"/>
      <c r="Q17" s="2436"/>
      <c r="R17" s="2436"/>
      <c r="S17" s="2436"/>
      <c r="T17" s="2436"/>
      <c r="U17" s="2436"/>
      <c r="V17" s="2436"/>
    </row>
    <row r="18" spans="1:28" ht="24.75" thickBot="1">
      <c r="A18" s="2411" t="s">
        <v>2197</v>
      </c>
      <c r="B18" s="1089" t="s">
        <v>2198</v>
      </c>
      <c r="C18" s="2412">
        <f>'数据-汇总表'!D3</f>
        <v>10405.33</v>
      </c>
      <c r="D18" s="1091" t="s">
        <v>2199</v>
      </c>
      <c r="E18" s="3596" t="s">
        <v>2200</v>
      </c>
      <c r="F18" s="3597"/>
      <c r="G18" s="3597"/>
      <c r="H18" s="3597"/>
      <c r="I18" s="3598"/>
      <c r="J18" s="2436"/>
      <c r="K18" s="2615"/>
      <c r="L18" s="2448"/>
      <c r="M18" s="2448"/>
      <c r="N18" s="2506"/>
      <c r="O18" s="2448"/>
      <c r="P18" s="2506"/>
      <c r="Q18" s="2436"/>
      <c r="R18" s="2436"/>
      <c r="S18" s="2436"/>
      <c r="T18" s="2436"/>
      <c r="U18" s="2436"/>
      <c r="V18" s="2436"/>
    </row>
    <row r="19" spans="1:28" ht="37.5" thickTop="1" thickBot="1">
      <c r="A19" s="327" t="s">
        <v>1055</v>
      </c>
      <c r="B19" s="307" t="s">
        <v>2201</v>
      </c>
      <c r="C19" s="1561"/>
      <c r="D19" s="1562" t="s">
        <v>2202</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2203</v>
      </c>
      <c r="B20" s="3583" t="s">
        <v>2204</v>
      </c>
      <c r="C20" s="3584"/>
      <c r="D20" s="3585" t="s">
        <v>2205</v>
      </c>
      <c r="E20" s="3586"/>
      <c r="F20" s="2644" t="s">
        <v>1056</v>
      </c>
      <c r="G20" s="2661"/>
      <c r="H20" s="2661"/>
      <c r="I20" s="2661"/>
      <c r="J20" s="2436"/>
      <c r="K20" s="3582"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24.75" thickBot="1">
      <c r="A21" s="2629"/>
      <c r="B21" s="2630" t="s">
        <v>2207</v>
      </c>
      <c r="C21" s="2631" t="s">
        <v>1057</v>
      </c>
      <c r="D21" s="1566" t="s">
        <v>2208</v>
      </c>
      <c r="E21" s="2632" t="s">
        <v>1057</v>
      </c>
      <c r="F21" s="2645"/>
      <c r="G21" s="2661"/>
      <c r="H21" s="2661"/>
      <c r="I21" s="2661"/>
      <c r="J21" s="2436"/>
      <c r="K21" s="358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24.75" thickBot="1">
      <c r="A22" s="2629"/>
      <c r="B22" s="2633" t="s">
        <v>2209</v>
      </c>
      <c r="C22" s="2631" t="s">
        <v>1058</v>
      </c>
      <c r="D22" s="2660"/>
      <c r="E22" s="2660"/>
      <c r="F22" s="2660"/>
      <c r="G22" s="2661"/>
      <c r="H22" s="2661"/>
      <c r="I22" s="2661"/>
      <c r="J22" s="2436"/>
      <c r="K22" s="358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70"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0"/>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0"/>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71"/>
      <c r="B30" s="302" t="s">
        <v>2216</v>
      </c>
      <c r="C30" s="3572"/>
      <c r="D30" s="3573"/>
      <c r="E30" s="2661"/>
      <c r="F30" s="2661"/>
      <c r="G30" s="2661"/>
      <c r="H30" s="2661"/>
      <c r="I30" s="2661"/>
      <c r="J30" s="2436"/>
      <c r="K30" s="2613"/>
      <c r="L30" s="2610"/>
      <c r="M30" s="2610"/>
      <c r="N30" s="2436"/>
      <c r="O30" s="2447"/>
      <c r="P30" s="2436"/>
      <c r="Q30" s="2436"/>
      <c r="R30" s="2436"/>
      <c r="S30" s="2436"/>
      <c r="T30" s="2436"/>
      <c r="U30" s="2436"/>
      <c r="V30" s="2436"/>
    </row>
    <row r="31" spans="1:28">
      <c r="A31" s="3574" t="s">
        <v>2217</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75"/>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75"/>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c r="C34" s="2023"/>
      <c r="D34" s="2023"/>
      <c r="E34" s="2023"/>
      <c r="F34" s="2023"/>
      <c r="G34" s="2023"/>
      <c r="H34" s="2023"/>
      <c r="I34" s="2661"/>
      <c r="J34" s="2436"/>
      <c r="K34" s="2424">
        <f>COUNTIF(B34:H34,"——")</f>
        <v>0</v>
      </c>
      <c r="L34" s="323" t="s">
        <v>2219</v>
      </c>
      <c r="M34" s="323" t="s">
        <v>2220</v>
      </c>
      <c r="N34" s="323" t="s">
        <v>2221</v>
      </c>
      <c r="O34" s="323" t="s">
        <v>2222</v>
      </c>
      <c r="P34" s="323" t="s">
        <v>2223</v>
      </c>
      <c r="Q34" s="323" t="s">
        <v>2224</v>
      </c>
      <c r="R34" s="323" t="s">
        <v>2225</v>
      </c>
      <c r="S34" s="3569" t="s">
        <v>2226</v>
      </c>
      <c r="T34" s="2425" t="str">
        <f>NUMBERSTRING(7-K34,1)&amp;"通"</f>
        <v>七通</v>
      </c>
      <c r="U34" s="2436"/>
      <c r="V34" s="2436"/>
    </row>
    <row r="35" spans="1:30">
      <c r="A35" s="2426"/>
      <c r="B35" s="3576" t="s">
        <v>2227</v>
      </c>
      <c r="C35" s="3576"/>
      <c r="D35" s="3576"/>
      <c r="E35" s="3576"/>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9"/>
      <c r="T35" s="329" t="str">
        <f>IF(T34="一通",L35,IF(T34="二通",M35,IF(T34="三通",N35,IF(T34="四通",O35,IF(T34="五通",P35,IF(T34="六通",Q35,R35))))))</f>
        <v>、、、、、、</v>
      </c>
      <c r="U35" s="2436"/>
      <c r="V35" s="2436"/>
    </row>
    <row r="36" spans="1:30">
      <c r="A36" s="2427"/>
      <c r="B36" s="663" t="s">
        <v>2183</v>
      </c>
      <c r="C36" s="663" t="s">
        <v>2184</v>
      </c>
      <c r="D36" s="663" t="s">
        <v>2182</v>
      </c>
      <c r="E36" s="663" t="s">
        <v>2187</v>
      </c>
      <c r="F36" s="3061"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t="s">
        <v>307</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161</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2231</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10405.33</v>
      </c>
      <c r="B3" s="11">
        <f>IF(C3="否",G5-AT5,G5)</f>
        <v>20062.899999999998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20062.899999999998</v>
      </c>
      <c r="H5" s="13">
        <f t="shared" ref="H5:AT5" si="0">SUM(H13:H656)</f>
        <v>20062.899999999998</v>
      </c>
      <c r="I5" s="13">
        <f t="shared" si="0"/>
        <v>17193.62</v>
      </c>
      <c r="J5" s="13">
        <f t="shared" si="0"/>
        <v>0</v>
      </c>
      <c r="K5" s="13">
        <f t="shared" si="0"/>
        <v>0</v>
      </c>
      <c r="L5" s="13">
        <f t="shared" si="0"/>
        <v>0</v>
      </c>
      <c r="M5" s="13">
        <f t="shared" si="0"/>
        <v>2869.28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20062.899999999998</v>
      </c>
      <c r="BA5" s="15">
        <f t="shared" si="1"/>
        <v>20062.899999999998</v>
      </c>
      <c r="BB5" s="15">
        <f t="shared" si="1"/>
        <v>17193.62</v>
      </c>
      <c r="BC5" s="15">
        <f t="shared" si="1"/>
        <v>0</v>
      </c>
      <c r="BD5" s="15">
        <f t="shared" si="1"/>
        <v>2869.28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10405.33</v>
      </c>
      <c r="F6" s="13" t="s">
        <v>0</v>
      </c>
      <c r="G6" s="13" t="s">
        <v>1</v>
      </c>
      <c r="H6" s="17">
        <f>SUMIF(I$12:AB$12,"总值",I6:AB6)</f>
        <v>10405.33</v>
      </c>
      <c r="I6" s="13">
        <f t="shared" ref="I6:AB6" si="2">ROUND($A$3*I5/$B$3,2)</f>
        <v>8917.2199999999993</v>
      </c>
      <c r="J6" s="13">
        <f t="shared" si="2"/>
        <v>0</v>
      </c>
      <c r="K6" s="13">
        <f t="shared" si="2"/>
        <v>0</v>
      </c>
      <c r="L6" s="13">
        <f t="shared" si="2"/>
        <v>0</v>
      </c>
      <c r="M6" s="13">
        <f t="shared" si="2"/>
        <v>1488.11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10405.33</v>
      </c>
      <c r="AZ6" s="13" t="s">
        <v>2</v>
      </c>
      <c r="BA6" s="13">
        <f>ROUND($AY$6*BA5/$AZ$5,2)</f>
        <v>10405.33</v>
      </c>
      <c r="BB6" s="13">
        <f>ROUND($AY$6*BB5/$AZ$5,2)</f>
        <v>8917.2199999999993</v>
      </c>
      <c r="BC6" s="13">
        <f t="shared" ref="BC6:BH6" si="4">ROUND($AY$6*BC5/$AZ$5,2)</f>
        <v>0</v>
      </c>
      <c r="BD6" s="13">
        <f t="shared" si="4"/>
        <v>1488.11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3374</v>
      </c>
      <c r="J9" s="808"/>
      <c r="K9" s="1601" t="s">
        <v>3374</v>
      </c>
      <c r="L9" s="808"/>
      <c r="M9" s="1601" t="s">
        <v>3375</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t="s">
        <v>3376</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3377</v>
      </c>
      <c r="E13" s="13">
        <f>IF($C$3="是",ROUND($A$3*G13/$B$3,2),ROUND($A$3*(G13-AT13)/$B$3,2))</f>
        <v>10405.33</v>
      </c>
      <c r="F13" s="29"/>
      <c r="G13" s="30">
        <f>H13+AC13+AT13</f>
        <v>20062.899999999998</v>
      </c>
      <c r="H13" s="17">
        <f>SUMIF(I$12:AB$12,"总值",I13:AB13)</f>
        <v>20062.899999999998</v>
      </c>
      <c r="I13" s="1624">
        <f>6456.64+5099.48+5637.5</f>
        <v>17193.62</v>
      </c>
      <c r="J13" s="1624"/>
      <c r="K13" s="1624"/>
      <c r="L13" s="1624"/>
      <c r="M13" s="1624">
        <v>2869.28</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10405.33</v>
      </c>
      <c r="AZ13" s="13">
        <f>BA13+BL13</f>
        <v>20062.899999999998</v>
      </c>
      <c r="BA13" s="13">
        <f>SUM(BB13:BK13)</f>
        <v>20062.899999999998</v>
      </c>
      <c r="BB13" s="13">
        <f>IF($D13="是",I13-J13,0)</f>
        <v>17193.62</v>
      </c>
      <c r="BC13" s="13">
        <f>IF($D13="是",K13-L13,0)</f>
        <v>0</v>
      </c>
      <c r="BD13" s="13">
        <f>IF($D13="是",M13-N13,0)</f>
        <v>2869.28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08" t="s">
        <v>1131</v>
      </c>
      <c r="B2" s="3608"/>
      <c r="C2" s="3608"/>
      <c r="D2" s="795" t="s">
        <v>1107</v>
      </c>
      <c r="E2" s="1637" t="s">
        <v>1108</v>
      </c>
      <c r="F2" s="2656"/>
      <c r="G2" s="2647"/>
      <c r="H2" s="2648"/>
      <c r="I2" s="2322" t="s">
        <v>1132</v>
      </c>
      <c r="J2" s="2656"/>
      <c r="K2" s="2656"/>
      <c r="L2" s="2656"/>
      <c r="M2" s="2656"/>
      <c r="N2" s="2658"/>
      <c r="O2" s="2656"/>
      <c r="P2" s="2656"/>
    </row>
    <row r="3" spans="1:16" ht="15.75" thickBot="1">
      <c r="A3" s="3609" t="s">
        <v>1105</v>
      </c>
      <c r="B3" s="3609"/>
      <c r="C3" s="3609"/>
      <c r="D3" s="43">
        <f>'数据-基础表'!AY6</f>
        <v>10405.33</v>
      </c>
      <c r="E3" s="43">
        <f>'数据-基础表'!AZ5</f>
        <v>20062.899999999998</v>
      </c>
      <c r="F3" s="2656"/>
      <c r="G3" s="1144"/>
      <c r="H3" s="1025" t="s">
        <v>1106</v>
      </c>
      <c r="I3" s="854">
        <f>ROUND('数据-基础表'!B3/'数据-基础表'!A3,2)</f>
        <v>1.93</v>
      </c>
      <c r="J3" s="2656"/>
      <c r="K3" s="2656"/>
      <c r="L3" s="2656"/>
      <c r="M3" s="2656"/>
      <c r="N3" s="2658"/>
      <c r="O3" s="2656"/>
      <c r="P3" s="2656"/>
    </row>
    <row r="4" spans="1:16" ht="15">
      <c r="A4" s="3610"/>
      <c r="B4" s="3611"/>
      <c r="C4" s="3612"/>
      <c r="D4" s="1639" t="s">
        <v>1107</v>
      </c>
      <c r="E4" s="1640" t="s">
        <v>1108</v>
      </c>
      <c r="F4" s="2656"/>
      <c r="G4" s="2649" t="s">
        <v>1133</v>
      </c>
      <c r="H4" s="1025" t="s">
        <v>1113</v>
      </c>
      <c r="I4" s="854">
        <f>ROUND(SUMIF('数据-基础表'!I9:AS9,"地上",'数据-基础表'!I5:AS5)/'数据-基础表'!A3,2)</f>
        <v>1.65</v>
      </c>
      <c r="J4" s="2656"/>
      <c r="K4" s="2656"/>
      <c r="L4" s="2656"/>
      <c r="M4" s="2656"/>
      <c r="N4" s="2658"/>
      <c r="O4" s="2656"/>
      <c r="P4" s="2656"/>
    </row>
    <row r="5" spans="1:16">
      <c r="A5" s="44" t="s">
        <v>1109</v>
      </c>
      <c r="B5" s="3613" t="s">
        <v>1110</v>
      </c>
      <c r="C5" s="3613"/>
      <c r="D5" s="45">
        <f>ROUND($D$3*E5/$E$3,2)</f>
        <v>0</v>
      </c>
      <c r="E5" s="46">
        <f>SUMIF('数据-基础表'!$11:$11,"住宅",'数据-基础表'!$5:$5)</f>
        <v>0</v>
      </c>
      <c r="F5" s="2656"/>
      <c r="G5" s="1144"/>
      <c r="H5" s="1025" t="s">
        <v>1106</v>
      </c>
      <c r="I5" s="854">
        <f>ROUND(E31/D31,2)</f>
        <v>1.93</v>
      </c>
      <c r="J5" s="2656"/>
      <c r="K5" s="2656"/>
      <c r="L5" s="2656"/>
      <c r="M5" s="2656"/>
      <c r="N5" s="2656"/>
      <c r="O5" s="2656"/>
      <c r="P5" s="2656"/>
    </row>
    <row r="6" spans="1:16" ht="15" thickBot="1">
      <c r="A6" s="1642"/>
      <c r="B6" s="3613" t="s">
        <v>1111</v>
      </c>
      <c r="C6" s="3613"/>
      <c r="D6" s="45">
        <f>ROUND($D$3*E6/$E$3,2)</f>
        <v>10405.33</v>
      </c>
      <c r="E6" s="46">
        <f>E3-E5</f>
        <v>20062.899999999998</v>
      </c>
      <c r="F6" s="2656"/>
      <c r="G6" s="2650" t="s">
        <v>1112</v>
      </c>
      <c r="H6" s="1145" t="s">
        <v>1113</v>
      </c>
      <c r="I6" s="2651">
        <f>ROUND(F31/D31,2)</f>
        <v>1.65</v>
      </c>
      <c r="J6" s="2656"/>
      <c r="K6" s="2656"/>
      <c r="L6" s="2656"/>
      <c r="M6" s="2656"/>
      <c r="N6" s="2656"/>
      <c r="O6" s="2656"/>
      <c r="P6" s="2656"/>
    </row>
    <row r="7" spans="1:16" ht="15.75" thickBot="1">
      <c r="A7" s="3605"/>
      <c r="B7" s="3606"/>
      <c r="C7" s="3607"/>
      <c r="D7" s="1639" t="s">
        <v>1107</v>
      </c>
      <c r="E7" s="1643" t="s">
        <v>1114</v>
      </c>
      <c r="F7" s="2656"/>
      <c r="G7" s="2652" t="s">
        <v>1115</v>
      </c>
      <c r="H7" s="2653"/>
      <c r="I7" s="2654">
        <v>1.5</v>
      </c>
      <c r="J7" s="2656"/>
      <c r="K7" s="2656"/>
      <c r="L7" s="2656"/>
      <c r="M7" s="2656"/>
      <c r="N7" s="2656"/>
      <c r="O7" s="2656"/>
      <c r="P7" s="2656"/>
    </row>
    <row r="8" spans="1:16">
      <c r="A8" s="44" t="s">
        <v>1116</v>
      </c>
      <c r="B8" s="47" t="s">
        <v>1117</v>
      </c>
      <c r="C8" s="45" t="s">
        <v>1118</v>
      </c>
      <c r="D8" s="45">
        <f t="shared" ref="D8:D15" si="0">ROUND($D$3*E8/$E$3,2)</f>
        <v>8917.2199999999993</v>
      </c>
      <c r="E8" s="48">
        <f>SUMIF('数据-基础表'!BB10:BK10,"地上",'数据-基础表'!BB5:BK5)</f>
        <v>17193.62</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1488.11</v>
      </c>
      <c r="E14" s="48">
        <f>SUMPRODUCT(('数据-基础表'!BB10:BK10="地下")*('数据-基础表'!BB11:BK11="车库—商业")*('数据-基础表'!BB5:BK5))</f>
        <v>2869.28</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10405.33</v>
      </c>
      <c r="E16" s="50">
        <f>SUM(E8:E15)</f>
        <v>20062.899999999998</v>
      </c>
      <c r="F16" s="2656"/>
      <c r="G16" s="2657"/>
      <c r="H16" s="1646" t="s">
        <v>1135</v>
      </c>
      <c r="I16" s="1647"/>
      <c r="J16" s="1138"/>
      <c r="K16" s="3602" t="s">
        <v>1135</v>
      </c>
      <c r="L16" s="3603"/>
      <c r="M16" s="3603"/>
      <c r="N16" s="3603"/>
      <c r="O16" s="3603"/>
      <c r="P16" s="3604"/>
    </row>
    <row r="17" spans="1:19" ht="15">
      <c r="A17" s="1648" t="s">
        <v>1136</v>
      </c>
      <c r="B17" s="1649" t="s">
        <v>1137</v>
      </c>
      <c r="C17" s="1650" t="s">
        <v>1138</v>
      </c>
      <c r="D17" s="1651" t="s">
        <v>1126</v>
      </c>
      <c r="E17" s="1652" t="s">
        <v>1127</v>
      </c>
      <c r="F17" s="1653"/>
      <c r="G17" s="1654"/>
      <c r="H17" s="1655" t="s">
        <v>1139</v>
      </c>
      <c r="I17" s="1656" t="s">
        <v>1124</v>
      </c>
      <c r="J17" s="1138"/>
      <c r="K17" s="3599" t="s">
        <v>1140</v>
      </c>
      <c r="L17" s="3600"/>
      <c r="M17" s="3601"/>
      <c r="N17" s="3599" t="s">
        <v>1141</v>
      </c>
      <c r="O17" s="3600"/>
      <c r="P17" s="3601"/>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3" t="s">
        <v>3378</v>
      </c>
      <c r="D19" s="45">
        <f>ROUND($D$3*E19/$E$3,2)</f>
        <v>10405.33</v>
      </c>
      <c r="E19" s="53">
        <f t="shared" ref="E19:E26" si="1">SUM(F19:G19)</f>
        <v>20062.899999999998</v>
      </c>
      <c r="F19" s="2791">
        <f>'数据-基础表'!I13</f>
        <v>17193.62</v>
      </c>
      <c r="G19" s="2792">
        <f>'数据-基础表'!M13</f>
        <v>2869.28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10405.33</v>
      </c>
      <c r="S19" s="1026">
        <f t="shared" si="5"/>
        <v>20062.899999999998</v>
      </c>
    </row>
    <row r="20" spans="1:19">
      <c r="A20" s="1668"/>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10405.33</v>
      </c>
      <c r="E27" s="1140">
        <f>IF(SUM(E19:E26)='数据-基础表'!BA5,SUM(E19:E26),IF(F27="地上面积有误","面积有误","地下面积有误"))</f>
        <v>20062.899999999998</v>
      </c>
      <c r="F27" s="1139">
        <f>IF(SUM(F19:F26)=E8,SUM(F19:F26),"地上面积有误")</f>
        <v>17193.62</v>
      </c>
      <c r="G27" s="1141">
        <f>SUM(G19:G26)</f>
        <v>2869.28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10405.33</v>
      </c>
      <c r="S27" s="1025">
        <f>IF(SUM(S19:S26)=$E$3,SUM(S19:S26),SUM(S19:S26)&amp;"误差"&amp;ROUND(SUM(S19:S26)-E3,2))</f>
        <v>20062.899999999998</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4"/>
      <c r="B31" s="1675"/>
      <c r="C31" s="834" t="s">
        <v>1158</v>
      </c>
      <c r="D31" s="675">
        <f>D27+D30</f>
        <v>10405.33</v>
      </c>
      <c r="E31" s="675">
        <f>E27+E30</f>
        <v>20062.899999999998</v>
      </c>
      <c r="F31" s="676">
        <f>F27+F30</f>
        <v>17193.62</v>
      </c>
      <c r="G31" s="677">
        <f>G27+G30</f>
        <v>2869.28</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H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10.125" style="1680" customWidth="1"/>
    <col min="23" max="24" width="6.75" style="1680" customWidth="1"/>
    <col min="25" max="25" width="8.625" style="1680" customWidth="1"/>
    <col min="26" max="30" width="6.75" style="1680" customWidth="1"/>
    <col min="31" max="31" width="8" style="1680" customWidth="1"/>
    <col min="32" max="33" width="7.25" style="1680" customWidth="1"/>
    <col min="34" max="34" width="10"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45068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51945</v>
      </c>
      <c r="F6" s="64">
        <f>SUMIF(项目基本情况!C$12:I$12,C6,项目基本情况!C$15:I$15)</f>
        <v>18.84</v>
      </c>
      <c r="G6" s="65">
        <f>IF(ISERROR(ROUND(POWER(1+H6,D6-F6)*(POWER(1+H6,F6)-1)/(POWER(1+H6,D6)-1),3)),0,ROUND(POWER(1+H6,D6-F6)*(POWER(1+H6,F6)-1)/(POWER(1+H6,D6)-1),3))</f>
        <v>0.70099999999999996</v>
      </c>
      <c r="H6" s="731">
        <v>0.05</v>
      </c>
      <c r="I6" s="731">
        <v>5.5E-2</v>
      </c>
      <c r="J6" s="66">
        <v>7.4999999999999997E-2</v>
      </c>
      <c r="K6" s="1029">
        <f>SUMIF('数据-汇总表'!C$19:C$33,A6,'数据-汇总表'!E$19:E$33)</f>
        <v>20062.899999999998</v>
      </c>
      <c r="L6" s="732">
        <v>5000</v>
      </c>
      <c r="M6" s="67">
        <f t="shared" ref="M6:M14" si="0">ROUND(K6*L6/10000,0)</f>
        <v>10031</v>
      </c>
      <c r="N6" s="730">
        <v>0.75</v>
      </c>
      <c r="O6" s="67" t="str">
        <f>IF($N$5="成新度","——",ROUND(M6*N6,0))</f>
        <v>——</v>
      </c>
      <c r="P6" s="68" t="str">
        <f>IF($N$5="成新度","——",M6-O6)</f>
        <v>——</v>
      </c>
      <c r="Q6" s="733">
        <v>0.2</v>
      </c>
      <c r="R6" s="69">
        <f ca="1">SUMIF('数据-汇总表'!C$19:C$33,A6,'数据-汇总表'!R$19:R$27)</f>
        <v>10405.33</v>
      </c>
      <c r="S6" s="51">
        <f>IF('数据-汇总表'!$I$17="按面积比例",SUMIF('数据-汇总表'!C$19:C$33,A6,'数据-汇总表'!K$19:K$33),SUMIF('数据-汇总表'!C$19:C$33,A6,'数据-汇总表'!N$19:N$33))</f>
        <v>0</v>
      </c>
      <c r="T6" s="1171">
        <f>ROUND($L$14*S6/10000,0)</f>
        <v>0</v>
      </c>
      <c r="U6" s="3424">
        <v>2</v>
      </c>
      <c r="V6" s="70">
        <v>0.03</v>
      </c>
      <c r="W6" s="70">
        <v>0.1</v>
      </c>
      <c r="X6" s="1039"/>
      <c r="Y6" s="71">
        <f>N6</f>
        <v>0.75</v>
      </c>
      <c r="Z6" s="72"/>
      <c r="AA6" s="66"/>
      <c r="AB6" s="66"/>
      <c r="AC6" s="1039"/>
      <c r="AD6" s="73"/>
      <c r="AE6" s="1040">
        <f ca="1">IF(AN6="",0,SUMIF(INDIRECT("'"&amp;AN6&amp;"'"&amp;"!E:E"),$AE$5,INDIRECT("'"&amp;AN6&amp;"'"&amp;"!F:F")))</f>
        <v>18.84</v>
      </c>
      <c r="AF6" s="1346"/>
      <c r="AG6" s="138">
        <f>IF(AF6="",0,AE6-AF6)</f>
        <v>0</v>
      </c>
      <c r="AH6" s="74"/>
      <c r="AI6" s="76">
        <v>365</v>
      </c>
      <c r="AJ6" s="77"/>
      <c r="AK6" s="78">
        <v>5.0000000000000001E-3</v>
      </c>
      <c r="AL6" s="79">
        <v>1E-3</v>
      </c>
      <c r="AM6" s="80">
        <v>5.0000000000000001E-3</v>
      </c>
      <c r="AN6" s="1713" t="s">
        <v>3402</v>
      </c>
      <c r="AO6" s="52">
        <f ca="1">SUMIF(INDIRECT("'"&amp;AN6&amp;"'"&amp;"!A:A"),"总价",INDIRECT("'"&amp;AN6&amp;"'"&amp;"!B:B"))</f>
        <v>16158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0.70099999999999996</v>
      </c>
      <c r="H16" s="90">
        <f>ROUND(SUMPRODUCT(H6:H13,K6:K13)/SUMPRODUCT((H6:H13&gt;0)*(K6:K13)),3)</f>
        <v>0.05</v>
      </c>
      <c r="I16" s="91"/>
      <c r="J16" s="91"/>
      <c r="K16" s="92">
        <f>SUM(K6:K15)</f>
        <v>20062.899999999998</v>
      </c>
      <c r="L16" s="93">
        <f>ROUND(M16*10000/SUM(K6:K14),0)</f>
        <v>5000</v>
      </c>
      <c r="M16" s="93">
        <f>SUM(M6:M14)</f>
        <v>10031</v>
      </c>
      <c r="N16" s="94">
        <f>ROUND(SUMPRODUCT(M6:M14,N6:N14)/M16,3)</f>
        <v>0.75</v>
      </c>
      <c r="O16" s="93">
        <f>SUM(O6:O14)</f>
        <v>0</v>
      </c>
      <c r="P16" s="93">
        <f>SUM(P6:P14)</f>
        <v>0</v>
      </c>
      <c r="Q16" s="95">
        <f>ROUND(SUMPRODUCT(Q6:Q13,K6:K13)/SUMPRODUCT((Q6:Q13&gt;0)*(K6:K13)),2)</f>
        <v>0.2</v>
      </c>
      <c r="R16" s="1033">
        <f ca="1">SUM(R6:R13)</f>
        <v>10405.33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5"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6"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3504" t="s">
        <v>3523</v>
      </c>
      <c r="W21" s="3504" t="s">
        <v>3522</v>
      </c>
      <c r="X21" s="3504" t="s">
        <v>3521</v>
      </c>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5" thickBot="1">
      <c r="A22" s="1721" t="s">
        <v>1214</v>
      </c>
      <c r="B22" s="105">
        <f>B19+B20</f>
        <v>2</v>
      </c>
      <c r="C22" s="2670"/>
      <c r="D22" s="2673"/>
      <c r="E22" s="2670"/>
      <c r="F22" s="2670"/>
      <c r="G22" s="2670"/>
      <c r="H22" s="2670"/>
      <c r="I22" s="2670"/>
      <c r="J22" s="2670"/>
      <c r="K22" s="2669"/>
      <c r="L22" s="2669"/>
      <c r="M22" s="2668">
        <v>2005</v>
      </c>
      <c r="N22" s="2668"/>
      <c r="O22" s="2668"/>
      <c r="P22" s="2668"/>
      <c r="Q22" s="2668"/>
      <c r="R22" s="2668"/>
      <c r="S22" s="2668"/>
      <c r="T22" s="2668"/>
      <c r="U22" s="2668">
        <v>-1</v>
      </c>
      <c r="V22" s="2668">
        <f>'数据-汇总表'!G19</f>
        <v>2869.28</v>
      </c>
      <c r="W22" s="2668">
        <v>0.2</v>
      </c>
      <c r="X22" s="2668">
        <f>X23*W22</f>
        <v>0.60000000000000009</v>
      </c>
      <c r="Y22" s="2668">
        <f>V22*X22</f>
        <v>1721.5680000000004</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5.75" thickTop="1" thickBot="1">
      <c r="A23" s="1722" t="s">
        <v>1215</v>
      </c>
      <c r="B23" s="105">
        <f>B19+B21</f>
        <v>2</v>
      </c>
      <c r="C23" s="2670"/>
      <c r="D23" s="2673"/>
      <c r="E23" s="2670"/>
      <c r="F23" s="2670"/>
      <c r="G23" s="2670"/>
      <c r="H23" s="2670"/>
      <c r="I23" s="2670"/>
      <c r="J23" s="2670"/>
      <c r="K23" s="2669"/>
      <c r="L23" s="2669"/>
      <c r="M23" s="2668">
        <f>ROUND(1-(2023-2005)/60,2)</f>
        <v>0.7</v>
      </c>
      <c r="N23" s="2668"/>
      <c r="O23" s="2668"/>
      <c r="P23" s="2668"/>
      <c r="Q23" s="2668"/>
      <c r="R23" s="2668"/>
      <c r="S23" s="2668"/>
      <c r="T23" s="2668"/>
      <c r="U23" s="2668">
        <v>1</v>
      </c>
      <c r="V23" s="3500">
        <v>5637.5</v>
      </c>
      <c r="W23" s="2668">
        <v>1</v>
      </c>
      <c r="X23" s="2668">
        <v>3</v>
      </c>
      <c r="Y23" s="2668">
        <f>V23*X23</f>
        <v>16912.5</v>
      </c>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v>0.8</v>
      </c>
      <c r="N24" s="2668"/>
      <c r="O24" s="2668"/>
      <c r="P24" s="2668"/>
      <c r="Q24" s="2668"/>
      <c r="R24" s="2668"/>
      <c r="S24" s="2668"/>
      <c r="T24" s="2668"/>
      <c r="U24" s="2668">
        <v>2</v>
      </c>
      <c r="V24" s="3501">
        <v>6456.64</v>
      </c>
      <c r="W24" s="2668">
        <v>0.7</v>
      </c>
      <c r="X24" s="2668">
        <f>X23*W24</f>
        <v>2.0999999999999996</v>
      </c>
      <c r="Y24" s="2668">
        <f t="shared" ref="Y24:Y25" si="12">V24*X24</f>
        <v>13558.943999999998</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v>3</v>
      </c>
      <c r="V25" s="3502">
        <v>5099.4799999999996</v>
      </c>
      <c r="W25" s="2668">
        <v>0.6</v>
      </c>
      <c r="X25" s="2668">
        <f>X23*W25</f>
        <v>1.7999999999999998</v>
      </c>
      <c r="Y25" s="2668">
        <f t="shared" si="12"/>
        <v>9179.0639999999985</v>
      </c>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75" thickTop="1"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f t="shared" ref="V26" si="13">SUM(V22:V25)</f>
        <v>20062.900000000001</v>
      </c>
      <c r="W26" s="2668"/>
      <c r="X26" s="2668">
        <f>Y26/V26</f>
        <v>2.0621184375140178</v>
      </c>
      <c r="Y26" s="2668">
        <f>SUM(Y22:Y25)</f>
        <v>41372.075999999994</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c r="C27" s="2797"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401</v>
      </c>
      <c r="C29" s="2798"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799"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0.05</v>
      </c>
      <c r="C34" s="2799"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799"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9"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799"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799"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1" t="s">
        <v>3394</v>
      </c>
      <c r="B40" s="1077">
        <f ca="1">IF(A40="利息：取LPR",存贷款利率!G1,存贷款利率!G1+C40)</f>
        <v>4.1499999999999995E-2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799"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8"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8"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1"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8"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8"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0"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0" sqref="K10"/>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614" t="s">
        <v>2284</v>
      </c>
      <c r="B1" s="3615"/>
      <c r="C1" s="3615"/>
      <c r="D1" s="3615"/>
      <c r="E1" s="3615"/>
      <c r="F1" s="3615"/>
      <c r="G1" s="361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6.75">
      <c r="A4" s="2439"/>
      <c r="B4" s="323" t="s">
        <v>2252</v>
      </c>
      <c r="C4" s="2465" t="s">
        <v>2253</v>
      </c>
      <c r="D4" s="2462"/>
      <c r="E4" s="2466"/>
      <c r="F4" s="1371" t="s">
        <v>2254</v>
      </c>
      <c r="G4" s="2467" t="s">
        <v>2255</v>
      </c>
      <c r="H4" s="798"/>
      <c r="I4" s="798"/>
      <c r="J4" s="798"/>
      <c r="K4" s="798"/>
      <c r="L4" s="798"/>
      <c r="M4" s="798"/>
      <c r="N4" s="798"/>
      <c r="O4" s="798"/>
      <c r="P4" s="798"/>
      <c r="Q4" s="798"/>
      <c r="R4" s="798"/>
    </row>
    <row r="5" spans="1:29" ht="36.75">
      <c r="A5" s="2439"/>
      <c r="B5" s="323" t="s">
        <v>2256</v>
      </c>
      <c r="C5" s="2465" t="s">
        <v>2257</v>
      </c>
      <c r="D5" s="2462"/>
      <c r="E5" s="2466"/>
      <c r="F5" s="323" t="s">
        <v>2258</v>
      </c>
      <c r="G5" s="2467" t="s">
        <v>2259</v>
      </c>
      <c r="H5" s="798"/>
      <c r="I5" s="798"/>
      <c r="J5" s="798"/>
      <c r="K5" s="798"/>
      <c r="L5" s="798"/>
      <c r="M5" s="798"/>
      <c r="N5" s="798"/>
      <c r="O5" s="798"/>
      <c r="P5" s="798"/>
      <c r="Q5" s="798"/>
      <c r="R5" s="798"/>
    </row>
    <row r="6" spans="1:29" ht="36">
      <c r="A6" s="2439"/>
      <c r="B6" s="323" t="s">
        <v>2260</v>
      </c>
      <c r="C6" s="2467" t="s">
        <v>2255</v>
      </c>
      <c r="D6" s="2462"/>
      <c r="E6" s="2466"/>
      <c r="F6" s="323" t="s">
        <v>2261</v>
      </c>
      <c r="G6" s="2467" t="s">
        <v>2262</v>
      </c>
      <c r="H6" s="798"/>
      <c r="I6" s="798"/>
      <c r="J6" s="798"/>
      <c r="K6" s="798"/>
      <c r="L6" s="798"/>
      <c r="M6" s="798"/>
      <c r="N6" s="798"/>
      <c r="O6" s="798"/>
      <c r="P6" s="798"/>
      <c r="Q6" s="798"/>
      <c r="R6" s="798"/>
    </row>
    <row r="7" spans="1:29" ht="24.75" thickBot="1">
      <c r="A7" s="2439"/>
      <c r="B7" s="323" t="s">
        <v>2258</v>
      </c>
      <c r="C7" s="2467" t="s">
        <v>2259</v>
      </c>
      <c r="D7" s="2468"/>
      <c r="E7" s="2469"/>
      <c r="F7" s="2470" t="s">
        <v>2263</v>
      </c>
      <c r="G7" s="2471" t="s">
        <v>2264</v>
      </c>
      <c r="H7" s="798"/>
      <c r="I7" s="798"/>
      <c r="J7" s="798"/>
      <c r="K7" s="798"/>
      <c r="L7" s="798"/>
      <c r="M7" s="798"/>
      <c r="N7" s="798"/>
      <c r="O7" s="798"/>
      <c r="P7" s="798"/>
      <c r="Q7" s="798"/>
      <c r="R7" s="798"/>
    </row>
    <row r="8" spans="1:29">
      <c r="A8" s="2439"/>
      <c r="B8" s="323" t="s">
        <v>2261</v>
      </c>
      <c r="C8" s="2467" t="s">
        <v>2262</v>
      </c>
      <c r="D8" s="2468"/>
      <c r="E8" s="2468"/>
      <c r="F8" s="2472"/>
      <c r="G8" s="2472"/>
      <c r="H8" s="798"/>
      <c r="I8" s="798"/>
      <c r="J8" s="798"/>
      <c r="K8" s="798"/>
      <c r="L8" s="798"/>
      <c r="M8" s="798"/>
      <c r="N8" s="798"/>
      <c r="O8" s="798"/>
      <c r="P8" s="798"/>
      <c r="Q8" s="798"/>
      <c r="R8" s="798"/>
    </row>
    <row r="9" spans="1:29" ht="24">
      <c r="A9" s="2439"/>
      <c r="B9" s="323" t="s">
        <v>2265</v>
      </c>
      <c r="C9" s="2465" t="s">
        <v>2266</v>
      </c>
      <c r="D9" s="2462"/>
      <c r="E9" s="2468"/>
      <c r="F9" s="2472"/>
      <c r="G9" s="2472"/>
      <c r="H9" s="798"/>
      <c r="I9" s="798"/>
      <c r="J9" s="798"/>
      <c r="K9" s="798"/>
      <c r="L9" s="798"/>
      <c r="M9" s="798"/>
      <c r="N9" s="798"/>
      <c r="O9" s="798"/>
      <c r="P9" s="798"/>
      <c r="Q9" s="798"/>
      <c r="R9" s="798"/>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8" customFormat="1" ht="15" thickBot="1">
      <c r="A23" s="2443"/>
      <c r="B23" s="2499" t="s">
        <v>2276</v>
      </c>
      <c r="C23" s="2502"/>
      <c r="D23" s="1739"/>
      <c r="E23" s="2445"/>
      <c r="F23" s="2503" t="s">
        <v>2277</v>
      </c>
      <c r="G23" s="2504"/>
      <c r="H23" s="2488"/>
      <c r="I23" s="2489"/>
      <c r="J23" s="2488"/>
      <c r="K23" s="2488"/>
      <c r="L23" s="2489"/>
      <c r="M23" s="2488"/>
      <c r="N23" s="2488"/>
      <c r="O23" s="2489"/>
      <c r="P23" s="2488"/>
      <c r="Q23" s="2488"/>
      <c r="R23" s="2490"/>
    </row>
    <row r="24" spans="1:18" s="798" customFormat="1" ht="15" thickBot="1">
      <c r="A24" s="2446"/>
      <c r="B24" s="2503" t="s">
        <v>2278</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20062.899999999998</v>
      </c>
      <c r="C1" s="2683"/>
      <c r="D1" s="2683"/>
      <c r="E1" s="2683"/>
      <c r="F1" s="2683"/>
      <c r="G1" s="2684"/>
      <c r="H1" s="2685"/>
      <c r="I1" s="2685"/>
      <c r="J1" s="2685"/>
      <c r="K1" s="2685"/>
    </row>
    <row r="2" spans="1:11" ht="16.5">
      <c r="A2" s="2509" t="s">
        <v>653</v>
      </c>
      <c r="B2" s="2509">
        <f>SUM(C14:C23)</f>
        <v>10405.33</v>
      </c>
      <c r="C2" s="2683"/>
      <c r="D2" s="2683"/>
      <c r="E2" s="2683"/>
      <c r="F2" s="2683"/>
      <c r="G2" s="2684"/>
      <c r="H2" s="2685"/>
      <c r="I2" s="2685"/>
      <c r="J2" s="2685"/>
      <c r="K2" s="2685"/>
    </row>
    <row r="3" spans="1:11" ht="16.5">
      <c r="A3" s="2509" t="s">
        <v>662</v>
      </c>
      <c r="B3" s="2511">
        <f>项目基本情况!D3</f>
        <v>45068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24240</v>
      </c>
      <c r="C5" s="2509">
        <f ca="1">IF(B5=D14,结果表!H102,ROUND(B5*10000/$B$1,0))</f>
        <v>12082</v>
      </c>
      <c r="D5" s="2509">
        <f ca="1">ROUND(B5*10000/$B$2,0)</f>
        <v>23296</v>
      </c>
      <c r="E5" s="2683"/>
      <c r="F5" s="2684"/>
      <c r="G5" s="2684"/>
      <c r="H5" s="2685"/>
      <c r="I5" s="2685"/>
      <c r="J5" s="2685"/>
      <c r="K5" s="2685"/>
    </row>
    <row r="6" spans="1:11" ht="16.5">
      <c r="A6" s="2509" t="s">
        <v>656</v>
      </c>
      <c r="B6" s="2509">
        <f ca="1">SUM(G14:G23)</f>
        <v>24240</v>
      </c>
      <c r="C6" s="2509">
        <f ca="1">IF(B6=G14,结果表!H108,ROUND(B6*10000/$B$1,0))</f>
        <v>12082</v>
      </c>
      <c r="D6" s="2509">
        <f ca="1">ROUND(B6*10000/$B$2,0)</f>
        <v>23296</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7"/>
      <c r="F10" s="3441" t="s">
        <v>3359</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20062.899999999998</v>
      </c>
      <c r="C14" s="2515">
        <f>结果表!C118</f>
        <v>10405.33</v>
      </c>
      <c r="D14" s="2515">
        <f ca="1">结果表!H118</f>
        <v>24240</v>
      </c>
      <c r="E14" s="2515">
        <f ca="1">ROUND(D14*10000/B14,0)</f>
        <v>12082</v>
      </c>
      <c r="F14" s="2515">
        <f ca="1">ROUND(D14*10000/C14,0)</f>
        <v>23296</v>
      </c>
      <c r="G14" s="2515">
        <f ca="1">D14</f>
        <v>24240</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1" zoomScale="70" zoomScaleNormal="100" zoomScaleSheetLayoutView="70" zoomScalePageLayoutView="80" workbookViewId="0">
      <selection activeCell="D119" sqref="D119:I119"/>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0" t="str">
        <f>项目基本情况!S2</f>
        <v>北京市房地产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2" t="s">
        <v>1265</v>
      </c>
      <c r="B4" s="1753" t="s">
        <v>1266</v>
      </c>
      <c r="C4" s="1754" t="s">
        <v>3568</v>
      </c>
      <c r="D4" s="1754" t="s">
        <v>3402</v>
      </c>
      <c r="E4" s="3656" t="s">
        <v>1267</v>
      </c>
      <c r="F4" s="3657"/>
      <c r="G4" s="3657"/>
      <c r="H4" s="3657"/>
      <c r="I4" s="365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0" t="s">
        <v>1268</v>
      </c>
      <c r="B5" s="3617">
        <v>25</v>
      </c>
      <c r="C5" s="3633"/>
      <c r="D5" s="3653"/>
      <c r="E5" s="131" t="s">
        <v>1269</v>
      </c>
      <c r="F5" s="1755"/>
      <c r="G5" s="1755"/>
      <c r="H5" s="1755"/>
      <c r="I5" s="1371"/>
    </row>
    <row r="6" spans="1:12" ht="12.75">
      <c r="A6" s="3630"/>
      <c r="B6" s="3617"/>
      <c r="C6" s="3634"/>
      <c r="D6" s="3653"/>
      <c r="E6" s="131" t="s">
        <v>1270</v>
      </c>
      <c r="F6" s="1755"/>
      <c r="G6" s="1755"/>
      <c r="H6" s="1755"/>
      <c r="I6" s="1371"/>
    </row>
    <row r="7" spans="1:12" ht="12.75">
      <c r="A7" s="3630"/>
      <c r="B7" s="3617"/>
      <c r="C7" s="3635"/>
      <c r="D7" s="3653"/>
      <c r="E7" s="131" t="s">
        <v>1271</v>
      </c>
      <c r="F7" s="1755"/>
      <c r="G7" s="1755"/>
      <c r="H7" s="1755"/>
      <c r="I7" s="1371"/>
    </row>
    <row r="8" spans="1:12" ht="12.75">
      <c r="A8" s="3630" t="s">
        <v>1272</v>
      </c>
      <c r="B8" s="3617">
        <v>15</v>
      </c>
      <c r="C8" s="3633"/>
      <c r="D8" s="3653"/>
      <c r="E8" s="131" t="s">
        <v>1273</v>
      </c>
      <c r="F8" s="1755"/>
      <c r="G8" s="1755"/>
      <c r="H8" s="1755"/>
      <c r="I8" s="1371"/>
    </row>
    <row r="9" spans="1:12" ht="12.75">
      <c r="A9" s="3630"/>
      <c r="B9" s="3617"/>
      <c r="C9" s="3635"/>
      <c r="D9" s="3653"/>
      <c r="E9" s="131" t="s">
        <v>1274</v>
      </c>
      <c r="F9" s="1755"/>
      <c r="G9" s="1755"/>
      <c r="H9" s="1755"/>
      <c r="I9" s="1371"/>
    </row>
    <row r="10" spans="1:12" ht="12.75">
      <c r="A10" s="3630" t="s">
        <v>1275</v>
      </c>
      <c r="B10" s="3617">
        <v>15</v>
      </c>
      <c r="C10" s="3633"/>
      <c r="D10" s="3653"/>
      <c r="E10" s="131" t="s">
        <v>1276</v>
      </c>
      <c r="F10" s="1755"/>
      <c r="G10" s="1755"/>
      <c r="H10" s="1755"/>
      <c r="I10" s="1371"/>
    </row>
    <row r="11" spans="1:12" ht="12.75">
      <c r="A11" s="3630"/>
      <c r="B11" s="3617"/>
      <c r="C11" s="3635"/>
      <c r="D11" s="3653"/>
      <c r="E11" s="131" t="s">
        <v>1277</v>
      </c>
      <c r="F11" s="1755"/>
      <c r="G11" s="1755"/>
      <c r="H11" s="1755"/>
      <c r="I11" s="1371"/>
    </row>
    <row r="12" spans="1:12" ht="12.75">
      <c r="A12" s="3630" t="s">
        <v>1278</v>
      </c>
      <c r="B12" s="3617">
        <v>15</v>
      </c>
      <c r="C12" s="3633"/>
      <c r="D12" s="3653"/>
      <c r="E12" s="131" t="s">
        <v>1279</v>
      </c>
      <c r="F12" s="1755"/>
      <c r="G12" s="1755"/>
      <c r="H12" s="1755"/>
      <c r="I12" s="1371"/>
    </row>
    <row r="13" spans="1:12" ht="12.75">
      <c r="A13" s="3630"/>
      <c r="B13" s="3617"/>
      <c r="C13" s="3635"/>
      <c r="D13" s="3653"/>
      <c r="E13" s="131" t="s">
        <v>1280</v>
      </c>
      <c r="F13" s="1755"/>
      <c r="G13" s="1755"/>
      <c r="H13" s="1755"/>
      <c r="I13" s="1371"/>
    </row>
    <row r="14" spans="1:12" ht="12.75">
      <c r="A14" s="3630" t="s">
        <v>1281</v>
      </c>
      <c r="B14" s="3617">
        <v>30</v>
      </c>
      <c r="C14" s="3633">
        <v>7</v>
      </c>
      <c r="D14" s="3653">
        <v>3</v>
      </c>
      <c r="E14" s="131" t="s">
        <v>1282</v>
      </c>
      <c r="F14" s="1755"/>
      <c r="G14" s="1755"/>
      <c r="H14" s="1755"/>
      <c r="I14" s="1371"/>
    </row>
    <row r="15" spans="1:12" ht="12.75">
      <c r="A15" s="3630"/>
      <c r="B15" s="3617"/>
      <c r="C15" s="3634"/>
      <c r="D15" s="3653"/>
      <c r="E15" s="131" t="s">
        <v>1283</v>
      </c>
      <c r="F15" s="1755"/>
      <c r="G15" s="1755"/>
      <c r="H15" s="1755"/>
      <c r="I15" s="1371"/>
    </row>
    <row r="16" spans="1:12" ht="12.75">
      <c r="A16" s="3630"/>
      <c r="B16" s="3617"/>
      <c r="C16" s="3635"/>
      <c r="D16" s="3653"/>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40" t="s">
        <v>2129</v>
      </c>
      <c r="F18" s="3641"/>
      <c r="G18" s="3641"/>
      <c r="H18" s="3641"/>
      <c r="I18" s="3641"/>
      <c r="K18" s="302" t="s">
        <v>1289</v>
      </c>
      <c r="L18" s="302">
        <f>IF(C1="",'数据-汇总表'!E3,SUMIF(项目类型,C1,'数据-汇总表'!E17:E26)+SUMIF(项目类型,C1,'数据-汇总表'!I17:I26))</f>
        <v>20062.899999999998</v>
      </c>
      <c r="M18" s="302">
        <f>IF(C1="",'数据-汇总表'!E3,SUMIF(项目类型,C1,'数据-汇总表'!E17:E26))</f>
        <v>20062.899999999998</v>
      </c>
    </row>
    <row r="19" spans="1:36" ht="15">
      <c r="A19" s="1759" t="s">
        <v>1290</v>
      </c>
      <c r="B19" s="1760" t="s">
        <v>1291</v>
      </c>
      <c r="C19" s="134">
        <f ca="1">SUMIF(INDIRECT("'"&amp;C4&amp;"'"&amp;"!A:A"),结果表!B19,INDIRECT("'"&amp;C4&amp;"'"&amp;"!B:B"))</f>
        <v>27704</v>
      </c>
      <c r="D19" s="135">
        <f ca="1">SUMIF(INDIRECT("'"&amp;D4&amp;"'"&amp;"!A:A"),结果表!B19,INDIRECT("'"&amp;D4&amp;"'"&amp;"!B:B"))</f>
        <v>16158</v>
      </c>
      <c r="E19" s="1759" t="s">
        <v>1292</v>
      </c>
      <c r="F19" s="1760" t="s">
        <v>1291</v>
      </c>
      <c r="G19" s="136">
        <f ca="1">ROUND(C19*$C$18+D19*$D$18,0)</f>
        <v>24240</v>
      </c>
      <c r="H19" s="1761" t="s">
        <v>1293</v>
      </c>
      <c r="I19" s="129"/>
      <c r="K19" s="302" t="s">
        <v>1294</v>
      </c>
      <c r="L19" s="302">
        <f>IF(C1="",'数据-汇总表'!D3,SUMIF(项目类型,C1,'数据-汇总表'!D17:D26)+SUMIF(项目类型,C1,'数据-汇总表'!H17:H27))</f>
        <v>10405.33</v>
      </c>
      <c r="M19" s="302">
        <f>IF(C1="",'数据-汇总表'!D3,SUMIF(项目类型,C1,'数据-汇总表'!D17:D26))</f>
        <v>10405.33</v>
      </c>
    </row>
    <row r="20" spans="1:36" ht="15">
      <c r="A20" s="1762"/>
      <c r="B20" s="1025" t="s">
        <v>1295</v>
      </c>
      <c r="C20" s="137">
        <f ca="1">SUMIF(INDIRECT("'"&amp;C4&amp;"'"&amp;"!A:A"),结果表!B20,INDIRECT("'"&amp;C4&amp;"'"&amp;"!B:B"))</f>
        <v>13809</v>
      </c>
      <c r="D20" s="138">
        <f ca="1">SUMIF(INDIRECT("'"&amp;D4&amp;"'"&amp;"!A:A"),结果表!B20,INDIRECT("'"&amp;D4&amp;"'"&amp;"!B:B"))</f>
        <v>8054</v>
      </c>
      <c r="E20" s="1762"/>
      <c r="F20" s="1025" t="s">
        <v>1295</v>
      </c>
      <c r="G20" s="139">
        <f ca="1">ROUND(C20*$C$18+D20*$D$18,0)</f>
        <v>12083</v>
      </c>
      <c r="H20" s="807" t="s">
        <v>1296</v>
      </c>
      <c r="I20" s="129"/>
    </row>
    <row r="21" spans="1:36" ht="15" customHeight="1" thickBot="1">
      <c r="A21" s="827"/>
      <c r="B21" s="1763" t="s">
        <v>1297</v>
      </c>
      <c r="C21" s="718">
        <f ca="1">ROUND(C19*10000/L19,0)</f>
        <v>26625</v>
      </c>
      <c r="D21" s="719">
        <f ca="1">ROUND(D19*10000/L19,0)</f>
        <v>15529</v>
      </c>
      <c r="E21" s="827"/>
      <c r="F21" s="1763" t="s">
        <v>1297</v>
      </c>
      <c r="G21" s="140">
        <f ca="1">ROUND(G19*10000/L19,0)</f>
        <v>23296</v>
      </c>
      <c r="H21" s="1764" t="s">
        <v>1296</v>
      </c>
      <c r="I21" s="129"/>
    </row>
    <row r="22" spans="1:36" ht="15" thickBot="1">
      <c r="A22" s="1686" t="s">
        <v>1298</v>
      </c>
      <c r="B22" s="1765"/>
      <c r="C22" s="1766"/>
      <c r="D22" s="720">
        <f ca="1">IF(C19&lt;D19,D19/C19-1,C19/D19-1)</f>
        <v>0.71456863473202126</v>
      </c>
      <c r="E22" s="129"/>
      <c r="F22" s="129"/>
      <c r="G22" s="129"/>
      <c r="H22" s="129"/>
      <c r="I22" s="129"/>
    </row>
    <row r="23" spans="1:36" ht="13.5" thickBot="1">
      <c r="A23" s="1745"/>
      <c r="B23" s="1745"/>
      <c r="C23" s="1745"/>
      <c r="D23" s="1745"/>
      <c r="E23" s="129"/>
      <c r="F23" s="129"/>
      <c r="G23" s="129"/>
      <c r="H23" s="129"/>
      <c r="I23" s="129"/>
    </row>
    <row r="24" spans="1:36" ht="14.25">
      <c r="A24" s="3624" t="s">
        <v>1299</v>
      </c>
      <c r="B24" s="1760" t="s">
        <v>1291</v>
      </c>
      <c r="C24" s="136">
        <f>IF(B30=0,0,D30)</f>
        <v>0</v>
      </c>
      <c r="D24" s="1767"/>
      <c r="E24" s="129"/>
      <c r="F24" s="129"/>
      <c r="G24" s="129"/>
      <c r="H24" s="129"/>
      <c r="I24" s="129"/>
    </row>
    <row r="25" spans="1:36" ht="14.25">
      <c r="A25" s="3625"/>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24240</v>
      </c>
      <c r="D32" s="1773" t="s">
        <v>3535</v>
      </c>
      <c r="E32" s="129"/>
      <c r="F32" s="129"/>
      <c r="G32" s="129"/>
      <c r="H32" s="129"/>
      <c r="I32" s="129"/>
    </row>
    <row r="33" spans="1:15" ht="15">
      <c r="A33" s="785" t="s">
        <v>1306</v>
      </c>
      <c r="B33" s="1774"/>
      <c r="C33" s="1775" t="s">
        <v>3644</v>
      </c>
      <c r="D33" s="1776" t="s">
        <v>3568</v>
      </c>
      <c r="E33" s="1777" t="s">
        <v>1307</v>
      </c>
      <c r="F33" s="1778" t="str">
        <f>IF(D32="楼面单价","取值（单价）","取值（总价）")</f>
        <v>取值（总价）</v>
      </c>
      <c r="G33" s="129"/>
      <c r="H33" s="129"/>
      <c r="I33" s="129"/>
    </row>
    <row r="34" spans="1:15" ht="15">
      <c r="A34" s="1779"/>
      <c r="B34" s="1780" t="s">
        <v>1308</v>
      </c>
      <c r="C34" s="148">
        <f ca="1">IF(C33="自定义",F34,C32-C35)</f>
        <v>14447</v>
      </c>
      <c r="D34" s="860">
        <f ca="1">IF(C33="自定义",ROUND(C34/C32,3),IF(C33="收益比率",SUMIF(INDIRECT("'"&amp;D33&amp;"'"&amp;"!b:b"),"土地收益比率",INDIRECT("'"&amp;D33&amp;"'"&amp;"!c:c")),SUMIF(INDIRECT("'"&amp;D33&amp;"'"&amp;"!b:b"),"土地成本比率",INDIRECT("'"&amp;D33&amp;"'"&amp;"!c:c"))))</f>
        <v>0.59599999999999997</v>
      </c>
      <c r="E34" s="1781" t="s">
        <v>1309</v>
      </c>
      <c r="F34" s="1328"/>
      <c r="G34" s="129"/>
      <c r="H34" s="129"/>
      <c r="I34" s="129"/>
    </row>
    <row r="35" spans="1:15" ht="15.75" thickBot="1">
      <c r="A35" s="1782"/>
      <c r="B35" s="1783" t="s">
        <v>1310</v>
      </c>
      <c r="C35" s="1169">
        <f ca="1">IF(C33="自定义",F35,ROUND(C32*D35,0))</f>
        <v>9793</v>
      </c>
      <c r="D35" s="1170">
        <f ca="1">IF(C33="自定义",ROUND(C35/C32,3),IF(C33="收益比率",SUMIF(INDIRECT("'"&amp;D33&amp;"'"&amp;"!b:b"),"建筑物收益比率",INDIRECT("'"&amp;D33&amp;"'"&amp;"!c:c")),SUMIF(INDIRECT("'"&amp;D33&amp;"'"&amp;"!b:b"),"建筑物成本比率",INDIRECT("'"&amp;D33&amp;"'"&amp;"!c:c"))))</f>
        <v>0.40400000000000003</v>
      </c>
      <c r="E35" s="1784" t="s">
        <v>1311</v>
      </c>
      <c r="F35" s="154"/>
      <c r="G35" s="129"/>
      <c r="H35" s="129"/>
      <c r="I35" s="129"/>
    </row>
    <row r="36" spans="1:15" ht="15.75" thickBot="1">
      <c r="A36" s="3644" t="s">
        <v>1312</v>
      </c>
      <c r="B36" s="1785" t="s">
        <v>1313</v>
      </c>
      <c r="C36" s="145"/>
      <c r="D36" s="1786"/>
      <c r="E36" s="1787"/>
      <c r="F36" s="1788"/>
      <c r="G36" s="129"/>
      <c r="H36" s="129"/>
      <c r="I36" s="129"/>
    </row>
    <row r="37" spans="1:15" ht="15.75" thickBot="1">
      <c r="A37" s="3645"/>
      <c r="B37" s="1672" t="s">
        <v>1314</v>
      </c>
      <c r="C37" s="147"/>
      <c r="D37" s="1138"/>
      <c r="E37" s="1138"/>
      <c r="F37" s="1788"/>
      <c r="G37" s="129"/>
      <c r="H37" s="129"/>
      <c r="I37" s="129"/>
    </row>
    <row r="38" spans="1:15" ht="15.75" thickBot="1">
      <c r="A38" s="3646"/>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1" t="s">
        <v>1326</v>
      </c>
      <c r="B45" s="3622"/>
      <c r="C45" s="3623"/>
      <c r="D45" s="155">
        <f ca="1">ROUND(H101*F45,0)</f>
        <v>24240</v>
      </c>
      <c r="E45" s="156" t="s">
        <v>1327</v>
      </c>
      <c r="F45" s="157">
        <v>1</v>
      </c>
      <c r="G45" s="158" t="s">
        <v>1328</v>
      </c>
      <c r="H45" s="129"/>
      <c r="I45" s="129"/>
      <c r="J45" s="3699" t="s">
        <v>1329</v>
      </c>
      <c r="K45" s="3699"/>
      <c r="L45" s="3699"/>
      <c r="M45" s="3699"/>
      <c r="N45" s="3699"/>
      <c r="O45" s="3699"/>
    </row>
    <row r="46" spans="1:15" ht="14.25" customHeight="1">
      <c r="A46" s="3618" t="s">
        <v>1330</v>
      </c>
      <c r="B46" s="3619"/>
      <c r="C46" s="3619"/>
      <c r="D46" s="3619"/>
      <c r="E46" s="3619"/>
      <c r="F46" s="3619"/>
      <c r="G46" s="3620"/>
      <c r="H46" s="1804"/>
      <c r="I46" s="159"/>
      <c r="J46" s="2520">
        <v>1</v>
      </c>
      <c r="K46" s="3680" t="s">
        <v>1331</v>
      </c>
      <c r="L46" s="3680"/>
      <c r="M46" s="3700"/>
      <c r="N46" s="3700"/>
      <c r="O46" s="3700"/>
    </row>
    <row r="47" spans="1:15" ht="12" customHeight="1">
      <c r="A47" s="160" t="s">
        <v>1332</v>
      </c>
      <c r="B47" s="161"/>
      <c r="C47" s="162"/>
      <c r="D47" s="1086" t="s">
        <v>1333</v>
      </c>
      <c r="E47" s="302" t="s">
        <v>1334</v>
      </c>
      <c r="F47" s="163" t="s">
        <v>1335</v>
      </c>
      <c r="G47" s="2543" t="s">
        <v>1336</v>
      </c>
      <c r="H47" s="2544"/>
      <c r="I47" s="159"/>
      <c r="J47" s="2520">
        <v>2</v>
      </c>
      <c r="K47" s="3680" t="s">
        <v>1337</v>
      </c>
      <c r="L47" s="3680"/>
      <c r="M47" s="3701">
        <f>'数据-取费表'!B2</f>
        <v>45068</v>
      </c>
      <c r="N47" s="3701"/>
      <c r="O47" s="3701"/>
    </row>
    <row r="48" spans="1:15" ht="25.5">
      <c r="A48" s="3649" t="s">
        <v>1338</v>
      </c>
      <c r="B48" s="3632"/>
      <c r="C48" s="3632"/>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4"/>
      <c r="J48" s="2520">
        <v>3</v>
      </c>
      <c r="K48" s="3680" t="s">
        <v>1340</v>
      </c>
      <c r="L48" s="3680"/>
      <c r="M48" s="3702">
        <f ca="1">H101</f>
        <v>24240</v>
      </c>
      <c r="N48" s="3702"/>
      <c r="O48" s="3702"/>
    </row>
    <row r="49" spans="1:35" ht="25.5" customHeight="1">
      <c r="A49" s="2330" t="s">
        <v>1341</v>
      </c>
      <c r="B49" s="3616" t="s">
        <v>1342</v>
      </c>
      <c r="C49" s="3616"/>
      <c r="D49" s="1588">
        <v>0</v>
      </c>
      <c r="E49" s="324" t="s">
        <v>1343</v>
      </c>
      <c r="F49" s="2421" t="s">
        <v>28</v>
      </c>
      <c r="G49" s="3686"/>
      <c r="H49" s="2307" t="s">
        <v>2132</v>
      </c>
      <c r="I49" s="2308"/>
      <c r="J49" s="2520">
        <v>4</v>
      </c>
      <c r="K49" s="3680" t="str">
        <f>IF(项目基本情况!E8="房地产抵押价值","房地产抵押价值","抵押担保权已注销时的房地产抵押价值")</f>
        <v>房地产抵押价值</v>
      </c>
      <c r="L49" s="3680"/>
      <c r="M49" s="3702">
        <f ca="1">IF(项目基本情况!E8="房地产抵押价值",H107,H109)</f>
        <v>24240</v>
      </c>
      <c r="N49" s="3702"/>
      <c r="O49" s="3702"/>
    </row>
    <row r="50" spans="1:35" ht="25.5" customHeight="1">
      <c r="A50" s="2548"/>
      <c r="B50" s="3616" t="s">
        <v>1344</v>
      </c>
      <c r="C50" s="3616"/>
      <c r="D50" s="2549"/>
      <c r="E50" s="332"/>
      <c r="F50" s="2421"/>
      <c r="G50" s="3687"/>
      <c r="H50" s="2309" t="s">
        <v>2133</v>
      </c>
      <c r="I50" s="2308"/>
      <c r="J50" s="3699" t="s">
        <v>1345</v>
      </c>
      <c r="K50" s="3699"/>
      <c r="L50" s="3699"/>
      <c r="M50" s="3699"/>
      <c r="N50" s="3699"/>
      <c r="O50" s="3699"/>
    </row>
    <row r="51" spans="1:35" ht="20.45" customHeight="1">
      <c r="A51" s="2550"/>
      <c r="B51" s="3616" t="s">
        <v>1346</v>
      </c>
      <c r="C51" s="3616"/>
      <c r="D51" s="1086"/>
      <c r="E51" s="327"/>
      <c r="F51" s="2421"/>
      <c r="G51" s="3688"/>
      <c r="H51" s="2309" t="s">
        <v>2134</v>
      </c>
      <c r="I51" s="2308"/>
      <c r="J51" s="2521" t="s">
        <v>1347</v>
      </c>
      <c r="K51" s="3680" t="s">
        <v>1348</v>
      </c>
      <c r="L51" s="3680"/>
      <c r="M51" s="2521" t="s">
        <v>1349</v>
      </c>
      <c r="N51" s="2521" t="s">
        <v>1350</v>
      </c>
      <c r="O51" s="2521" t="s">
        <v>1351</v>
      </c>
    </row>
    <row r="52" spans="1:35" ht="24" customHeight="1">
      <c r="A52" s="2332" t="s">
        <v>1352</v>
      </c>
      <c r="B52" s="3616" t="s">
        <v>1353</v>
      </c>
      <c r="C52" s="3616"/>
      <c r="D52" s="1086">
        <f ca="1">ROUND(D45*'数据-取费表'!B41/(1+'数据-取费表'!C42),0)</f>
        <v>1270</v>
      </c>
      <c r="E52" s="2331" t="s">
        <v>1354</v>
      </c>
      <c r="F52" s="2551">
        <f>'数据-取费表'!B41</f>
        <v>5.5000000000000007E-2</v>
      </c>
      <c r="G52" s="2552"/>
      <c r="H52" s="2541"/>
      <c r="I52" s="1805"/>
      <c r="J52" s="2520">
        <v>1</v>
      </c>
      <c r="K52" s="3681" t="s">
        <v>1355</v>
      </c>
      <c r="L52" s="3681"/>
      <c r="M52" s="2522" t="b">
        <f>D48</f>
        <v>0</v>
      </c>
      <c r="N52" s="2520" t="str">
        <f>E48</f>
        <v>销售额×税（费）率</v>
      </c>
      <c r="O52" s="2523">
        <f>F48</f>
        <v>5.5000000000000007E-2</v>
      </c>
    </row>
    <row r="53" spans="1:35" ht="12" customHeight="1">
      <c r="A53" s="2332" t="s">
        <v>1356</v>
      </c>
      <c r="B53" s="3642" t="s">
        <v>2289</v>
      </c>
      <c r="C53" s="3643"/>
      <c r="D53" s="1086">
        <f ca="1">ROUND(D45*'数据-取费表'!B41/(1+'数据-取费表'!C42),0)</f>
        <v>1270</v>
      </c>
      <c r="E53" s="2331" t="s">
        <v>1354</v>
      </c>
      <c r="F53" s="2551">
        <f>'数据-取费表'!B41</f>
        <v>5.5000000000000007E-2</v>
      </c>
      <c r="G53" s="2552"/>
      <c r="H53" s="2541"/>
      <c r="I53" s="1805"/>
      <c r="J53" s="2520">
        <v>2</v>
      </c>
      <c r="K53" s="3681" t="s">
        <v>1357</v>
      </c>
      <c r="L53" s="3681"/>
      <c r="M53" s="2522">
        <f t="shared" ref="M53:O54" ca="1" si="0">D55</f>
        <v>12</v>
      </c>
      <c r="N53" s="2520" t="str">
        <f t="shared" si="0"/>
        <v>销售额×税（费）率</v>
      </c>
      <c r="O53" s="2523" t="str">
        <f t="shared" si="0"/>
        <v>免征</v>
      </c>
    </row>
    <row r="54" spans="1:35" ht="12" customHeight="1">
      <c r="A54" s="2332" t="s">
        <v>1358</v>
      </c>
      <c r="B54" s="3642" t="s">
        <v>2290</v>
      </c>
      <c r="C54" s="3643"/>
      <c r="D54" s="1086">
        <f ca="1">C68</f>
        <v>1270</v>
      </c>
      <c r="E54" s="327" t="s">
        <v>1359</v>
      </c>
      <c r="F54" s="2551">
        <f>'数据-取费表'!B41</f>
        <v>5.5000000000000007E-2</v>
      </c>
      <c r="G54" s="2552"/>
      <c r="H54" s="2553"/>
      <c r="I54" s="1805"/>
      <c r="J54" s="2520">
        <v>3</v>
      </c>
      <c r="K54" s="3681" t="s">
        <v>1360</v>
      </c>
      <c r="L54" s="3681"/>
      <c r="M54" s="2522">
        <f t="shared" ca="1" si="0"/>
        <v>13742</v>
      </c>
      <c r="N54" s="2520" t="str">
        <f t="shared" si="0"/>
        <v>增值额×税（费）率</v>
      </c>
      <c r="O54" s="2524" t="str">
        <f t="shared" si="0"/>
        <v>免征</v>
      </c>
    </row>
    <row r="55" spans="1:35" ht="24" customHeight="1">
      <c r="A55" s="3631" t="s">
        <v>1361</v>
      </c>
      <c r="B55" s="3632"/>
      <c r="C55" s="3632"/>
      <c r="D55" s="2321">
        <f ca="1">IF(H55="个人住宅",0,ROUND(D45*I55,0))</f>
        <v>12</v>
      </c>
      <c r="E55" s="2331" t="s">
        <v>1362</v>
      </c>
      <c r="F55" s="2551" t="str">
        <f>IF(H55="正常",I55,"免征")</f>
        <v>免征</v>
      </c>
      <c r="G55" s="2552"/>
      <c r="H55" s="2547"/>
      <c r="I55" s="165">
        <f>'数据-取费表'!B49</f>
        <v>5.0000000000000001E-4</v>
      </c>
      <c r="J55" s="2520">
        <f>IF(H59="非个人房产","",4)</f>
        <v>4</v>
      </c>
      <c r="K55" s="3681" t="str">
        <f>IF(H59="非个人房产","——","个人所得税")</f>
        <v>个人所得税</v>
      </c>
      <c r="L55" s="3681"/>
      <c r="M55" s="2525">
        <f ca="1">D59</f>
        <v>231</v>
      </c>
      <c r="N55" s="2037" t="str">
        <f>E59</f>
        <v>差额计税</v>
      </c>
      <c r="O55" s="2526">
        <f>F59</f>
        <v>0.01</v>
      </c>
    </row>
    <row r="56" spans="1:35" ht="24.75">
      <c r="A56" s="3631" t="s">
        <v>1363</v>
      </c>
      <c r="B56" s="3632"/>
      <c r="C56" s="3632"/>
      <c r="D56" s="2321">
        <f ca="1">IF(H56="个人住宅",D57,D58)</f>
        <v>13742</v>
      </c>
      <c r="E56" s="2331" t="s">
        <v>1364</v>
      </c>
      <c r="F56" s="2551" t="str">
        <f>IF(H56="正常",F58,"免征")</f>
        <v>免征</v>
      </c>
      <c r="G56" s="2554" t="s">
        <v>1365</v>
      </c>
      <c r="H56" s="2555"/>
      <c r="I56" s="1806"/>
      <c r="J56" s="2520" t="str">
        <f>IF(项目基本情况!K6="上海银行",IF(J55="",4,J55+1),"")</f>
        <v/>
      </c>
      <c r="K56" s="3704" t="str">
        <f>IF(项目基本情况!K6="上海银行","其他处置费用","")</f>
        <v/>
      </c>
      <c r="L56" s="3705"/>
      <c r="M56" s="2522" t="str">
        <f>IF(项目基本情况!K6="上海银行",M69,"")</f>
        <v/>
      </c>
      <c r="N56" s="3704" t="str">
        <f>IF(项目基本情况!K6="上海银行","包含处置中涉及的律师、诉讼、拍卖、评估等费用","")</f>
        <v/>
      </c>
      <c r="O56" s="3707"/>
    </row>
    <row r="57" spans="1:35" ht="12.75">
      <c r="A57" s="2332" t="s">
        <v>1341</v>
      </c>
      <c r="B57" s="3642" t="s">
        <v>1366</v>
      </c>
      <c r="C57" s="3643"/>
      <c r="D57" s="1588">
        <v>0</v>
      </c>
      <c r="E57" s="324" t="s">
        <v>1343</v>
      </c>
      <c r="F57" s="302"/>
      <c r="G57" s="2552"/>
      <c r="H57" s="2556"/>
      <c r="I57" s="1806"/>
      <c r="J57" s="3681">
        <f>IF(AND(J55="",J56=""),4,IF(项目基本情况!K6="上海银行",结果表!J56+1,结果表!J55+1))</f>
        <v>5</v>
      </c>
      <c r="K57" s="3681" t="s">
        <v>1367</v>
      </c>
      <c r="L57" s="2527" t="s">
        <v>1368</v>
      </c>
      <c r="M57" s="2528"/>
      <c r="N57" s="2529">
        <f ca="1">SUMIF(M52:M56,"&lt;9e307")</f>
        <v>13985</v>
      </c>
      <c r="O57" s="2530"/>
      <c r="P57" s="2687">
        <f ca="1">N57/M49</f>
        <v>0.57693894389438949</v>
      </c>
    </row>
    <row r="58" spans="1:35" ht="24.75">
      <c r="A58" s="2332" t="s">
        <v>1352</v>
      </c>
      <c r="B58" s="3642" t="s">
        <v>1369</v>
      </c>
      <c r="C58" s="3616"/>
      <c r="D58" s="2321">
        <f ca="1">IF(H58="转让取得",C81,C97)</f>
        <v>13742</v>
      </c>
      <c r="E58" s="2331" t="s">
        <v>1364</v>
      </c>
      <c r="F58" s="302" t="s">
        <v>28</v>
      </c>
      <c r="G58" s="2552"/>
      <c r="H58" s="2555"/>
      <c r="I58" s="1806"/>
      <c r="J58" s="3681"/>
      <c r="K58" s="3681"/>
      <c r="L58" s="2527" t="s">
        <v>1370</v>
      </c>
      <c r="M58" s="2531"/>
      <c r="N58" s="2532" t="str">
        <f ca="1">NUMBERSTRING(INT(N57*10000),2)&amp;"元整"</f>
        <v>壹亿叁仟玖佰捌拾伍万元整</v>
      </c>
      <c r="O58" s="2533"/>
    </row>
    <row r="59" spans="1:35" ht="24.75" thickBot="1">
      <c r="A59" s="3684" t="s">
        <v>1371</v>
      </c>
      <c r="B59" s="3685"/>
      <c r="C59" s="3685"/>
      <c r="D59" s="2557">
        <f ca="1">IF(H59="非个人房产","——",IF(H59="个人住宅（满五唯一有凭证）",0,IF(H59="个人其他（无凭证）",ROUND(D45*F59,0),ROUND(C67*F59,0))))</f>
        <v>231</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2135</v>
      </c>
      <c r="J59" s="3682">
        <f>J57+1</f>
        <v>6</v>
      </c>
      <c r="K59" s="3681" t="s">
        <v>1372</v>
      </c>
      <c r="L59" s="2520" t="s">
        <v>1368</v>
      </c>
      <c r="M59" s="2534"/>
      <c r="N59" s="2535">
        <f ca="1">M49-N57</f>
        <v>10255</v>
      </c>
      <c r="O59" s="2536"/>
    </row>
    <row r="60" spans="1:35" ht="12" customHeight="1">
      <c r="A60" s="1807"/>
      <c r="B60" s="1745"/>
      <c r="C60" s="1745"/>
      <c r="D60" s="1745"/>
      <c r="E60" s="1576"/>
      <c r="F60" s="1806"/>
      <c r="G60" s="1806"/>
      <c r="H60" s="1808"/>
      <c r="I60" s="129"/>
      <c r="J60" s="3683"/>
      <c r="K60" s="3681"/>
      <c r="L60" s="2527" t="s">
        <v>1370</v>
      </c>
      <c r="M60" s="2531"/>
      <c r="N60" s="2532" t="str">
        <f ca="1">NUMBERSTRING(INT(N59*10000),2)&amp;"元整"</f>
        <v>壹亿零贰佰伍拾伍万元整</v>
      </c>
      <c r="O60" s="2533"/>
    </row>
    <row r="61" spans="1:35" ht="13.5" thickBot="1">
      <c r="A61" s="3629" t="s">
        <v>1373</v>
      </c>
      <c r="B61" s="3629"/>
      <c r="C61" s="3629"/>
      <c r="D61" s="3629"/>
      <c r="E61" s="3629"/>
      <c r="F61" s="1806"/>
      <c r="G61" s="1806"/>
      <c r="H61" s="1808"/>
      <c r="I61" s="129"/>
      <c r="J61" s="2520">
        <f>J59+1</f>
        <v>7</v>
      </c>
      <c r="K61" s="3681" t="s">
        <v>1374</v>
      </c>
      <c r="L61" s="3681"/>
      <c r="M61" s="2537"/>
      <c r="N61" s="2538">
        <f ca="1">ROUND(N59*10000/'数据-汇总表'!E3,0)</f>
        <v>5111</v>
      </c>
      <c r="O61" s="2539"/>
    </row>
    <row r="62" spans="1:35" ht="12.75">
      <c r="A62" s="3647" t="s">
        <v>1375</v>
      </c>
      <c r="B62" s="3648"/>
      <c r="C62" s="2018"/>
      <c r="D62" s="2018" t="s">
        <v>1376</v>
      </c>
      <c r="E62" s="166" t="s">
        <v>1377</v>
      </c>
      <c r="F62" s="1806"/>
      <c r="G62" s="1806"/>
      <c r="H62" s="1808"/>
      <c r="I62" s="129"/>
    </row>
    <row r="63" spans="1:35" ht="12.75">
      <c r="A63" s="173" t="s">
        <v>330</v>
      </c>
      <c r="B63" s="167" t="s">
        <v>1378</v>
      </c>
      <c r="C63" s="2561">
        <f ca="1">ROUND((C64+C65)/(1+'数据-取费表'!C42),0)</f>
        <v>23086</v>
      </c>
      <c r="D63" s="167"/>
      <c r="E63" s="168"/>
      <c r="F63" s="1806"/>
      <c r="G63" s="1806"/>
      <c r="H63" s="1808"/>
      <c r="I63" s="129"/>
      <c r="J63" s="3706" t="s">
        <v>1379</v>
      </c>
      <c r="K63" s="1330" t="s">
        <v>1380</v>
      </c>
      <c r="L63" s="1330">
        <f ca="1">IF(M49&gt;10000,M49*0.5%,IF(AND(M49&gt;1000,M49&lt;=10000),M49*1%,IF(AND(M49&gt;100,M49&lt;=1000),M49*3%,IF(AND(M49&gt;10,M49&lt;=100),M49*5%,M49*8%))))</f>
        <v>121.2</v>
      </c>
      <c r="M63" s="302">
        <f ca="1">ROUND(L63,1)</f>
        <v>121.2</v>
      </c>
      <c r="N63" s="2540"/>
      <c r="Z63" s="1750"/>
      <c r="AI63" s="1751"/>
    </row>
    <row r="64" spans="1:35" ht="14.25" customHeight="1">
      <c r="A64" s="169" t="s">
        <v>325</v>
      </c>
      <c r="B64" s="170" t="s">
        <v>1381</v>
      </c>
      <c r="C64" s="2562">
        <f ca="1">D45</f>
        <v>24240</v>
      </c>
      <c r="D64" s="170" t="s">
        <v>26</v>
      </c>
      <c r="E64" s="172"/>
      <c r="F64" s="1806"/>
      <c r="G64" s="1806"/>
      <c r="H64" s="1808"/>
      <c r="I64" s="129"/>
      <c r="J64" s="3706"/>
      <c r="K64" s="1330" t="s">
        <v>1382</v>
      </c>
      <c r="L64" s="1330">
        <f ca="1">IF(M49&gt;2000,M49*0.5%,IF(AND(M49&gt;1000,M49&lt;=2000),M49*0.6%,IF(AND(M49&gt;500,M49&lt;=1000),M49*0.7%,IF(AND(M49&gt;200,M49&lt;=500),M49*0.8%,IF(AND(M49&gt;100,M49&lt;=200),M49*0.9%,IF(AND(M49&gt;50,M49&lt;=100),M49*1%,IF(AND(M49&gt;20,M49&lt;=50),M49*1.5%,IF(AND(M49&gt;10,M49&lt;=20),M49*2%,IF(AND(M49&gt;1,M49&lt;=10),M49*2.5%)))))))))</f>
        <v>121.2</v>
      </c>
      <c r="M64" s="302">
        <f t="shared" ref="M64:M65" ca="1" si="1">ROUND(L64,1)</f>
        <v>121.2</v>
      </c>
      <c r="N64" s="2541" t="s">
        <v>1383</v>
      </c>
      <c r="Z64" s="1750"/>
      <c r="AI64" s="1751"/>
    </row>
    <row r="65" spans="1:35" ht="14.25" customHeight="1">
      <c r="A65" s="169" t="s">
        <v>326</v>
      </c>
      <c r="B65" s="170" t="s">
        <v>1384</v>
      </c>
      <c r="C65" s="2563"/>
      <c r="D65" s="170"/>
      <c r="E65" s="172"/>
      <c r="F65" s="1806"/>
      <c r="G65" s="1806"/>
      <c r="H65" s="1808"/>
      <c r="I65" s="129"/>
      <c r="J65" s="3706"/>
      <c r="K65" s="1330" t="s">
        <v>1385</v>
      </c>
      <c r="L65" s="1330">
        <f ca="1">IF(M49&gt;1000,M49*0.1%,IF(AND(M49&gt;500,M49&lt;=1000),M49*0.5%,IF(AND(M49&gt;50,M49&lt;=500),M49*1%,IF(AND(M49&gt;1,M49&lt;=50),M49*1.5%))))</f>
        <v>24.240000000000002</v>
      </c>
      <c r="M65" s="302">
        <f t="shared" ca="1" si="1"/>
        <v>24.2</v>
      </c>
      <c r="N65" s="2541" t="s">
        <v>1383</v>
      </c>
      <c r="Z65" s="1750"/>
      <c r="AI65" s="1751"/>
    </row>
    <row r="66" spans="1:35" ht="14.25" customHeight="1">
      <c r="A66" s="173" t="s">
        <v>327</v>
      </c>
      <c r="B66" s="174" t="s">
        <v>1386</v>
      </c>
      <c r="C66" s="2564"/>
      <c r="D66" s="174" t="s">
        <v>26</v>
      </c>
      <c r="E66" s="1336" t="s">
        <v>671</v>
      </c>
      <c r="F66" s="1806"/>
      <c r="G66" s="1806"/>
      <c r="H66" s="1808"/>
      <c r="I66" s="129"/>
      <c r="J66" s="3706"/>
      <c r="K66" s="1330" t="s">
        <v>1387</v>
      </c>
      <c r="L66" s="1330">
        <f ca="1">M49*0.5%</f>
        <v>121.2</v>
      </c>
      <c r="M66" s="302">
        <f ca="1">IF(L66&gt;0.5,0.5,ROUND(L66,0))</f>
        <v>0.5</v>
      </c>
      <c r="N66" s="2541" t="s">
        <v>1388</v>
      </c>
      <c r="Z66" s="1750"/>
      <c r="AI66" s="1751"/>
    </row>
    <row r="67" spans="1:35" ht="14.25" customHeight="1">
      <c r="A67" s="173" t="s">
        <v>328</v>
      </c>
      <c r="B67" s="174" t="s">
        <v>1389</v>
      </c>
      <c r="C67" s="2565">
        <f ca="1">C63-C66</f>
        <v>23086</v>
      </c>
      <c r="D67" s="170" t="s">
        <v>26</v>
      </c>
      <c r="E67" s="172"/>
      <c r="F67" s="1806"/>
      <c r="G67" s="1806"/>
      <c r="H67" s="1808"/>
      <c r="I67" s="129"/>
      <c r="J67" s="3706"/>
      <c r="K67" s="1330" t="s">
        <v>1390</v>
      </c>
      <c r="L67" s="1330">
        <f ca="1">IF(M49&gt;=10000,(8.25+(M49-10000)*0.01%),IF(AND(M49&gt;=8000,M49&lt;10000),(7.85+(M49-8000)*0.02%),IF(AND(M49&gt;=5000,M49&lt;8000),(6.65+(M49-5000)*0.04%),IF(AND(M49&gt;=2000,M49&lt;5000),(4.25+(PM49-2000)*0.08%),IF(AND(M49&gt;=1000,M49&lt;2000),(2.75+(M49-1000)*0.15%),IF(AND(M49&gt;=100,M49&lt;1000),(0.5+(M49-100)*0.25%),IF(AND(M49&gt;0,M49&lt;100),M49*0.5%)))))))</f>
        <v>9.6739999999999995</v>
      </c>
      <c r="M67" s="302">
        <f ca="1">ROUND(L67*0.9,1)</f>
        <v>8.6999999999999993</v>
      </c>
      <c r="N67" s="2540"/>
      <c r="Z67" s="1750"/>
      <c r="AI67" s="1751"/>
    </row>
    <row r="68" spans="1:35" ht="14.25" customHeight="1" thickBot="1">
      <c r="A68" s="176" t="s">
        <v>329</v>
      </c>
      <c r="B68" s="177" t="s">
        <v>1391</v>
      </c>
      <c r="C68" s="2566">
        <f ca="1">IF(C67&lt;=0,0,ROUND(C67*D68,0))</f>
        <v>1270</v>
      </c>
      <c r="D68" s="2567">
        <f>'数据-取费表'!B41</f>
        <v>5.5000000000000007E-2</v>
      </c>
      <c r="E68" s="178"/>
      <c r="F68" s="1806"/>
      <c r="G68" s="1806"/>
      <c r="H68" s="1808"/>
      <c r="I68" s="129"/>
      <c r="J68" s="3706"/>
      <c r="K68" s="1330" t="s">
        <v>1392</v>
      </c>
      <c r="L68" s="1330">
        <f ca="1">IF(M49&gt;10000,M49*0.5%,IF(AND(M49&gt;5000,M49&lt;=10000),M49*1%,IF(AND(M49&gt;1000,M49&lt;=5000),M49*2%,IF(AND(M49&gt;200,M49&lt;=1000),M49*3%,M49*5%))))</f>
        <v>121.2</v>
      </c>
      <c r="M68" s="302">
        <f ca="1">ROUND(L68,1)</f>
        <v>121.2</v>
      </c>
      <c r="N68" s="2540"/>
      <c r="Z68" s="1750"/>
      <c r="AI68" s="1751"/>
    </row>
    <row r="69" spans="1:35" s="1770" customFormat="1" ht="16.5" customHeight="1">
      <c r="A69" s="1809"/>
      <c r="B69" s="1810"/>
      <c r="C69" s="1811"/>
      <c r="D69" s="1812"/>
      <c r="E69" s="1813"/>
      <c r="F69" s="1576"/>
      <c r="G69" s="1576"/>
      <c r="H69" s="1575"/>
      <c r="I69" s="1745"/>
      <c r="J69" s="3706"/>
      <c r="K69" s="1330" t="s">
        <v>1393</v>
      </c>
      <c r="L69" s="1330"/>
      <c r="M69" s="302">
        <f ca="1">ROUND(SUM(M63:M68),0)</f>
        <v>397</v>
      </c>
      <c r="N69" s="2542">
        <f ca="1">M69/M49</f>
        <v>1.6377887788778876E-2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8" t="s">
        <v>1394</v>
      </c>
      <c r="B70" s="3669"/>
      <c r="C70" s="3669"/>
      <c r="D70" s="3669"/>
      <c r="E70" s="3669"/>
      <c r="F70" s="3669"/>
      <c r="G70" s="3669"/>
      <c r="H70" s="3669"/>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7" t="s">
        <v>1375</v>
      </c>
      <c r="B71" s="3648"/>
      <c r="C71" s="2018"/>
      <c r="D71" s="2018"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23086</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115</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42" t="s">
        <v>1402</v>
      </c>
      <c r="F76" s="3616"/>
      <c r="G76" s="3616"/>
      <c r="H76" s="366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115</v>
      </c>
      <c r="D78" s="2574">
        <f>'数据-取费表'!B43</f>
        <v>5.000000000000001E-3</v>
      </c>
      <c r="E78" s="3626" t="s">
        <v>1406</v>
      </c>
      <c r="F78" s="3627"/>
      <c r="G78" s="3627"/>
      <c r="H78" s="363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22971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199.74782608695651</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13742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8" t="s">
        <v>1410</v>
      </c>
      <c r="B83" s="3669"/>
      <c r="C83" s="3669"/>
      <c r="D83" s="3669"/>
      <c r="E83" s="3669"/>
      <c r="F83" s="3669"/>
      <c r="G83" s="3669"/>
      <c r="H83" s="366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7" t="s">
        <v>1375</v>
      </c>
      <c r="B84" s="3648"/>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23086</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115</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4"/>
      <c r="G88" s="194" t="s">
        <v>1414</v>
      </c>
      <c r="H88" s="1822"/>
      <c r="I88" s="1819"/>
      <c r="J88" s="2518"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4"/>
      <c r="G90" s="3708" t="s">
        <v>2127</v>
      </c>
      <c r="H90" s="3709"/>
      <c r="I90" s="1819"/>
      <c r="J90" s="2518"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26" t="s">
        <v>1419</v>
      </c>
      <c r="F91" s="3627"/>
      <c r="G91" s="362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26" t="s">
        <v>1422</v>
      </c>
      <c r="F92" s="3627"/>
      <c r="G92" s="3627"/>
      <c r="H92" s="3636"/>
      <c r="I92" s="1819"/>
      <c r="J92" s="2519"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115</v>
      </c>
      <c r="D93" s="2574">
        <f>'数据-取费表'!B43</f>
        <v>5.000000000000001E-3</v>
      </c>
      <c r="E93" s="3626" t="s">
        <v>1406</v>
      </c>
      <c r="F93" s="3627"/>
      <c r="G93" s="3627"/>
      <c r="H93" s="363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22971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199.74782608695651</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13742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10" t="s">
        <v>1428</v>
      </c>
      <c r="B100" s="3611"/>
      <c r="C100" s="3611"/>
      <c r="D100" s="3628"/>
      <c r="E100" s="3611" t="s">
        <v>1429</v>
      </c>
      <c r="F100" s="3611"/>
      <c r="G100" s="3611"/>
      <c r="H100" s="3628"/>
      <c r="I100" s="129"/>
    </row>
    <row r="101" spans="1:35" ht="18.75" customHeight="1">
      <c r="A101" s="3689" t="s">
        <v>1430</v>
      </c>
      <c r="B101" s="3690"/>
      <c r="C101" s="2582" t="str">
        <f>C4</f>
        <v>成本法</v>
      </c>
      <c r="D101" s="2583" t="str">
        <f>D4</f>
        <v>收益法</v>
      </c>
      <c r="E101" s="3703" t="s">
        <v>1431</v>
      </c>
      <c r="F101" s="3660"/>
      <c r="G101" s="1825" t="s">
        <v>1432</v>
      </c>
      <c r="H101" s="2592">
        <f ca="1">H118</f>
        <v>24240</v>
      </c>
      <c r="I101" s="129"/>
    </row>
    <row r="102" spans="1:35" ht="18.75" customHeight="1">
      <c r="A102" s="3662" t="s">
        <v>1433</v>
      </c>
      <c r="B102" s="2581" t="s">
        <v>1432</v>
      </c>
      <c r="C102" s="2582">
        <f ca="1">IF(D32="楼面单价",ROUND(C19,0),C19)</f>
        <v>27704</v>
      </c>
      <c r="D102" s="2583">
        <f ca="1">IF(D32="楼面单价",ROUND(D19,0),D19)</f>
        <v>16158</v>
      </c>
      <c r="E102" s="3703"/>
      <c r="F102" s="3660"/>
      <c r="G102" s="1825" t="s">
        <v>1434</v>
      </c>
      <c r="H102" s="2552">
        <f ca="1">I118</f>
        <v>12082</v>
      </c>
      <c r="I102" s="129"/>
    </row>
    <row r="103" spans="1:35" ht="42.75" customHeight="1">
      <c r="A103" s="3662"/>
      <c r="B103" s="2581" t="s">
        <v>1434</v>
      </c>
      <c r="C103" s="2584">
        <f ca="1">C20</f>
        <v>13809</v>
      </c>
      <c r="D103" s="2585">
        <f ca="1">D20</f>
        <v>8054</v>
      </c>
      <c r="E103" s="3697" t="s">
        <v>1435</v>
      </c>
      <c r="F103" s="3698"/>
      <c r="G103" s="1826" t="s">
        <v>1436</v>
      </c>
      <c r="H103" s="2592">
        <f>IF(D36="正常操作",H104+H105+H106,H105+H106)</f>
        <v>0</v>
      </c>
      <c r="I103" s="129"/>
    </row>
    <row r="104" spans="1:35" ht="18.75" customHeight="1">
      <c r="A104" s="3662" t="s">
        <v>1437</v>
      </c>
      <c r="B104" s="2586" t="s">
        <v>1432</v>
      </c>
      <c r="C104" s="2587">
        <f ca="1">H118</f>
        <v>24240</v>
      </c>
      <c r="D104" s="2588"/>
      <c r="E104" s="1672" t="s">
        <v>1438</v>
      </c>
      <c r="F104" s="1664"/>
      <c r="G104" s="1826" t="s">
        <v>1436</v>
      </c>
      <c r="H104" s="2593">
        <f>IF(D36="同一抵押权人同一抵押物续贷",C36&amp;"（续贷，未扣减，详见特别提示）",C36)</f>
        <v>0</v>
      </c>
      <c r="I104" s="129"/>
    </row>
    <row r="105" spans="1:35" ht="18.75" customHeight="1" thickBot="1">
      <c r="A105" s="3663"/>
      <c r="B105" s="2589" t="s">
        <v>1434</v>
      </c>
      <c r="C105" s="2590">
        <f ca="1">I118</f>
        <v>12082</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59" t="str">
        <f>IF(项目基本情况!E8="已注销","——","3.房地产抵押价值")</f>
        <v>3.房地产抵押价值</v>
      </c>
      <c r="F107" s="3660"/>
      <c r="G107" s="1825" t="s">
        <v>1432</v>
      </c>
      <c r="H107" s="2592">
        <f ca="1">IF(E107="——","——",H101-H103)</f>
        <v>24240</v>
      </c>
      <c r="I107" s="129"/>
    </row>
    <row r="108" spans="1:35" ht="18.75" customHeight="1">
      <c r="A108" s="129"/>
      <c r="B108" s="129"/>
      <c r="C108" s="129"/>
      <c r="D108" s="129"/>
      <c r="E108" s="3659"/>
      <c r="F108" s="3660"/>
      <c r="G108" s="1825" t="s">
        <v>1434</v>
      </c>
      <c r="H108" s="2552">
        <f ca="1">IF(H107=H101,H102,ROUND(H107*10000/'数据-汇总表'!E3,0))</f>
        <v>12082</v>
      </c>
      <c r="I108" s="129"/>
    </row>
    <row r="109" spans="1:35" ht="18.75" customHeight="1">
      <c r="A109" s="129"/>
      <c r="B109" s="129"/>
      <c r="C109" s="129"/>
      <c r="D109" s="129"/>
      <c r="E109" s="3659" t="str">
        <f>IF(项目基本情况!E8="已注销及未注销","4.抵押担保权已注销时的房地产抵押价值",IF(项目基本情况!E8="已注销","3.抵押担保权已注销时的房地产抵押价值","——"))</f>
        <v>——</v>
      </c>
      <c r="F109" s="3660"/>
      <c r="G109" s="1825" t="s">
        <v>1432</v>
      </c>
      <c r="H109" s="2595" t="str">
        <f>IF(E109="——","——",H101-H105-H106)</f>
        <v>——</v>
      </c>
      <c r="I109" s="129"/>
    </row>
    <row r="110" spans="1:35" ht="18.75" customHeight="1">
      <c r="A110" s="129"/>
      <c r="B110" s="129"/>
      <c r="C110" s="129"/>
      <c r="D110" s="129"/>
      <c r="E110" s="3659"/>
      <c r="F110" s="3660"/>
      <c r="G110" s="1825" t="s">
        <v>1434</v>
      </c>
      <c r="H110" s="2552" t="str">
        <f>IF(H109="——","——",ROUND(H109*10000/'数据-汇总表'!E3,0))</f>
        <v>——</v>
      </c>
      <c r="I110" s="129"/>
    </row>
    <row r="111" spans="1:35" ht="18.75" customHeight="1">
      <c r="A111" s="129"/>
      <c r="B111" s="129"/>
      <c r="C111" s="129"/>
      <c r="D111" s="129"/>
      <c r="E111" s="3691" t="str">
        <f>IF(项目基本情况!E9="抵押净值",IF(OR(项目基本情况!E8="已注销",项目基本情况!E8="房地产抵押价值"),"4.抵押净值","5.抵押净值"),"——")</f>
        <v>——</v>
      </c>
      <c r="F111" s="3661"/>
      <c r="G111" s="1825" t="s">
        <v>1432</v>
      </c>
      <c r="H111" s="2592" t="str">
        <f>IF(E111="——","——",N59)</f>
        <v>——</v>
      </c>
      <c r="I111" s="129"/>
    </row>
    <row r="112" spans="1:35" ht="18.75" customHeight="1" thickBot="1">
      <c r="A112" s="129"/>
      <c r="B112" s="129"/>
      <c r="C112" s="129"/>
      <c r="D112" s="129"/>
      <c r="E112" s="3692"/>
      <c r="F112" s="3693"/>
      <c r="G112" s="1828" t="s">
        <v>1434</v>
      </c>
      <c r="H112" s="2596" t="str">
        <f>IF(E111="——","——",N61)</f>
        <v>——</v>
      </c>
      <c r="I112" s="129"/>
    </row>
    <row r="113" spans="1:27" ht="18.75" customHeight="1">
      <c r="A113" s="129"/>
      <c r="B113" s="129"/>
      <c r="C113" s="129"/>
      <c r="D113" s="129"/>
      <c r="E113" s="3664" t="s">
        <v>1440</v>
      </c>
      <c r="F113" s="3664"/>
      <c r="G113" s="3664"/>
      <c r="H113" s="3664"/>
      <c r="I113" s="129"/>
    </row>
    <row r="114" spans="1:27" ht="3.75" customHeight="1">
      <c r="A114" s="1745"/>
      <c r="B114" s="1745"/>
      <c r="C114" s="1745"/>
      <c r="D114" s="1745"/>
      <c r="E114" s="1807"/>
      <c r="F114" s="1807"/>
      <c r="G114" s="1807"/>
      <c r="H114" s="1807"/>
      <c r="I114" s="1745"/>
    </row>
    <row r="115" spans="1:27" ht="18.75" customHeight="1">
      <c r="A115" s="3674" t="s">
        <v>1442</v>
      </c>
      <c r="B115" s="3675"/>
      <c r="C115" s="3675"/>
      <c r="D115" s="3675"/>
      <c r="E115" s="3675"/>
      <c r="F115" s="3675"/>
      <c r="G115" s="3675"/>
      <c r="H115" s="3675"/>
      <c r="I115" s="3676"/>
    </row>
    <row r="116" spans="1:27" ht="27" customHeight="1">
      <c r="A116" s="3630" t="s">
        <v>1443</v>
      </c>
      <c r="B116" s="3665" t="s">
        <v>1444</v>
      </c>
      <c r="C116" s="3665" t="s">
        <v>1445</v>
      </c>
      <c r="D116" s="3678" t="s">
        <v>1446</v>
      </c>
      <c r="E116" s="3679"/>
      <c r="F116" s="3673" t="s">
        <v>1447</v>
      </c>
      <c r="G116" s="3673"/>
      <c r="H116" s="3630" t="s">
        <v>1448</v>
      </c>
      <c r="I116" s="3630"/>
    </row>
    <row r="117" spans="1:27" ht="18.75" customHeight="1">
      <c r="A117" s="3630"/>
      <c r="B117" s="3666"/>
      <c r="C117" s="3666"/>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20062.899999999998</v>
      </c>
      <c r="C118" s="2326">
        <f>M19</f>
        <v>10405.33</v>
      </c>
      <c r="D118" s="2326">
        <f ca="1">ROUND(IF(D32="总价",C34,E118*B118/10000),0)</f>
        <v>14447</v>
      </c>
      <c r="E118" s="2326">
        <f ca="1">ROUND(IF(C33="自定义",IF(D32="楼面单价",C34,D118*10000/B118),I118-G118),0)</f>
        <v>7201</v>
      </c>
      <c r="F118" s="2326">
        <f ca="1">ROUND(IF(D32="总价",C35,G118*B118/10000),0)</f>
        <v>9793</v>
      </c>
      <c r="G118" s="2326">
        <f ca="1">ROUND(IF(D32="楼面单价",C35,F118*10000/B118),0)</f>
        <v>4881</v>
      </c>
      <c r="H118" s="2326">
        <f ca="1">ROUND(IF(D32="总价",C32,I118*B118/10000),0)</f>
        <v>24240</v>
      </c>
      <c r="I118" s="2326">
        <f ca="1">ROUND(IF(D32="楼面单价",C32,H118*10000/B118),0)</f>
        <v>12082</v>
      </c>
    </row>
    <row r="119" spans="1:27" ht="18.75" customHeight="1">
      <c r="A119" s="3630" t="s">
        <v>1452</v>
      </c>
      <c r="B119" s="3630"/>
      <c r="C119" s="3630"/>
      <c r="D119" s="3670" t="str">
        <f ca="1">NUMBERSTRING(INT(D118*10000),2)&amp;"元整"</f>
        <v>壹亿肆仟肆佰肆拾柒万元整</v>
      </c>
      <c r="E119" s="3672"/>
      <c r="F119" s="3670" t="str">
        <f ca="1">NUMBERSTRING(INT(F118*10000),2)&amp;"元整"</f>
        <v>玖仟柒佰玖拾叁万元整</v>
      </c>
      <c r="G119" s="3672"/>
      <c r="H119" s="3670" t="str">
        <f ca="1">NUMBERSTRING(INT(H118*10000),2)&amp;"元整"</f>
        <v>贰亿肆仟贰佰肆拾万元整</v>
      </c>
      <c r="I119" s="3672"/>
    </row>
    <row r="120" spans="1:27" ht="18.75" customHeight="1">
      <c r="A120" s="3694" t="str">
        <f>IF(项目基本情况!B9="房地产市场价值","",MID(E103,3,LEN(E103)-2))</f>
        <v>估价师知悉的法定优先受偿款</v>
      </c>
      <c r="B120" s="3695"/>
      <c r="C120" s="3696"/>
      <c r="D120" s="3694">
        <f>H103</f>
        <v>0</v>
      </c>
      <c r="E120" s="3695"/>
      <c r="F120" s="3695"/>
      <c r="G120" s="3695"/>
      <c r="H120" s="3695"/>
      <c r="I120" s="369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0" t="s">
        <v>1452</v>
      </c>
      <c r="B121" s="3671"/>
      <c r="C121" s="3672"/>
      <c r="D121" s="3670" t="str">
        <f>IF(D120=0,"零元整",NUMBERSTRING(INT(D120*10000),2)&amp;"元整")</f>
        <v>零元整</v>
      </c>
      <c r="E121" s="3671"/>
      <c r="F121" s="3671"/>
      <c r="G121" s="3671"/>
      <c r="H121" s="3671"/>
      <c r="I121" s="3672"/>
      <c r="AA121" s="724"/>
    </row>
    <row r="122" spans="1:27" ht="18.75" customHeight="1">
      <c r="A122" s="3661" t="str">
        <f>IF(项目基本情况!B9="房地产市场价值","",MID(E107,3,LEN(E107)-2))</f>
        <v>房地产抵押价值</v>
      </c>
      <c r="B122" s="3661"/>
      <c r="C122" s="3661"/>
      <c r="D122" s="3694">
        <f ca="1">H107</f>
        <v>24240</v>
      </c>
      <c r="E122" s="3695"/>
      <c r="F122" s="3695"/>
      <c r="G122" s="3695"/>
      <c r="H122" s="3695"/>
      <c r="I122" s="3696"/>
      <c r="AA122" s="724"/>
    </row>
    <row r="123" spans="1:27" ht="18.75" customHeight="1">
      <c r="A123" s="3630" t="s">
        <v>1452</v>
      </c>
      <c r="B123" s="3630"/>
      <c r="C123" s="3630"/>
      <c r="D123" s="3670" t="str">
        <f ca="1">NUMBERSTRING(INT(D122*10000),2)&amp;"元整"</f>
        <v>贰亿肆仟贰佰肆拾万元整</v>
      </c>
      <c r="E123" s="3671"/>
      <c r="F123" s="3671"/>
      <c r="G123" s="3671"/>
      <c r="H123" s="3671"/>
      <c r="I123" s="3672"/>
      <c r="AA123" s="724"/>
    </row>
    <row r="124" spans="1:27" ht="18.75" customHeight="1">
      <c r="A124" s="3661" t="str">
        <f>IF(项目基本情况!B9="房地产市场价值","",MID(E109,3,LEN(E109)-2))</f>
        <v/>
      </c>
      <c r="B124" s="3661"/>
      <c r="C124" s="3661"/>
      <c r="D124" s="3694" t="str">
        <f>H109</f>
        <v>——</v>
      </c>
      <c r="E124" s="3695"/>
      <c r="F124" s="3695"/>
      <c r="G124" s="3695"/>
      <c r="H124" s="3695"/>
      <c r="I124" s="3696"/>
      <c r="AA124" s="724"/>
    </row>
    <row r="125" spans="1:27" ht="18.75" customHeight="1">
      <c r="A125" s="3630" t="s">
        <v>1452</v>
      </c>
      <c r="B125" s="3630"/>
      <c r="C125" s="3630"/>
      <c r="D125" s="3670" t="e">
        <f>NUMBERSTRING(INT(D124*10000),2)&amp;"元整"</f>
        <v>#VALUE!</v>
      </c>
      <c r="E125" s="3671"/>
      <c r="F125" s="3671"/>
      <c r="G125" s="3671"/>
      <c r="H125" s="3671"/>
      <c r="I125" s="3672"/>
      <c r="AA125" s="724"/>
    </row>
    <row r="126" spans="1:27" ht="18.75" customHeight="1">
      <c r="A126" s="3661" t="str">
        <f>IF(项目基本情况!B9="房地产市场价值","",MID(E111,3,LEN(E111)-2))</f>
        <v/>
      </c>
      <c r="B126" s="3661"/>
      <c r="C126" s="3661"/>
      <c r="D126" s="3694" t="str">
        <f>H111</f>
        <v>——</v>
      </c>
      <c r="E126" s="3695"/>
      <c r="F126" s="3695"/>
      <c r="G126" s="3695"/>
      <c r="H126" s="3695"/>
      <c r="I126" s="3696"/>
      <c r="AA126" s="724"/>
    </row>
    <row r="127" spans="1:27" ht="18.75" customHeight="1">
      <c r="A127" s="3630" t="s">
        <v>1452</v>
      </c>
      <c r="B127" s="3630"/>
      <c r="C127" s="3630"/>
      <c r="D127" s="3670" t="e">
        <f>NUMBERSTRING(INT(D126*10000),2)&amp;"元整"</f>
        <v>#VALUE!</v>
      </c>
      <c r="E127" s="3671"/>
      <c r="F127" s="3671"/>
      <c r="G127" s="3671"/>
      <c r="H127" s="3671"/>
      <c r="I127" s="3672"/>
      <c r="AA127" s="724"/>
    </row>
    <row r="128" spans="1:27" ht="21.75" customHeight="1">
      <c r="A128" s="3677" t="s">
        <v>1453</v>
      </c>
      <c r="B128" s="3677"/>
      <c r="C128" s="3677"/>
      <c r="D128" s="3677"/>
      <c r="E128" s="3677"/>
      <c r="F128" s="3677"/>
      <c r="G128" s="3677"/>
      <c r="H128" s="3677"/>
      <c r="I128" s="3677"/>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zoomScale="60" zoomScaleNormal="70" workbookViewId="0">
      <selection activeCell="N19" sqref="N1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2" t="s">
        <v>3465</v>
      </c>
      <c r="F1" s="1877" t="s">
        <v>3466</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38926</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(ROUND(B2*10000/'数据-汇总表'!E3,0))</f>
        <v>19402</v>
      </c>
      <c r="C3" s="354" t="s">
        <v>1768</v>
      </c>
      <c r="D3" s="3490">
        <f>'数据-汇总表'!F19+'数据-汇总表'!F20</f>
        <v>17193.62</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1769</v>
      </c>
      <c r="B4" s="356"/>
      <c r="C4" s="3729" t="s">
        <v>1770</v>
      </c>
      <c r="D4" s="3730"/>
      <c r="E4" s="3731" t="s">
        <v>1771</v>
      </c>
      <c r="F4" s="3732"/>
      <c r="G4" s="3729" t="s">
        <v>1772</v>
      </c>
      <c r="H4" s="3730"/>
      <c r="I4" s="3729" t="s">
        <v>1773</v>
      </c>
      <c r="J4" s="3730"/>
      <c r="K4" s="559" t="s">
        <v>1774</v>
      </c>
      <c r="L4" s="2712"/>
      <c r="M4" s="2713"/>
      <c r="N4" s="2713"/>
      <c r="O4" s="2713"/>
      <c r="P4" s="3733" t="s">
        <v>1775</v>
      </c>
      <c r="Q4" s="3734"/>
      <c r="R4" s="3739" t="s">
        <v>1771</v>
      </c>
      <c r="S4" s="3740"/>
      <c r="T4" s="3739" t="s">
        <v>1772</v>
      </c>
      <c r="U4" s="3740"/>
      <c r="V4" s="3724" t="s">
        <v>1773</v>
      </c>
      <c r="W4" s="3724"/>
      <c r="X4" s="1353"/>
      <c r="Y4" s="3739" t="s">
        <v>1775</v>
      </c>
      <c r="Z4" s="3740"/>
      <c r="AA4" s="3726" t="s">
        <v>1771</v>
      </c>
      <c r="AB4" s="3724" t="s">
        <v>1772</v>
      </c>
      <c r="AC4" s="3726" t="s">
        <v>1773</v>
      </c>
    </row>
    <row r="5" spans="1:29" ht="15">
      <c r="A5" s="358"/>
      <c r="B5" s="359"/>
      <c r="C5" s="3752" t="s">
        <v>1673</v>
      </c>
      <c r="D5" s="3748"/>
      <c r="E5" s="3755" t="s">
        <v>3510</v>
      </c>
      <c r="F5" s="3756"/>
      <c r="G5" s="3747" t="s">
        <v>3511</v>
      </c>
      <c r="H5" s="3748"/>
      <c r="I5" s="3747" t="s">
        <v>3512</v>
      </c>
      <c r="J5" s="3748"/>
      <c r="K5" s="559"/>
      <c r="L5" s="2712"/>
      <c r="M5" s="2713"/>
      <c r="N5" s="2713"/>
      <c r="O5" s="2713"/>
      <c r="P5" s="3735"/>
      <c r="Q5" s="3736"/>
      <c r="R5" s="3741"/>
      <c r="S5" s="3742"/>
      <c r="T5" s="3741"/>
      <c r="U5" s="3742"/>
      <c r="V5" s="3724"/>
      <c r="W5" s="3724"/>
      <c r="X5" s="1353"/>
      <c r="Y5" s="3741"/>
      <c r="Z5" s="3742"/>
      <c r="AA5" s="3727"/>
      <c r="AB5" s="3724"/>
      <c r="AC5" s="3727"/>
    </row>
    <row r="6" spans="1:29" ht="15.75" thickBot="1">
      <c r="A6" s="360"/>
      <c r="B6" s="361"/>
      <c r="C6" s="3745" t="s">
        <v>1677</v>
      </c>
      <c r="D6" s="3746"/>
      <c r="E6" s="3753" t="s">
        <v>1677</v>
      </c>
      <c r="F6" s="3754"/>
      <c r="G6" s="3745" t="s">
        <v>1677</v>
      </c>
      <c r="H6" s="3746"/>
      <c r="I6" s="3745" t="s">
        <v>1677</v>
      </c>
      <c r="J6" s="3746"/>
      <c r="K6" s="559" t="s">
        <v>1678</v>
      </c>
      <c r="L6" s="2712"/>
      <c r="M6" s="2713"/>
      <c r="N6" s="2713"/>
      <c r="O6" s="2713"/>
      <c r="P6" s="3737"/>
      <c r="Q6" s="3738"/>
      <c r="R6" s="3741"/>
      <c r="S6" s="3742"/>
      <c r="T6" s="3743"/>
      <c r="U6" s="3744"/>
      <c r="V6" s="3724"/>
      <c r="W6" s="3724"/>
      <c r="X6" s="1353"/>
      <c r="Y6" s="3743"/>
      <c r="Z6" s="3744"/>
      <c r="AA6" s="3728"/>
      <c r="AB6" s="3724"/>
      <c r="AC6" s="3728"/>
    </row>
    <row r="7" spans="1:29" s="108" customFormat="1" ht="15.75" thickBot="1">
      <c r="A7" s="362" t="s">
        <v>1679</v>
      </c>
      <c r="B7" s="363"/>
      <c r="C7" s="364">
        <f>'数据-取费表'!B2</f>
        <v>45068</v>
      </c>
      <c r="D7" s="365">
        <v>100</v>
      </c>
      <c r="E7" s="366">
        <f>C7</f>
        <v>45068</v>
      </c>
      <c r="F7" s="367">
        <f>SUMIF(58:58,YEAR(E7)&amp;"-"&amp;MONTH(E7),59:59)</f>
        <v>100</v>
      </c>
      <c r="G7" s="366">
        <f>C7</f>
        <v>45068</v>
      </c>
      <c r="H7" s="365">
        <f>SUMIF(58:58,YEAR(G7)&amp;"-"&amp;MONTH(G7),59:59)</f>
        <v>100</v>
      </c>
      <c r="I7" s="366">
        <f>C7</f>
        <v>45068</v>
      </c>
      <c r="J7" s="365">
        <f>SUMIF(58:58,YEAR(I7)&amp;"-"&amp;MONTH(I7),59:59)</f>
        <v>100</v>
      </c>
      <c r="K7" s="560"/>
      <c r="L7" s="2714"/>
      <c r="M7" s="2715"/>
      <c r="N7" s="2715"/>
      <c r="O7" s="2715"/>
      <c r="P7" s="3749" t="s">
        <v>1680</v>
      </c>
      <c r="Q7" s="3751"/>
      <c r="R7" s="700" t="s">
        <v>14</v>
      </c>
      <c r="S7" s="701">
        <f t="shared" ref="S7:S15" si="0">F7</f>
        <v>100</v>
      </c>
      <c r="T7" s="700" t="s">
        <v>14</v>
      </c>
      <c r="U7" s="701">
        <f t="shared" ref="U7:U15" si="1">H7</f>
        <v>100</v>
      </c>
      <c r="V7" s="700" t="s">
        <v>14</v>
      </c>
      <c r="W7" s="701">
        <f t="shared" ref="W7:W15" si="2">J7</f>
        <v>100</v>
      </c>
      <c r="X7" s="702"/>
      <c r="Y7" s="3749" t="s">
        <v>1680</v>
      </c>
      <c r="Z7" s="3750"/>
      <c r="AA7" s="703">
        <f>D7/F7</f>
        <v>1</v>
      </c>
      <c r="AB7" s="703">
        <f>D7/H7</f>
        <v>1</v>
      </c>
      <c r="AC7" s="703">
        <f>D7/J7</f>
        <v>1</v>
      </c>
    </row>
    <row r="8" spans="1:29" s="108" customFormat="1" ht="15.75" thickBot="1">
      <c r="A8" s="362" t="s">
        <v>1681</v>
      </c>
      <c r="B8" s="363"/>
      <c r="C8" s="3460" t="s">
        <v>3452</v>
      </c>
      <c r="D8" s="365">
        <v>100</v>
      </c>
      <c r="E8" s="3460" t="s">
        <v>3452</v>
      </c>
      <c r="F8" s="367">
        <f>SUMIF(61:61,E8,62:62)-SUMIF(61:61,C8,62:62)+100</f>
        <v>100</v>
      </c>
      <c r="G8" s="3460" t="s">
        <v>3452</v>
      </c>
      <c r="H8" s="365">
        <f>SUMIF(61:61,G8,62:62)-SUMIF(61:61,C8,62:62)+100</f>
        <v>100</v>
      </c>
      <c r="I8" s="3460" t="s">
        <v>3452</v>
      </c>
      <c r="J8" s="365">
        <f>SUMIF(61:61,I8,62:62)-SUMIF(61:61,C8,62:62)+100</f>
        <v>100</v>
      </c>
      <c r="K8" s="560"/>
      <c r="L8" s="2714"/>
      <c r="M8" s="2715"/>
      <c r="N8" s="2715"/>
      <c r="O8" s="2715"/>
      <c r="P8" s="3749" t="s">
        <v>1683</v>
      </c>
      <c r="Q8" s="3750"/>
      <c r="R8" s="700" t="s">
        <v>14</v>
      </c>
      <c r="S8" s="701">
        <f t="shared" si="0"/>
        <v>100</v>
      </c>
      <c r="T8" s="700" t="s">
        <v>14</v>
      </c>
      <c r="U8" s="701">
        <f t="shared" si="1"/>
        <v>100</v>
      </c>
      <c r="V8" s="700" t="s">
        <v>14</v>
      </c>
      <c r="W8" s="701">
        <f t="shared" si="2"/>
        <v>100</v>
      </c>
      <c r="X8" s="702"/>
      <c r="Y8" s="3749" t="s">
        <v>1683</v>
      </c>
      <c r="Z8" s="3750"/>
      <c r="AA8" s="703">
        <f t="shared" ref="AA8:AA46" si="3">D8/F8</f>
        <v>1</v>
      </c>
      <c r="AB8" s="703">
        <f t="shared" ref="AB8:AB46" si="4">D8/H8</f>
        <v>1</v>
      </c>
      <c r="AC8" s="703">
        <f t="shared" ref="AC8:AC46" si="5">D8/J8</f>
        <v>1</v>
      </c>
    </row>
    <row r="9" spans="1:29" s="108" customFormat="1">
      <c r="A9" s="369" t="s">
        <v>1684</v>
      </c>
      <c r="B9" s="63" t="s">
        <v>1685</v>
      </c>
      <c r="C9" s="3493" t="s">
        <v>3493</v>
      </c>
      <c r="D9" s="126">
        <v>100</v>
      </c>
      <c r="E9" s="3494" t="s">
        <v>3513</v>
      </c>
      <c r="F9" s="372">
        <f>SUMIF(63:63,E9,64:64)-SUMIF(63:63,C9,64:64)+100</f>
        <v>100</v>
      </c>
      <c r="G9" s="3494" t="s">
        <v>3513</v>
      </c>
      <c r="H9" s="126">
        <f>SUMIF(63:63,G9,64:64)-SUMIF(63:63,C9,64:64)+100</f>
        <v>100</v>
      </c>
      <c r="I9" s="3494" t="s">
        <v>3513</v>
      </c>
      <c r="J9" s="126">
        <f>SUMIF(63:63,I9,64:64)-SUMIF(63:63,C9,64:64)+100</f>
        <v>100</v>
      </c>
      <c r="K9" s="560"/>
      <c r="L9" s="2714"/>
      <c r="M9" s="2715"/>
      <c r="N9" s="2715"/>
      <c r="O9" s="2715"/>
      <c r="P9" s="3725"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0" t="s">
        <v>3505</v>
      </c>
      <c r="D10" s="127">
        <v>100</v>
      </c>
      <c r="E10" s="3431" t="s">
        <v>3514</v>
      </c>
      <c r="F10" s="376">
        <f>SUMIF(65:65,E10,66:66)-SUMIF(65:65,C10,66:66)+100</f>
        <v>100</v>
      </c>
      <c r="G10" s="3430" t="s">
        <v>3514</v>
      </c>
      <c r="H10" s="127">
        <f>SUMIF(65:65,G10,66:66)-SUMIF(65:65,C10,66:66)+100</f>
        <v>100</v>
      </c>
      <c r="I10" s="3430" t="s">
        <v>3514</v>
      </c>
      <c r="J10" s="127">
        <f>SUMIF(65:65,I10,66:66)-SUMIF(65:65,C10,66:66)+100</f>
        <v>100</v>
      </c>
      <c r="K10" s="560"/>
      <c r="L10" s="2716"/>
      <c r="M10" s="2717"/>
      <c r="N10" s="2717"/>
      <c r="O10" s="2717"/>
      <c r="P10" s="3725"/>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5"/>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5"/>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5"/>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5"/>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15" t="s">
        <v>1691</v>
      </c>
      <c r="Q15" s="1350" t="str">
        <f t="shared" si="6"/>
        <v>商业繁华度</v>
      </c>
      <c r="R15" s="704" t="s">
        <v>14</v>
      </c>
      <c r="S15" s="705">
        <f t="shared" si="0"/>
        <v>102</v>
      </c>
      <c r="T15" s="704" t="s">
        <v>14</v>
      </c>
      <c r="U15" s="705">
        <f t="shared" si="1"/>
        <v>102</v>
      </c>
      <c r="V15" s="704" t="s">
        <v>14</v>
      </c>
      <c r="W15" s="705">
        <f t="shared" si="2"/>
        <v>102</v>
      </c>
      <c r="X15" s="1353"/>
      <c r="Y15" s="3717" t="s">
        <v>1691</v>
      </c>
      <c r="Z15" s="1354" t="str">
        <f t="shared" si="7"/>
        <v>商业繁华度</v>
      </c>
      <c r="AA15" s="1351">
        <f t="shared" si="3"/>
        <v>0.98039215686274506</v>
      </c>
      <c r="AB15" s="1351">
        <f t="shared" si="4"/>
        <v>0.98039215686274506</v>
      </c>
      <c r="AC15" s="1351">
        <f t="shared" si="5"/>
        <v>0.98039215686274506</v>
      </c>
    </row>
    <row r="16" spans="1:29" ht="15">
      <c r="A16" s="379"/>
      <c r="B16" s="397"/>
      <c r="C16" s="3465" t="s">
        <v>3516</v>
      </c>
      <c r="D16" s="399"/>
      <c r="E16" s="3465" t="s">
        <v>3462</v>
      </c>
      <c r="F16" s="400"/>
      <c r="G16" s="3465" t="s">
        <v>3462</v>
      </c>
      <c r="H16" s="401"/>
      <c r="I16" s="3465" t="s">
        <v>3462</v>
      </c>
      <c r="J16" s="399"/>
      <c r="K16" s="564"/>
      <c r="L16" s="2719"/>
      <c r="M16" s="2713"/>
      <c r="N16" s="2713"/>
      <c r="O16" s="2713"/>
      <c r="P16" s="3716"/>
      <c r="Q16" s="1350"/>
      <c r="R16" s="704"/>
      <c r="S16" s="705"/>
      <c r="T16" s="704"/>
      <c r="U16" s="705"/>
      <c r="V16" s="704"/>
      <c r="W16" s="705"/>
      <c r="X16" s="1353"/>
      <c r="Y16" s="371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16"/>
      <c r="Q17" s="1350" t="str">
        <f>B17</f>
        <v>交通便捷度</v>
      </c>
      <c r="R17" s="704" t="s">
        <v>14</v>
      </c>
      <c r="S17" s="705">
        <f>F17</f>
        <v>100</v>
      </c>
      <c r="T17" s="704" t="s">
        <v>14</v>
      </c>
      <c r="U17" s="705">
        <f>H17</f>
        <v>100</v>
      </c>
      <c r="V17" s="704" t="s">
        <v>14</v>
      </c>
      <c r="W17" s="705">
        <f>J17</f>
        <v>100</v>
      </c>
      <c r="X17" s="1353"/>
      <c r="Y17" s="3718"/>
      <c r="Z17" s="1354" t="str">
        <f>Q17</f>
        <v>交通便捷度</v>
      </c>
      <c r="AA17" s="1351">
        <f t="shared" si="3"/>
        <v>1</v>
      </c>
      <c r="AB17" s="1351">
        <f t="shared" si="4"/>
        <v>1</v>
      </c>
      <c r="AC17" s="1351">
        <f t="shared" si="5"/>
        <v>1</v>
      </c>
    </row>
    <row r="18" spans="1:29" ht="15">
      <c r="A18" s="379"/>
      <c r="B18" s="407"/>
      <c r="C18" s="3462" t="s">
        <v>3461</v>
      </c>
      <c r="D18" s="401"/>
      <c r="E18" s="3463" t="s">
        <v>3515</v>
      </c>
      <c r="F18" s="404"/>
      <c r="G18" s="3464" t="s">
        <v>3515</v>
      </c>
      <c r="H18" s="399"/>
      <c r="I18" s="3463" t="s">
        <v>3515</v>
      </c>
      <c r="J18" s="399"/>
      <c r="K18" s="564"/>
      <c r="L18" s="2719"/>
      <c r="M18" s="2713"/>
      <c r="N18" s="2713"/>
      <c r="O18" s="2713"/>
      <c r="P18" s="3716"/>
      <c r="Q18" s="1350"/>
      <c r="R18" s="704"/>
      <c r="S18" s="705"/>
      <c r="T18" s="704"/>
      <c r="U18" s="705"/>
      <c r="V18" s="704"/>
      <c r="W18" s="705"/>
      <c r="X18" s="1353"/>
      <c r="Y18" s="371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16"/>
      <c r="Q19" s="1350" t="str">
        <f>B19</f>
        <v>公共配套设施</v>
      </c>
      <c r="R19" s="704" t="s">
        <v>14</v>
      </c>
      <c r="S19" s="705">
        <f>F19</f>
        <v>100</v>
      </c>
      <c r="T19" s="704" t="s">
        <v>14</v>
      </c>
      <c r="U19" s="705">
        <f>H19</f>
        <v>100</v>
      </c>
      <c r="V19" s="704" t="s">
        <v>14</v>
      </c>
      <c r="W19" s="705">
        <f>J19</f>
        <v>100</v>
      </c>
      <c r="X19" s="1353"/>
      <c r="Y19" s="3718"/>
      <c r="Z19" s="1354" t="str">
        <f>Q19</f>
        <v>公共配套设施</v>
      </c>
      <c r="AA19" s="1351">
        <f t="shared" si="3"/>
        <v>1</v>
      </c>
      <c r="AB19" s="1351">
        <f t="shared" si="4"/>
        <v>1</v>
      </c>
      <c r="AC19" s="1351">
        <f t="shared" si="5"/>
        <v>1</v>
      </c>
    </row>
    <row r="20" spans="1:29" ht="15">
      <c r="A20" s="379"/>
      <c r="B20" s="407"/>
      <c r="C20" s="3465" t="s">
        <v>3462</v>
      </c>
      <c r="D20" s="399"/>
      <c r="E20" s="3466" t="s">
        <v>3462</v>
      </c>
      <c r="F20" s="400"/>
      <c r="G20" s="3467" t="s">
        <v>3462</v>
      </c>
      <c r="H20" s="399"/>
      <c r="I20" s="3466" t="s">
        <v>3462</v>
      </c>
      <c r="J20" s="399"/>
      <c r="K20" s="564"/>
      <c r="L20" s="2719"/>
      <c r="M20" s="2713"/>
      <c r="N20" s="2713"/>
      <c r="O20" s="2713"/>
      <c r="P20" s="3716"/>
      <c r="Q20" s="1350"/>
      <c r="R20" s="704"/>
      <c r="S20" s="705"/>
      <c r="T20" s="704"/>
      <c r="U20" s="705"/>
      <c r="V20" s="704"/>
      <c r="W20" s="705"/>
      <c r="X20" s="1353"/>
      <c r="Y20" s="3718"/>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716"/>
      <c r="Q21" s="1350" t="str">
        <f>B21</f>
        <v>基础设施水平</v>
      </c>
      <c r="R21" s="704" t="s">
        <v>14</v>
      </c>
      <c r="S21" s="705">
        <f>F21</f>
        <v>100</v>
      </c>
      <c r="T21" s="704" t="s">
        <v>14</v>
      </c>
      <c r="U21" s="705">
        <f>H21</f>
        <v>100</v>
      </c>
      <c r="V21" s="704" t="s">
        <v>14</v>
      </c>
      <c r="W21" s="705">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30"/>
      <c r="C22" s="3462" t="s">
        <v>3463</v>
      </c>
      <c r="D22" s="399"/>
      <c r="E22" s="3465" t="s">
        <v>3463</v>
      </c>
      <c r="F22" s="400"/>
      <c r="G22" s="3465" t="s">
        <v>3463</v>
      </c>
      <c r="H22" s="399"/>
      <c r="I22" s="3465" t="s">
        <v>3464</v>
      </c>
      <c r="J22" s="399"/>
      <c r="K22" s="1129"/>
      <c r="L22" s="2719"/>
      <c r="M22" s="2713"/>
      <c r="N22" s="2713"/>
      <c r="O22" s="2713"/>
      <c r="P22" s="3716"/>
      <c r="Q22" s="1350"/>
      <c r="R22" s="704"/>
      <c r="S22" s="705"/>
      <c r="T22" s="704"/>
      <c r="U22" s="705"/>
      <c r="V22" s="704"/>
      <c r="W22" s="705"/>
      <c r="X22" s="1353"/>
      <c r="Y22" s="371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103</v>
      </c>
      <c r="K23" s="563">
        <v>3</v>
      </c>
      <c r="L23" s="2719"/>
      <c r="M23" s="2713"/>
      <c r="N23" s="2713"/>
      <c r="O23" s="2713"/>
      <c r="P23" s="3716"/>
      <c r="Q23" s="1350" t="str">
        <f>B23</f>
        <v>自然及人文环境</v>
      </c>
      <c r="R23" s="704" t="s">
        <v>14</v>
      </c>
      <c r="S23" s="705">
        <f>F23</f>
        <v>100</v>
      </c>
      <c r="T23" s="704" t="s">
        <v>14</v>
      </c>
      <c r="U23" s="705">
        <f>H23</f>
        <v>100</v>
      </c>
      <c r="V23" s="704" t="s">
        <v>14</v>
      </c>
      <c r="W23" s="705">
        <f>J23</f>
        <v>103</v>
      </c>
      <c r="X23" s="1353"/>
      <c r="Y23" s="3718"/>
      <c r="Z23" s="1354" t="str">
        <f>Q23</f>
        <v>自然及人文环境</v>
      </c>
      <c r="AA23" s="1351">
        <f t="shared" si="3"/>
        <v>1</v>
      </c>
      <c r="AB23" s="1351">
        <f t="shared" si="4"/>
        <v>1</v>
      </c>
      <c r="AC23" s="1351">
        <f t="shared" si="5"/>
        <v>0.970873786407767</v>
      </c>
    </row>
    <row r="24" spans="1:29" ht="15">
      <c r="A24" s="379"/>
      <c r="B24" s="407"/>
      <c r="C24" s="3465" t="s">
        <v>3461</v>
      </c>
      <c r="D24" s="399"/>
      <c r="E24" s="3466" t="s">
        <v>3515</v>
      </c>
      <c r="F24" s="400"/>
      <c r="G24" s="3467" t="s">
        <v>3515</v>
      </c>
      <c r="H24" s="399"/>
      <c r="I24" s="3466" t="s">
        <v>3462</v>
      </c>
      <c r="J24" s="399"/>
      <c r="K24" s="564"/>
      <c r="L24" s="2719"/>
      <c r="M24" s="2713"/>
      <c r="N24" s="2713"/>
      <c r="O24" s="2713"/>
      <c r="P24" s="3716"/>
      <c r="Q24" s="1350"/>
      <c r="R24" s="704"/>
      <c r="S24" s="705"/>
      <c r="T24" s="704"/>
      <c r="U24" s="705"/>
      <c r="V24" s="704"/>
      <c r="W24" s="705"/>
      <c r="X24" s="1353"/>
      <c r="Y24" s="371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9"/>
      <c r="M25" s="2713"/>
      <c r="N25" s="2713"/>
      <c r="O25" s="2713"/>
      <c r="P25" s="3716"/>
      <c r="Q25" s="1350" t="str">
        <f t="shared" ref="Q25:Q46" si="11">B25</f>
        <v>临街状况</v>
      </c>
      <c r="R25" s="704" t="s">
        <v>14</v>
      </c>
      <c r="S25" s="705">
        <f>F25</f>
        <v>100</v>
      </c>
      <c r="T25" s="704" t="s">
        <v>14</v>
      </c>
      <c r="U25" s="705">
        <f>H25</f>
        <v>100</v>
      </c>
      <c r="V25" s="704" t="s">
        <v>14</v>
      </c>
      <c r="W25" s="705">
        <f>J25</f>
        <v>100</v>
      </c>
      <c r="X25" s="1353"/>
      <c r="Y25" s="3718"/>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6"/>
      <c r="Q26" s="1350" t="str">
        <f t="shared" si="11"/>
        <v>平面位置/可视性</v>
      </c>
      <c r="R26" s="704" t="s">
        <v>14</v>
      </c>
      <c r="S26" s="705">
        <f>F26</f>
        <v>100</v>
      </c>
      <c r="T26" s="704" t="s">
        <v>14</v>
      </c>
      <c r="U26" s="705">
        <f>H26</f>
        <v>100</v>
      </c>
      <c r="V26" s="704" t="s">
        <v>14</v>
      </c>
      <c r="W26" s="705">
        <f>J26</f>
        <v>100</v>
      </c>
      <c r="X26" s="1353"/>
      <c r="Y26" s="3718"/>
      <c r="Z26" s="1354" t="str">
        <f>Q26</f>
        <v>平面位置/可视性</v>
      </c>
      <c r="AA26" s="1351">
        <f t="shared" si="3"/>
        <v>1</v>
      </c>
      <c r="AB26" s="1351">
        <f t="shared" si="4"/>
        <v>1</v>
      </c>
      <c r="AC26" s="1351">
        <f t="shared" si="5"/>
        <v>1</v>
      </c>
    </row>
    <row r="27" spans="1:29" s="108" customFormat="1" ht="15">
      <c r="A27" s="382"/>
      <c r="B27" s="402" t="s">
        <v>1782</v>
      </c>
      <c r="C27" s="3505" t="s">
        <v>3534</v>
      </c>
      <c r="D27" s="413">
        <v>100</v>
      </c>
      <c r="E27" s="3505" t="s">
        <v>3529</v>
      </c>
      <c r="F27" s="415">
        <f>SUMIF(90:90,E27,91:91)-SUMIF(90:90,C27,91:91)+100</f>
        <v>109</v>
      </c>
      <c r="G27" s="3505" t="s">
        <v>3529</v>
      </c>
      <c r="H27" s="413">
        <f>SUMIF(90:90,G27,91:91)-SUMIF(90:90,C27,91:91)+100</f>
        <v>109</v>
      </c>
      <c r="I27" s="3505" t="s">
        <v>3531</v>
      </c>
      <c r="J27" s="413">
        <f>SUMIF(90:90,I27,91:91)-SUMIF(90:90,C27,91:91)+100</f>
        <v>106</v>
      </c>
      <c r="K27" s="561">
        <v>3</v>
      </c>
      <c r="L27" s="2714"/>
      <c r="M27" s="2715"/>
      <c r="N27" s="2715"/>
      <c r="O27" s="2715"/>
      <c r="P27" s="3716"/>
      <c r="Q27" s="1341" t="str">
        <f t="shared" si="11"/>
        <v>人流量</v>
      </c>
      <c r="R27" s="700" t="s">
        <v>14</v>
      </c>
      <c r="S27" s="701">
        <f>F27</f>
        <v>109</v>
      </c>
      <c r="T27" s="700" t="s">
        <v>14</v>
      </c>
      <c r="U27" s="701">
        <f>H27</f>
        <v>109</v>
      </c>
      <c r="V27" s="700" t="s">
        <v>14</v>
      </c>
      <c r="W27" s="701">
        <f>J27</f>
        <v>106</v>
      </c>
      <c r="X27" s="702"/>
      <c r="Y27" s="3718"/>
      <c r="Z27" s="52" t="str">
        <f>Q27</f>
        <v>人流量</v>
      </c>
      <c r="AA27" s="1351">
        <f>D27/F27</f>
        <v>0.91743119266055051</v>
      </c>
      <c r="AB27" s="1351">
        <f>D27/H27</f>
        <v>0.91743119266055051</v>
      </c>
      <c r="AC27" s="1351">
        <f>D27/J27</f>
        <v>0.94339622641509435</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71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18"/>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6"/>
      <c r="Q29" s="1350">
        <f t="shared" si="11"/>
        <v>111</v>
      </c>
      <c r="R29" s="704" t="s">
        <v>14</v>
      </c>
      <c r="S29" s="705">
        <f t="shared" si="12"/>
        <v>100</v>
      </c>
      <c r="T29" s="704" t="s">
        <v>14</v>
      </c>
      <c r="U29" s="705">
        <f t="shared" si="13"/>
        <v>100</v>
      </c>
      <c r="V29" s="704" t="s">
        <v>14</v>
      </c>
      <c r="W29" s="705">
        <f t="shared" si="14"/>
        <v>100</v>
      </c>
      <c r="X29" s="1353"/>
      <c r="Y29" s="371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6"/>
      <c r="Q30" s="1350">
        <f t="shared" si="11"/>
        <v>111</v>
      </c>
      <c r="R30" s="704" t="s">
        <v>14</v>
      </c>
      <c r="S30" s="705">
        <f t="shared" si="12"/>
        <v>100</v>
      </c>
      <c r="T30" s="704" t="s">
        <v>14</v>
      </c>
      <c r="U30" s="705">
        <f t="shared" si="13"/>
        <v>100</v>
      </c>
      <c r="V30" s="704" t="s">
        <v>14</v>
      </c>
      <c r="W30" s="705">
        <f t="shared" si="14"/>
        <v>100</v>
      </c>
      <c r="X30" s="1353"/>
      <c r="Y30" s="3718"/>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6"/>
      <c r="Q31" s="1350">
        <f t="shared" si="11"/>
        <v>111</v>
      </c>
      <c r="R31" s="704" t="s">
        <v>14</v>
      </c>
      <c r="S31" s="705">
        <f t="shared" si="12"/>
        <v>100</v>
      </c>
      <c r="T31" s="704" t="s">
        <v>14</v>
      </c>
      <c r="U31" s="705">
        <f t="shared" si="13"/>
        <v>100</v>
      </c>
      <c r="V31" s="704" t="s">
        <v>14</v>
      </c>
      <c r="W31" s="705">
        <f t="shared" si="14"/>
        <v>100</v>
      </c>
      <c r="X31" s="1353"/>
      <c r="Y31" s="3718"/>
      <c r="Z31" s="1354">
        <f t="shared" si="15"/>
        <v>111</v>
      </c>
      <c r="AA31" s="1351">
        <f t="shared" si="3"/>
        <v>1</v>
      </c>
      <c r="AB31" s="1351">
        <f t="shared" si="4"/>
        <v>1</v>
      </c>
      <c r="AC31" s="1351">
        <f t="shared" si="5"/>
        <v>1</v>
      </c>
    </row>
    <row r="32" spans="1:29" ht="15">
      <c r="A32" s="391" t="s">
        <v>1694</v>
      </c>
      <c r="B32" s="63" t="s">
        <v>1784</v>
      </c>
      <c r="C32" s="3506" t="s">
        <v>3524</v>
      </c>
      <c r="D32" s="418">
        <v>100</v>
      </c>
      <c r="E32" s="3506" t="s">
        <v>3525</v>
      </c>
      <c r="F32" s="412">
        <f>SUMIF(100:100,E32,101:101)-SUMIF(100:100,C32,101:101)+100</f>
        <v>98</v>
      </c>
      <c r="G32" s="3506" t="s">
        <v>3526</v>
      </c>
      <c r="H32" s="386">
        <f>SUMIF(100:100,G32,101:101)-SUMIF(100:100,C32,101:101)+100</f>
        <v>98</v>
      </c>
      <c r="I32" s="3506" t="s">
        <v>3527</v>
      </c>
      <c r="J32" s="418">
        <f>SUMIF(100:100,I32,101:101)-SUMIF(100:100,C32,101:101)+100</f>
        <v>98</v>
      </c>
      <c r="K32" s="561">
        <v>2</v>
      </c>
      <c r="L32" s="2719"/>
      <c r="M32" s="2713"/>
      <c r="N32" s="2713"/>
      <c r="O32" s="2713"/>
      <c r="P32" s="3719" t="s">
        <v>1696</v>
      </c>
      <c r="Q32" s="1350" t="str">
        <f t="shared" si="11"/>
        <v>商业类型</v>
      </c>
      <c r="R32" s="704" t="s">
        <v>14</v>
      </c>
      <c r="S32" s="705">
        <f t="shared" si="12"/>
        <v>98</v>
      </c>
      <c r="T32" s="704" t="s">
        <v>14</v>
      </c>
      <c r="U32" s="705">
        <f t="shared" si="13"/>
        <v>98</v>
      </c>
      <c r="V32" s="704" t="s">
        <v>14</v>
      </c>
      <c r="W32" s="705">
        <f t="shared" si="14"/>
        <v>98</v>
      </c>
      <c r="X32" s="1353"/>
      <c r="Y32" s="3722"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'数据-取费表'!V23</f>
        <v>5637.5</v>
      </c>
      <c r="D33" s="127">
        <v>100</v>
      </c>
      <c r="E33" s="381">
        <v>51</v>
      </c>
      <c r="F33" s="376">
        <f>LOOKUP(E33,103:103,104:104)-LOOKUP(C33,103:103,104:104)+100</f>
        <v>115</v>
      </c>
      <c r="G33" s="380">
        <v>56</v>
      </c>
      <c r="H33" s="127">
        <f>LOOKUP(G33,103:103,104:104)-LOOKUP(C33,103:103,104:104)+100</f>
        <v>115</v>
      </c>
      <c r="I33" s="380">
        <v>40</v>
      </c>
      <c r="J33" s="127">
        <f>LOOKUP(I33,103:103,104:104)-LOOKUP(C33,103:103,104:104)+100</f>
        <v>115</v>
      </c>
      <c r="K33" s="562"/>
      <c r="L33" s="2718"/>
      <c r="M33" s="2720"/>
      <c r="N33" s="2720"/>
      <c r="O33" s="2720"/>
      <c r="P33" s="3720"/>
      <c r="Q33" s="706" t="str">
        <f t="shared" si="11"/>
        <v>项目建筑规模</v>
      </c>
      <c r="R33" s="707" t="s">
        <v>14</v>
      </c>
      <c r="S33" s="708">
        <f t="shared" si="12"/>
        <v>115</v>
      </c>
      <c r="T33" s="707" t="s">
        <v>14</v>
      </c>
      <c r="U33" s="708">
        <f t="shared" si="13"/>
        <v>115</v>
      </c>
      <c r="V33" s="707" t="s">
        <v>14</v>
      </c>
      <c r="W33" s="708">
        <f t="shared" si="14"/>
        <v>115</v>
      </c>
      <c r="X33" s="709"/>
      <c r="Y33" s="3722"/>
      <c r="Z33" s="710" t="str">
        <f t="shared" si="15"/>
        <v>项目建筑规模</v>
      </c>
      <c r="AA33" s="1351">
        <f t="shared" si="3"/>
        <v>0.86956521739130432</v>
      </c>
      <c r="AB33" s="1351">
        <f t="shared" si="4"/>
        <v>0.86956521739130432</v>
      </c>
      <c r="AC33" s="1351">
        <f t="shared" si="5"/>
        <v>0.86956521739130432</v>
      </c>
    </row>
    <row r="34" spans="1:29" ht="15">
      <c r="A34" s="423"/>
      <c r="B34" s="375" t="s">
        <v>1698</v>
      </c>
      <c r="C34" s="3497" t="s">
        <v>3495</v>
      </c>
      <c r="D34" s="386">
        <v>100</v>
      </c>
      <c r="E34" s="3497" t="s">
        <v>3495</v>
      </c>
      <c r="F34" s="412">
        <f>SUMIF(105:105,E34,106:106)-SUMIF(105:105,C34,106:106)+100</f>
        <v>100</v>
      </c>
      <c r="G34" s="3497" t="s">
        <v>3495</v>
      </c>
      <c r="H34" s="386">
        <f>SUMIF(105:105,G34,106:106)-SUMIF(105:105,C34,106:106)+100</f>
        <v>100</v>
      </c>
      <c r="I34" s="3497" t="s">
        <v>3495</v>
      </c>
      <c r="J34" s="386">
        <f>SUMIF(105:105,I34,106:106)-SUMIF(105:105,C34,106:106)+100</f>
        <v>100</v>
      </c>
      <c r="K34" s="561"/>
      <c r="L34" s="2719"/>
      <c r="M34" s="2713"/>
      <c r="N34" s="2713"/>
      <c r="O34" s="2713"/>
      <c r="P34" s="3720"/>
      <c r="Q34" s="1350" t="str">
        <f t="shared" si="11"/>
        <v>建筑结构</v>
      </c>
      <c r="R34" s="704" t="s">
        <v>14</v>
      </c>
      <c r="S34" s="705">
        <f t="shared" si="12"/>
        <v>100</v>
      </c>
      <c r="T34" s="704" t="s">
        <v>14</v>
      </c>
      <c r="U34" s="705">
        <f t="shared" si="13"/>
        <v>100</v>
      </c>
      <c r="V34" s="704" t="s">
        <v>14</v>
      </c>
      <c r="W34" s="705">
        <f t="shared" si="14"/>
        <v>100</v>
      </c>
      <c r="X34" s="1353"/>
      <c r="Y34" s="372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20"/>
      <c r="Q35" s="1350" t="str">
        <f t="shared" si="11"/>
        <v>公共部分装修</v>
      </c>
      <c r="R35" s="704" t="s">
        <v>14</v>
      </c>
      <c r="S35" s="705">
        <f t="shared" si="12"/>
        <v>100</v>
      </c>
      <c r="T35" s="704" t="s">
        <v>14</v>
      </c>
      <c r="U35" s="705">
        <f t="shared" si="13"/>
        <v>100</v>
      </c>
      <c r="V35" s="704" t="s">
        <v>14</v>
      </c>
      <c r="W35" s="705">
        <f t="shared" si="14"/>
        <v>100</v>
      </c>
      <c r="X35" s="1353"/>
      <c r="Y35" s="3722"/>
      <c r="Z35" s="1354" t="str">
        <f t="shared" si="15"/>
        <v>公共部分装修</v>
      </c>
      <c r="AA35" s="1351">
        <f t="shared" si="3"/>
        <v>1</v>
      </c>
      <c r="AB35" s="1351">
        <f t="shared" si="4"/>
        <v>1</v>
      </c>
      <c r="AC35" s="1351">
        <f t="shared" si="5"/>
        <v>1</v>
      </c>
    </row>
    <row r="36" spans="1:29" ht="15">
      <c r="A36" s="423"/>
      <c r="B36" s="375" t="s">
        <v>1786</v>
      </c>
      <c r="C36" s="425">
        <v>0.75</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19"/>
      <c r="M36" s="2713"/>
      <c r="N36" s="2713"/>
      <c r="O36" s="2713"/>
      <c r="P36" s="3720"/>
      <c r="Q36" s="1350" t="str">
        <f t="shared" si="11"/>
        <v>成新度</v>
      </c>
      <c r="R36" s="704" t="s">
        <v>14</v>
      </c>
      <c r="S36" s="705">
        <f t="shared" si="12"/>
        <v>100</v>
      </c>
      <c r="T36" s="704" t="s">
        <v>14</v>
      </c>
      <c r="U36" s="705">
        <f t="shared" si="13"/>
        <v>100</v>
      </c>
      <c r="V36" s="704" t="s">
        <v>14</v>
      </c>
      <c r="W36" s="705">
        <f t="shared" si="14"/>
        <v>100</v>
      </c>
      <c r="X36" s="1353"/>
      <c r="Y36" s="372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20"/>
      <c r="Q37" s="1341"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20" t="s">
        <v>1696</v>
      </c>
      <c r="Q38" s="1350" t="str">
        <f t="shared" si="11"/>
        <v>业态</v>
      </c>
      <c r="R38" s="704" t="s">
        <v>14</v>
      </c>
      <c r="S38" s="705">
        <f t="shared" si="12"/>
        <v>100</v>
      </c>
      <c r="T38" s="704" t="s">
        <v>14</v>
      </c>
      <c r="U38" s="705">
        <f t="shared" si="13"/>
        <v>100</v>
      </c>
      <c r="V38" s="704" t="s">
        <v>14</v>
      </c>
      <c r="W38" s="705">
        <f t="shared" si="14"/>
        <v>100</v>
      </c>
      <c r="X38" s="1353"/>
      <c r="Y38" s="372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20"/>
      <c r="Q39" s="1350" t="str">
        <f t="shared" si="11"/>
        <v>层高</v>
      </c>
      <c r="R39" s="704" t="s">
        <v>14</v>
      </c>
      <c r="S39" s="705">
        <f t="shared" si="12"/>
        <v>100</v>
      </c>
      <c r="T39" s="704" t="s">
        <v>14</v>
      </c>
      <c r="U39" s="705">
        <f t="shared" si="13"/>
        <v>100</v>
      </c>
      <c r="V39" s="704" t="s">
        <v>14</v>
      </c>
      <c r="W39" s="705">
        <f t="shared" si="14"/>
        <v>100</v>
      </c>
      <c r="X39" s="1353"/>
      <c r="Y39" s="372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0"/>
      <c r="Q40" s="1350" t="str">
        <f t="shared" si="11"/>
        <v>单套建筑面积</v>
      </c>
      <c r="R40" s="704" t="s">
        <v>14</v>
      </c>
      <c r="S40" s="705">
        <f t="shared" si="12"/>
        <v>100</v>
      </c>
      <c r="T40" s="704" t="s">
        <v>14</v>
      </c>
      <c r="U40" s="705">
        <f t="shared" si="13"/>
        <v>100</v>
      </c>
      <c r="V40" s="704" t="s">
        <v>14</v>
      </c>
      <c r="W40" s="705">
        <f t="shared" si="14"/>
        <v>100</v>
      </c>
      <c r="X40" s="1353"/>
      <c r="Y40" s="372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0"/>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20"/>
      <c r="Q42" s="1350" t="str">
        <f t="shared" si="11"/>
        <v>内部装修</v>
      </c>
      <c r="R42" s="704" t="s">
        <v>14</v>
      </c>
      <c r="S42" s="705">
        <f t="shared" si="12"/>
        <v>100</v>
      </c>
      <c r="T42" s="704" t="s">
        <v>14</v>
      </c>
      <c r="U42" s="705">
        <f t="shared" si="13"/>
        <v>100</v>
      </c>
      <c r="V42" s="704" t="s">
        <v>14</v>
      </c>
      <c r="W42" s="705">
        <f t="shared" si="14"/>
        <v>100</v>
      </c>
      <c r="X42" s="1353"/>
      <c r="Y42" s="372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20"/>
      <c r="Q43" s="1350" t="str">
        <f t="shared" si="11"/>
        <v>内部装修维护情况</v>
      </c>
      <c r="R43" s="704" t="s">
        <v>14</v>
      </c>
      <c r="S43" s="705">
        <f t="shared" si="12"/>
        <v>100</v>
      </c>
      <c r="T43" s="704" t="s">
        <v>14</v>
      </c>
      <c r="U43" s="705">
        <f t="shared" si="13"/>
        <v>100</v>
      </c>
      <c r="V43" s="704" t="s">
        <v>14</v>
      </c>
      <c r="W43" s="705">
        <f t="shared" si="14"/>
        <v>100</v>
      </c>
      <c r="X43" s="1353"/>
      <c r="Y43" s="372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0"/>
      <c r="Q44" s="1341">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0"/>
      <c r="Q45" s="1350">
        <f t="shared" si="11"/>
        <v>111</v>
      </c>
      <c r="R45" s="704" t="s">
        <v>14</v>
      </c>
      <c r="S45" s="705">
        <f t="shared" si="12"/>
        <v>100</v>
      </c>
      <c r="T45" s="704" t="s">
        <v>14</v>
      </c>
      <c r="U45" s="705">
        <f t="shared" si="13"/>
        <v>100</v>
      </c>
      <c r="V45" s="704" t="s">
        <v>14</v>
      </c>
      <c r="W45" s="705">
        <f t="shared" si="14"/>
        <v>100</v>
      </c>
      <c r="X45" s="1353"/>
      <c r="Y45" s="372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1"/>
      <c r="Q46" s="1350">
        <f t="shared" si="11"/>
        <v>111</v>
      </c>
      <c r="R46" s="704" t="s">
        <v>14</v>
      </c>
      <c r="S46" s="705">
        <f t="shared" si="12"/>
        <v>100</v>
      </c>
      <c r="T46" s="704" t="s">
        <v>14</v>
      </c>
      <c r="U46" s="705">
        <f t="shared" si="13"/>
        <v>100</v>
      </c>
      <c r="V46" s="704" t="s">
        <v>14</v>
      </c>
      <c r="W46" s="705">
        <f t="shared" si="14"/>
        <v>100</v>
      </c>
      <c r="X46" s="1353"/>
      <c r="Y46" s="3723"/>
      <c r="Z46" s="1354">
        <f t="shared" si="15"/>
        <v>111</v>
      </c>
      <c r="AA46" s="1351">
        <f t="shared" si="3"/>
        <v>1</v>
      </c>
      <c r="AB46" s="1351">
        <f t="shared" si="4"/>
        <v>1</v>
      </c>
      <c r="AC46" s="1351">
        <f t="shared" si="5"/>
        <v>1</v>
      </c>
    </row>
    <row r="47" spans="1:29" ht="15">
      <c r="A47" s="430" t="s">
        <v>1708</v>
      </c>
      <c r="B47" s="431"/>
      <c r="C47" s="1153" t="s">
        <v>0</v>
      </c>
      <c r="D47" s="1154"/>
      <c r="E47" s="1155">
        <v>28400</v>
      </c>
      <c r="F47" s="1156"/>
      <c r="G47" s="1157">
        <v>28000</v>
      </c>
      <c r="H47" s="1158"/>
      <c r="I47" s="1155">
        <v>28750</v>
      </c>
      <c r="J47" s="1158"/>
      <c r="K47" s="713"/>
      <c r="L47" s="2721"/>
      <c r="M47" s="2722"/>
      <c r="N47" s="2713"/>
      <c r="O47" s="2722"/>
      <c r="P47" s="3710" t="str">
        <f>A47</f>
        <v>成交单价（元/平方米）</v>
      </c>
      <c r="Q47" s="3710"/>
      <c r="R47" s="3724">
        <f>E47</f>
        <v>28400</v>
      </c>
      <c r="S47" s="3724"/>
      <c r="T47" s="3724">
        <f>G47</f>
        <v>28000</v>
      </c>
      <c r="U47" s="3724"/>
      <c r="V47" s="3724">
        <f>I47</f>
        <v>28750</v>
      </c>
      <c r="W47" s="3724"/>
      <c r="X47" s="689"/>
      <c r="Y47" s="711"/>
      <c r="Z47" s="689"/>
      <c r="AA47" s="689"/>
      <c r="AB47" s="689"/>
      <c r="AC47" s="689"/>
    </row>
    <row r="48" spans="1:29" ht="15.75" thickBot="1">
      <c r="A48" s="437" t="s">
        <v>1793</v>
      </c>
      <c r="B48" s="438"/>
      <c r="C48" s="1159">
        <f>R49</f>
        <v>22640</v>
      </c>
      <c r="D48" s="2314" t="s">
        <v>2136</v>
      </c>
      <c r="E48" s="1160">
        <f>R48</f>
        <v>22666</v>
      </c>
      <c r="F48" s="2315"/>
      <c r="G48" s="1159">
        <f>T48</f>
        <v>22346</v>
      </c>
      <c r="H48" s="2315"/>
      <c r="I48" s="1160">
        <f>V48</f>
        <v>22907</v>
      </c>
      <c r="J48" s="2315"/>
      <c r="K48" s="2317">
        <f>F48+H48+J48</f>
        <v>0</v>
      </c>
      <c r="L48" s="2721"/>
      <c r="M48" s="2722"/>
      <c r="N48" s="2713"/>
      <c r="O48" s="2722"/>
      <c r="P48" s="3710" t="str">
        <f>A48</f>
        <v>比较价值（元/平方米）</v>
      </c>
      <c r="Q48" s="3710"/>
      <c r="R48" s="3711">
        <f>IF(F1="售价",ROUND(PRODUCT(R47,AA7:AA46),0),ROUND(PRODUCT(R47,AA7:AA46),1))</f>
        <v>22666</v>
      </c>
      <c r="S48" s="3711"/>
      <c r="T48" s="3711">
        <f>IF(F1="售价",ROUND(PRODUCT(T47,AB7:AB46),0),ROUND(PRODUCT(T47,AB7:AB46),1))</f>
        <v>22346</v>
      </c>
      <c r="U48" s="3711"/>
      <c r="V48" s="3711">
        <f>IF(F1="售价",ROUND(PRODUCT(V47,AC7:AC46),0),ROUND(PRODUCT(V47,AC7:AC46),1))</f>
        <v>22907</v>
      </c>
      <c r="W48" s="3711"/>
      <c r="X48" s="689"/>
      <c r="Y48" s="689"/>
      <c r="Z48" s="689"/>
      <c r="AA48" s="689"/>
      <c r="AB48" s="689"/>
      <c r="AC48" s="689"/>
    </row>
    <row r="49" spans="1:32" ht="15.75" thickBot="1">
      <c r="A49" s="441" t="s">
        <v>1794</v>
      </c>
      <c r="B49" s="442"/>
      <c r="C49" s="1162">
        <f>R49</f>
        <v>22640</v>
      </c>
      <c r="D49" s="1162"/>
      <c r="E49" s="1162"/>
      <c r="F49" s="1162"/>
      <c r="G49" s="1162"/>
      <c r="H49" s="1162"/>
      <c r="I49" s="1162"/>
      <c r="J49" s="1162"/>
      <c r="K49" s="714"/>
      <c r="L49" s="2721"/>
      <c r="M49" s="2722"/>
      <c r="N49" s="2713"/>
      <c r="O49" s="2722"/>
      <c r="P49" s="3712" t="str">
        <f>A49</f>
        <v>估价对象XX用房的比较价值（楼面单价，元/平方米）</v>
      </c>
      <c r="Q49" s="3713"/>
      <c r="R49" s="3714">
        <f>IF(F1="售价",ROUND(IF(D48="简单平均",AVERAGE(R48:V48),R48*F48+T48*H48+V48*J48),0),ROUND(IF(D48="简单平均",AVERAGE(R48:V48),R48*F48+T48*H48+V48*J48),1))</f>
        <v>22640</v>
      </c>
      <c r="S49" s="3714"/>
      <c r="T49" s="3714"/>
      <c r="U49" s="3714"/>
      <c r="V49" s="3714"/>
      <c r="W49" s="3714"/>
      <c r="X49" s="689"/>
      <c r="Y49" s="689"/>
      <c r="Z49" s="689"/>
      <c r="AA49" s="689"/>
      <c r="AB49" s="689"/>
      <c r="AC49" s="689"/>
    </row>
    <row r="50" spans="1:32">
      <c r="A50" s="2722"/>
      <c r="B50" s="2722"/>
      <c r="C50" s="2722"/>
      <c r="D50" s="2722"/>
      <c r="E50" s="2722"/>
      <c r="F50" s="2722"/>
      <c r="G50" s="349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32">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32" ht="13.5" customHeight="1">
      <c r="A52" s="2722"/>
      <c r="B52" s="2722"/>
      <c r="C52" s="446" t="s">
        <v>1795</v>
      </c>
      <c r="D52" s="447"/>
      <c r="E52" s="448">
        <f>IF(E47&lt;E48,E48/E47-1,E47/E48-1)</f>
        <v>0.25297802876555187</v>
      </c>
      <c r="F52" s="449" t="str">
        <f>IF(OR(E52&gt;=0.3,E52&lt;=-0.3),"超过30%","")</f>
        <v/>
      </c>
      <c r="G52" s="448">
        <f>IF(G47&lt;G48,G48/G47-1,G47/G48-1)</f>
        <v>0.25302067484113477</v>
      </c>
      <c r="H52" s="449" t="str">
        <f>IF(OR(G52&gt;=0.3,G52&lt;=-0.3),"超过30%","")</f>
        <v/>
      </c>
      <c r="I52" s="448">
        <f>IF(I47&lt;I48,I48/I47-1,I47/I48-1)</f>
        <v>0.25507486794429646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32" ht="13.5" customHeight="1">
      <c r="A53" s="2722"/>
      <c r="B53" s="2722"/>
      <c r="C53" s="446" t="s">
        <v>1796</v>
      </c>
      <c r="D53" s="450"/>
      <c r="E53" s="448">
        <f>IF(E48&lt;G48,G48/E48-1,E48/G48-1)</f>
        <v>1.432023628389878E-2</v>
      </c>
      <c r="F53" s="449" t="str">
        <f>IF(OR(E53&gt;=0.2,E53&lt;=-0.2),"超过20%","")</f>
        <v/>
      </c>
      <c r="G53" s="448">
        <f>IF(G48&lt;I48,I48/G48-1,G48/I48-1)</f>
        <v>2.5105164235209809E-2</v>
      </c>
      <c r="H53" s="449" t="str">
        <f>IF(OR(G53&gt;=0.2,G53&lt;=-0.2),"超过20%","")</f>
        <v/>
      </c>
      <c r="I53" s="448">
        <f>IF(I48&lt;E48,E48/I48-1,I48/E48-1)</f>
        <v>1.0632665666637342E-2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32" s="451" customFormat="1" ht="13.5" customHeight="1">
      <c r="A54" s="2725"/>
      <c r="B54" s="2725"/>
      <c r="C54" s="446" t="s">
        <v>1797</v>
      </c>
      <c r="D54" s="450"/>
      <c r="E54" s="448">
        <f>IF(E47&lt;G47,G47/E47-1,E47/G47-1)</f>
        <v>1.4285714285714235E-2</v>
      </c>
      <c r="F54" s="449" t="str">
        <f>IF(OR(E54&gt;=0.3,E54&lt;=-0.3),"超过30%","")</f>
        <v/>
      </c>
      <c r="G54" s="448">
        <f>IF(G47&lt;I47,I47/G47-1,G47/I47-1)</f>
        <v>2.6785714285714191E-2</v>
      </c>
      <c r="H54" s="449" t="str">
        <f>IF(OR(G54&gt;=0.3,G54&lt;=-0.3),"超过30%","")</f>
        <v/>
      </c>
      <c r="I54" s="448">
        <f>IF(I47&lt;E47,E47/I47-1,I47/E47-1)</f>
        <v>1.2323943661971759E-2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32"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32">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32"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32" s="457" customFormat="1" ht="15">
      <c r="A58" s="454" t="s">
        <v>1679</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3491">
        <f t="shared" ref="P58:Q58" si="17">EDATE(O58,-1)</f>
        <v>44652</v>
      </c>
      <c r="Q58" s="3491">
        <f t="shared" si="17"/>
        <v>44621</v>
      </c>
      <c r="R58" s="3491">
        <f t="shared" ref="R58:S58" si="18">EDATE(Q58,-1)</f>
        <v>44593</v>
      </c>
      <c r="S58" s="3491">
        <f t="shared" si="18"/>
        <v>44562</v>
      </c>
      <c r="T58" s="3491">
        <f t="shared" ref="T58:U58" si="19">EDATE(S58,-1)</f>
        <v>44531</v>
      </c>
      <c r="U58" s="3491">
        <f t="shared" si="19"/>
        <v>44501</v>
      </c>
      <c r="V58" s="3491">
        <f t="shared" ref="V58:W58" si="20">EDATE(U58,-1)</f>
        <v>44470</v>
      </c>
      <c r="W58" s="3491">
        <f t="shared" si="20"/>
        <v>44440</v>
      </c>
      <c r="X58" s="3491">
        <f t="shared" ref="X58:Y58" si="21">EDATE(W58,-1)</f>
        <v>44409</v>
      </c>
      <c r="Y58" s="3491">
        <f t="shared" si="21"/>
        <v>44378</v>
      </c>
      <c r="Z58" s="3491">
        <f t="shared" ref="Z58:AA58" si="22">EDATE(Y58,-1)</f>
        <v>44348</v>
      </c>
      <c r="AA58" s="3491">
        <f t="shared" si="22"/>
        <v>44317</v>
      </c>
      <c r="AB58" s="3491">
        <f t="shared" ref="AB58:AC58" si="23">EDATE(AA58,-1)</f>
        <v>44287</v>
      </c>
      <c r="AC58" s="3491">
        <f t="shared" si="23"/>
        <v>44256</v>
      </c>
      <c r="AD58" s="3491">
        <f t="shared" ref="AD58:AE58" si="24">EDATE(AC58,-1)</f>
        <v>44228</v>
      </c>
      <c r="AE58" s="3491">
        <f t="shared" si="24"/>
        <v>44197</v>
      </c>
      <c r="AF58" s="3491">
        <f t="shared" ref="AF58" si="25">EDATE(AE58,-1)</f>
        <v>44166</v>
      </c>
    </row>
    <row r="59" spans="1:32" s="108" customFormat="1" ht="15">
      <c r="A59" s="458"/>
      <c r="B59" s="459"/>
      <c r="C59" s="1181">
        <v>100</v>
      </c>
      <c r="D59" s="461">
        <v>100</v>
      </c>
      <c r="E59" s="461">
        <v>100</v>
      </c>
      <c r="F59" s="461">
        <v>100</v>
      </c>
      <c r="G59" s="461">
        <v>100</v>
      </c>
      <c r="H59" s="461">
        <v>100</v>
      </c>
      <c r="I59" s="461">
        <v>100</v>
      </c>
      <c r="J59" s="461">
        <v>100</v>
      </c>
      <c r="K59" s="461">
        <v>100</v>
      </c>
      <c r="L59" s="461">
        <v>100</v>
      </c>
      <c r="M59" s="462">
        <v>100</v>
      </c>
      <c r="N59" s="461">
        <v>100</v>
      </c>
      <c r="O59" s="462">
        <v>99</v>
      </c>
      <c r="P59" s="3492">
        <v>99</v>
      </c>
      <c r="Q59" s="2658">
        <v>99</v>
      </c>
      <c r="R59" s="2658">
        <v>99</v>
      </c>
      <c r="S59" s="2658">
        <v>99</v>
      </c>
      <c r="T59" s="2658">
        <v>99</v>
      </c>
      <c r="U59" s="2658">
        <v>99</v>
      </c>
      <c r="V59" s="2658">
        <v>99</v>
      </c>
      <c r="W59" s="2658">
        <v>99</v>
      </c>
      <c r="X59" s="2658">
        <v>99</v>
      </c>
      <c r="Y59" s="2658">
        <v>99</v>
      </c>
      <c r="Z59" s="2658">
        <v>99</v>
      </c>
      <c r="AA59" s="2658">
        <v>98</v>
      </c>
      <c r="AB59" s="2658">
        <v>98</v>
      </c>
      <c r="AC59" s="2658">
        <v>98</v>
      </c>
      <c r="AD59" s="108">
        <v>98</v>
      </c>
      <c r="AE59" s="108">
        <v>98</v>
      </c>
      <c r="AF59" s="108">
        <v>98</v>
      </c>
    </row>
    <row r="60" spans="1:32" s="108" customFormat="1" ht="15.75" thickBot="1">
      <c r="A60" s="464" t="s">
        <v>1716</v>
      </c>
      <c r="B60" s="465"/>
      <c r="C60" s="466"/>
      <c r="D60" s="467"/>
      <c r="E60" s="467"/>
      <c r="F60" s="467"/>
      <c r="G60" s="467"/>
      <c r="H60" s="467"/>
      <c r="I60" s="467"/>
      <c r="J60" s="467"/>
      <c r="K60" s="467"/>
      <c r="L60" s="467"/>
      <c r="M60" s="468"/>
      <c r="N60" s="467"/>
      <c r="O60" s="468"/>
      <c r="P60" s="2738"/>
      <c r="Q60" s="2736"/>
      <c r="R60" s="2658"/>
      <c r="S60" s="2658"/>
      <c r="T60" s="2658"/>
      <c r="U60" s="2658"/>
      <c r="V60" s="2658"/>
      <c r="W60" s="2658"/>
      <c r="X60" s="2658"/>
      <c r="Y60" s="2658"/>
      <c r="Z60" s="2658"/>
      <c r="AA60" s="2658"/>
      <c r="AB60" s="2658"/>
      <c r="AC60" s="2658"/>
    </row>
    <row r="61" spans="1:32" s="108" customFormat="1" ht="15">
      <c r="A61" s="470" t="s">
        <v>1681</v>
      </c>
      <c r="B61" s="459"/>
      <c r="C61" s="471" t="s">
        <v>1776</v>
      </c>
      <c r="D61" s="472"/>
      <c r="E61" s="472"/>
      <c r="F61" s="472"/>
      <c r="G61" s="472"/>
      <c r="H61" s="472"/>
      <c r="I61" s="472"/>
      <c r="J61" s="472"/>
      <c r="K61" s="472"/>
      <c r="L61" s="473"/>
      <c r="M61" s="474"/>
      <c r="N61" s="2748"/>
      <c r="O61" s="2748"/>
      <c r="P61" s="2739"/>
      <c r="Q61" s="2736"/>
      <c r="R61" s="2658"/>
      <c r="S61" s="2658"/>
      <c r="T61" s="2658"/>
      <c r="U61" s="2658"/>
      <c r="V61" s="2658"/>
      <c r="W61" s="2658"/>
      <c r="X61" s="2658"/>
      <c r="Y61" s="2658"/>
      <c r="Z61" s="2658"/>
      <c r="AA61" s="2658"/>
      <c r="AB61" s="2658"/>
      <c r="AC61" s="2658"/>
    </row>
    <row r="62" spans="1:32" s="108" customFormat="1" ht="15.75" thickBot="1">
      <c r="A62" s="470"/>
      <c r="B62" s="459"/>
      <c r="C62" s="460">
        <v>100</v>
      </c>
      <c r="D62" s="461"/>
      <c r="E62" s="461"/>
      <c r="F62" s="461"/>
      <c r="G62" s="461"/>
      <c r="H62" s="461"/>
      <c r="I62" s="461"/>
      <c r="J62" s="461"/>
      <c r="K62" s="461"/>
      <c r="L62" s="461"/>
      <c r="M62" s="463"/>
      <c r="N62" s="2748"/>
      <c r="O62" s="2748"/>
      <c r="P62" s="2738"/>
      <c r="Q62" s="2736"/>
      <c r="R62" s="2658"/>
      <c r="S62" s="2658"/>
      <c r="T62" s="2658"/>
      <c r="U62" s="2658"/>
      <c r="V62" s="2658"/>
      <c r="W62" s="2658"/>
      <c r="X62" s="2658"/>
      <c r="Y62" s="2658"/>
      <c r="Z62" s="2658"/>
      <c r="AA62" s="2658"/>
      <c r="AB62" s="2658"/>
      <c r="AC62" s="2658"/>
    </row>
    <row r="63" spans="1:32">
      <c r="A63" s="476" t="s">
        <v>1719</v>
      </c>
      <c r="B63" s="477" t="s">
        <v>1685</v>
      </c>
      <c r="C63" s="478" t="str">
        <f>C9</f>
        <v>商业</v>
      </c>
      <c r="D63" s="3495" t="s">
        <v>3494</v>
      </c>
      <c r="E63" s="479"/>
      <c r="F63" s="479"/>
      <c r="G63" s="479"/>
      <c r="H63" s="479"/>
      <c r="I63" s="479"/>
      <c r="J63" s="479"/>
      <c r="K63" s="480"/>
      <c r="L63" s="481"/>
      <c r="M63" s="482"/>
      <c r="N63" s="2749"/>
      <c r="O63" s="2749"/>
      <c r="P63" s="2740"/>
      <c r="Q63" s="2736"/>
      <c r="R63" s="2722"/>
      <c r="S63" s="2722"/>
      <c r="T63" s="2722"/>
      <c r="U63" s="2722"/>
      <c r="V63" s="2722"/>
      <c r="W63" s="2722"/>
      <c r="X63" s="2722"/>
      <c r="Y63" s="2722"/>
      <c r="Z63" s="2722"/>
      <c r="AA63" s="2722"/>
      <c r="AB63" s="2722"/>
      <c r="AC63" s="2722"/>
    </row>
    <row r="64" spans="1:32" ht="15.75" thickBot="1">
      <c r="A64" s="483"/>
      <c r="B64" s="484"/>
      <c r="C64" s="485">
        <v>100</v>
      </c>
      <c r="D64" s="485">
        <v>95</v>
      </c>
      <c r="E64" s="485"/>
      <c r="F64" s="485"/>
      <c r="G64" s="485"/>
      <c r="H64" s="485"/>
      <c r="I64" s="485"/>
      <c r="J64" s="485"/>
      <c r="K64" s="485"/>
      <c r="L64" s="485"/>
      <c r="M64" s="486"/>
      <c r="N64" s="2750"/>
      <c r="O64" s="2750"/>
      <c r="P64" s="2740"/>
      <c r="Q64" s="2736"/>
      <c r="R64" s="2722"/>
      <c r="S64" s="2722"/>
      <c r="T64" s="2722"/>
      <c r="U64" s="2722"/>
      <c r="V64" s="2722"/>
      <c r="W64" s="2722"/>
      <c r="X64" s="2722"/>
      <c r="Y64" s="2722"/>
      <c r="Z64" s="2722"/>
      <c r="AA64" s="2722"/>
      <c r="AB64" s="2722"/>
      <c r="AC64" s="2722"/>
    </row>
    <row r="65" spans="1:29" ht="27.75" thickTop="1">
      <c r="A65" s="483"/>
      <c r="B65" s="487" t="s">
        <v>1688</v>
      </c>
      <c r="C65" s="532" t="s">
        <v>3496</v>
      </c>
      <c r="D65" s="532" t="s">
        <v>3497</v>
      </c>
      <c r="E65" s="532" t="s">
        <v>3498</v>
      </c>
      <c r="F65" s="532" t="s">
        <v>3499</v>
      </c>
      <c r="G65" s="532" t="s">
        <v>3500</v>
      </c>
      <c r="H65" s="532" t="s">
        <v>3501</v>
      </c>
      <c r="I65" s="532" t="s">
        <v>3502</v>
      </c>
      <c r="J65" s="3498" t="s">
        <v>3503</v>
      </c>
      <c r="K65" s="3499" t="s">
        <v>3504</v>
      </c>
      <c r="L65" s="534"/>
      <c r="M65" s="535"/>
      <c r="N65" s="2749"/>
      <c r="O65" s="2749"/>
      <c r="P65" s="2740"/>
      <c r="Q65" s="2736"/>
      <c r="R65" s="2722"/>
      <c r="S65" s="2722"/>
      <c r="T65" s="2722"/>
      <c r="U65" s="2722"/>
      <c r="V65" s="2722"/>
      <c r="W65" s="2722"/>
      <c r="X65" s="2722"/>
      <c r="Y65" s="2722"/>
      <c r="Z65" s="2722"/>
      <c r="AA65" s="2722"/>
      <c r="AB65" s="2722"/>
      <c r="AC65" s="2722"/>
    </row>
    <row r="66" spans="1:29" ht="15.75" thickBot="1">
      <c r="A66" s="483"/>
      <c r="B66" s="492"/>
      <c r="C66" s="485">
        <v>100</v>
      </c>
      <c r="D66" s="485">
        <v>95</v>
      </c>
      <c r="E66" s="485">
        <v>90</v>
      </c>
      <c r="F66" s="485">
        <v>85</v>
      </c>
      <c r="G66" s="485">
        <v>80</v>
      </c>
      <c r="H66" s="485">
        <v>75</v>
      </c>
      <c r="I66" s="485">
        <v>70</v>
      </c>
      <c r="J66" s="485">
        <v>65</v>
      </c>
      <c r="K66" s="485">
        <v>60</v>
      </c>
      <c r="L66" s="485"/>
      <c r="M66" s="486"/>
      <c r="N66" s="2750"/>
      <c r="O66" s="2750"/>
      <c r="P66" s="2740"/>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26">D68&amp;"（含）"&amp;"-"&amp;E68</f>
        <v>1（含）-2</v>
      </c>
      <c r="E67" s="496" t="str">
        <f t="shared" si="26"/>
        <v>2（含）-3</v>
      </c>
      <c r="F67" s="496" t="str">
        <f t="shared" si="26"/>
        <v>3（含）-4</v>
      </c>
      <c r="G67" s="496" t="str">
        <f t="shared" si="26"/>
        <v>4（含）-</v>
      </c>
      <c r="H67" s="496" t="str">
        <f t="shared" si="26"/>
        <v>（含）-</v>
      </c>
      <c r="I67" s="496" t="str">
        <f t="shared" si="26"/>
        <v>（含）-</v>
      </c>
      <c r="J67" s="496" t="str">
        <f t="shared" si="26"/>
        <v>（含）-</v>
      </c>
      <c r="K67" s="496" t="str">
        <f t="shared" si="26"/>
        <v>（含）-</v>
      </c>
      <c r="L67" s="496" t="str">
        <f t="shared" si="26"/>
        <v>（含）-</v>
      </c>
      <c r="M67" s="399" t="str">
        <f>M68&amp;"（含）"&amp;"-"&amp;P68</f>
        <v>（含）-</v>
      </c>
      <c r="N67" s="2750"/>
      <c r="O67" s="2750"/>
      <c r="P67" s="2740"/>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c r="I68" s="498"/>
      <c r="J68" s="498"/>
      <c r="K68" s="499"/>
      <c r="L68" s="500"/>
      <c r="M68" s="501"/>
      <c r="N68" s="2749"/>
      <c r="O68" s="2749"/>
      <c r="P68" s="2740"/>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2750"/>
      <c r="O69" s="2750"/>
      <c r="P69" s="2740"/>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8">D83-$K21</f>
        <v>96</v>
      </c>
      <c r="F83" s="493">
        <f t="shared" si="28"/>
        <v>94</v>
      </c>
      <c r="G83" s="493">
        <f t="shared" si="28"/>
        <v>92</v>
      </c>
      <c r="H83" s="608"/>
      <c r="I83" s="608"/>
      <c r="J83" s="608"/>
      <c r="K83" s="608"/>
      <c r="L83" s="608"/>
      <c r="M83" s="401"/>
      <c r="N83" s="2750"/>
      <c r="O83" s="2750"/>
      <c r="P83" s="2740"/>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8"/>
      <c r="O86" s="2748"/>
      <c r="P86" s="2740"/>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9">C87-$K25</f>
        <v>98</v>
      </c>
      <c r="E87" s="493">
        <f t="shared" si="29"/>
        <v>96</v>
      </c>
      <c r="F87" s="493">
        <f t="shared" si="29"/>
        <v>94</v>
      </c>
      <c r="G87" s="493">
        <f t="shared" si="29"/>
        <v>92</v>
      </c>
      <c r="H87" s="493">
        <f t="shared" si="29"/>
        <v>90</v>
      </c>
      <c r="I87" s="493">
        <f t="shared" si="29"/>
        <v>88</v>
      </c>
      <c r="J87" s="493">
        <f t="shared" si="29"/>
        <v>86</v>
      </c>
      <c r="K87" s="493">
        <f t="shared" si="29"/>
        <v>84</v>
      </c>
      <c r="L87" s="493">
        <f t="shared" si="29"/>
        <v>82</v>
      </c>
      <c r="M87" s="493">
        <f t="shared" si="29"/>
        <v>80</v>
      </c>
      <c r="N87" s="2750"/>
      <c r="O87" s="2750"/>
      <c r="P87" s="2740"/>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07" t="s">
        <v>3530</v>
      </c>
      <c r="D90" s="3507" t="s">
        <v>3531</v>
      </c>
      <c r="E90" s="3507" t="s">
        <v>3532</v>
      </c>
      <c r="F90" s="3507" t="s">
        <v>3533</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30">D91-$K27</f>
        <v>94</v>
      </c>
      <c r="F91" s="493">
        <f t="shared" si="30"/>
        <v>91</v>
      </c>
      <c r="G91" s="493">
        <f t="shared" si="30"/>
        <v>88</v>
      </c>
      <c r="H91" s="493">
        <f t="shared" si="30"/>
        <v>85</v>
      </c>
      <c r="I91" s="493">
        <f t="shared" si="30"/>
        <v>82</v>
      </c>
      <c r="J91" s="493">
        <f t="shared" si="30"/>
        <v>79</v>
      </c>
      <c r="K91" s="493">
        <f t="shared" si="30"/>
        <v>76</v>
      </c>
      <c r="L91" s="493">
        <f t="shared" si="30"/>
        <v>73</v>
      </c>
      <c r="M91" s="493">
        <f t="shared" si="30"/>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0"/>
      <c r="O93" s="2750"/>
      <c r="P93" s="2740"/>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49"/>
      <c r="O94" s="2749"/>
      <c r="P94" s="2740"/>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0"/>
      <c r="O95" s="2750"/>
      <c r="P95" s="2740"/>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49"/>
      <c r="O96" s="2749"/>
      <c r="P96" s="2740"/>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0"/>
      <c r="O97" s="2750"/>
      <c r="P97" s="2740"/>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49"/>
      <c r="O98" s="2749"/>
      <c r="P98" s="2740"/>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0"/>
      <c r="O99" s="2750"/>
      <c r="P99" s="2740"/>
      <c r="Q99" s="2736"/>
      <c r="R99" s="2722"/>
      <c r="S99" s="2722"/>
      <c r="T99" s="2722"/>
      <c r="U99" s="2722"/>
      <c r="V99" s="2722"/>
      <c r="W99" s="2722"/>
      <c r="X99" s="2722"/>
      <c r="Y99" s="2722"/>
      <c r="Z99" s="2722"/>
      <c r="AA99" s="2722"/>
      <c r="AB99" s="2722"/>
      <c r="AC99" s="2722"/>
    </row>
    <row r="100" spans="1:29">
      <c r="A100" s="476" t="s">
        <v>1694</v>
      </c>
      <c r="B100" s="477" t="s">
        <v>1805</v>
      </c>
      <c r="C100" s="3495" t="s">
        <v>3528</v>
      </c>
      <c r="D100" s="3495" t="s">
        <v>3525</v>
      </c>
      <c r="E100" s="479"/>
      <c r="F100" s="479"/>
      <c r="G100" s="479"/>
      <c r="H100" s="479"/>
      <c r="I100" s="479"/>
      <c r="J100" s="479"/>
      <c r="K100" s="480"/>
      <c r="L100" s="481"/>
      <c r="M100" s="482"/>
      <c r="N100" s="2749"/>
      <c r="O100" s="2749"/>
      <c r="P100" s="2740"/>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4">
        <f t="shared" si="31"/>
        <v>80</v>
      </c>
      <c r="N101" s="2750"/>
      <c r="O101" s="2750"/>
      <c r="P101" s="2740"/>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v>
      </c>
      <c r="D102" s="527" t="str">
        <f t="shared" ref="D102:L102" si="32">D103&amp;"(含)"&amp;"-"&amp;E103</f>
        <v>100(含)-200</v>
      </c>
      <c r="E102" s="527" t="str">
        <f t="shared" si="32"/>
        <v>200(含)-500</v>
      </c>
      <c r="F102" s="527" t="str">
        <f t="shared" si="32"/>
        <v>500(含)-1000</v>
      </c>
      <c r="G102" s="527" t="str">
        <f t="shared" si="32"/>
        <v>1000(含)-3000</v>
      </c>
      <c r="H102" s="527" t="str">
        <f t="shared" si="32"/>
        <v>3000(含)-6000</v>
      </c>
      <c r="I102" s="527" t="str">
        <f t="shared" si="32"/>
        <v>6000(含)-</v>
      </c>
      <c r="J102" s="527" t="str">
        <f t="shared" si="32"/>
        <v>(含)-</v>
      </c>
      <c r="K102" s="527" t="str">
        <f t="shared" si="32"/>
        <v>(含)-</v>
      </c>
      <c r="L102" s="527" t="str">
        <f t="shared" si="32"/>
        <v>(含)-</v>
      </c>
      <c r="M102" s="570"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500</v>
      </c>
      <c r="G103" s="544">
        <v>1000</v>
      </c>
      <c r="H103" s="544">
        <v>3000</v>
      </c>
      <c r="I103" s="544">
        <v>6000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97</v>
      </c>
      <c r="E104" s="485">
        <v>94</v>
      </c>
      <c r="F104" s="485">
        <v>91</v>
      </c>
      <c r="G104" s="485">
        <v>88</v>
      </c>
      <c r="H104" s="485">
        <v>85</v>
      </c>
      <c r="I104" s="485">
        <v>82</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4">
        <f t="shared" si="33"/>
        <v>100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49"/>
      <c r="O107" s="2749"/>
      <c r="P107" s="2740"/>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4">
        <f t="shared" si="34"/>
        <v>100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35">D111+$K36</f>
        <v>104</v>
      </c>
      <c r="F111" s="493">
        <f t="shared" si="35"/>
        <v>106</v>
      </c>
      <c r="G111" s="493">
        <f t="shared" si="35"/>
        <v>108</v>
      </c>
      <c r="H111" s="493">
        <f t="shared" si="35"/>
        <v>110</v>
      </c>
      <c r="I111" s="493">
        <f t="shared" si="35"/>
        <v>112</v>
      </c>
      <c r="J111" s="493">
        <f t="shared" si="35"/>
        <v>114</v>
      </c>
      <c r="K111" s="493">
        <f t="shared" si="35"/>
        <v>116</v>
      </c>
      <c r="L111" s="493">
        <f t="shared" si="35"/>
        <v>118</v>
      </c>
      <c r="M111" s="493">
        <f t="shared" si="35"/>
        <v>120</v>
      </c>
      <c r="N111" s="2750"/>
      <c r="O111" s="2750"/>
      <c r="P111" s="2740"/>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36">D113-$K37</f>
        <v>100</v>
      </c>
      <c r="F113" s="493">
        <f t="shared" si="36"/>
        <v>100</v>
      </c>
      <c r="G113" s="493">
        <f t="shared" si="36"/>
        <v>100</v>
      </c>
      <c r="H113" s="493">
        <f t="shared" si="36"/>
        <v>100</v>
      </c>
      <c r="I113" s="493">
        <f t="shared" si="36"/>
        <v>100</v>
      </c>
      <c r="J113" s="493">
        <f t="shared" si="36"/>
        <v>100</v>
      </c>
      <c r="K113" s="493">
        <f t="shared" si="36"/>
        <v>100</v>
      </c>
      <c r="L113" s="493">
        <f t="shared" si="36"/>
        <v>100</v>
      </c>
      <c r="M113" s="493">
        <f t="shared" si="36"/>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49"/>
      <c r="O116" s="2749"/>
      <c r="P116" s="2740"/>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49"/>
      <c r="O118" s="2749"/>
      <c r="P118" s="2740"/>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0"/>
      <c r="O119" s="2750"/>
      <c r="P119" s="2740"/>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8">D121-$K41</f>
        <v>100</v>
      </c>
      <c r="F121" s="493">
        <f t="shared" si="38"/>
        <v>100</v>
      </c>
      <c r="G121" s="493">
        <f t="shared" si="38"/>
        <v>100</v>
      </c>
      <c r="H121" s="493">
        <f t="shared" si="38"/>
        <v>100</v>
      </c>
      <c r="I121" s="493">
        <f t="shared" si="38"/>
        <v>100</v>
      </c>
      <c r="J121" s="493">
        <f t="shared" si="38"/>
        <v>100</v>
      </c>
      <c r="K121" s="493">
        <f t="shared" si="38"/>
        <v>100</v>
      </c>
      <c r="L121" s="493">
        <f t="shared" si="38"/>
        <v>100</v>
      </c>
      <c r="M121" s="494">
        <f t="shared" si="38"/>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4">
        <f t="shared" si="39"/>
        <v>100</v>
      </c>
      <c r="N123" s="2750"/>
      <c r="O123" s="2750"/>
      <c r="P123" s="2740"/>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0"/>
      <c r="O129" s="2750"/>
      <c r="P129" s="2740"/>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49"/>
      <c r="O130" s="2749"/>
      <c r="P130" s="2740"/>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7" t="str">
        <f>项目基本情况!B1</f>
        <v>北京市房地产抵押价值预评估</v>
      </c>
      <c r="C37" s="3527"/>
      <c r="D37" s="3527"/>
      <c r="E37" s="3527"/>
      <c r="F37" s="3527"/>
      <c r="G37" s="3527"/>
      <c r="H37" s="3527"/>
      <c r="I37" s="3527"/>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0"/>
  <sheetViews>
    <sheetView workbookViewId="0">
      <selection activeCell="G8" sqref="G8"/>
    </sheetView>
  </sheetViews>
  <sheetFormatPr defaultRowHeight="13.5"/>
  <sheetData>
    <row r="7" spans="1:11" ht="31.5">
      <c r="A7" s="3485" t="s">
        <v>3477</v>
      </c>
      <c r="B7" s="3485" t="s">
        <v>3478</v>
      </c>
      <c r="C7" s="3485" t="s">
        <v>3479</v>
      </c>
      <c r="D7" s="3486" t="s">
        <v>3480</v>
      </c>
      <c r="E7" s="3485" t="s">
        <v>3481</v>
      </c>
      <c r="F7" s="3487" t="s">
        <v>3482</v>
      </c>
      <c r="G7" s="3487" t="s">
        <v>3483</v>
      </c>
      <c r="H7" s="3488" t="s">
        <v>3484</v>
      </c>
      <c r="I7" s="3489" t="s">
        <v>3485</v>
      </c>
      <c r="J7" s="3486" t="s">
        <v>3486</v>
      </c>
      <c r="K7" s="3486" t="s">
        <v>3487</v>
      </c>
    </row>
    <row r="8" spans="1:11" s="3478" customFormat="1" ht="21">
      <c r="A8" s="3472">
        <v>22</v>
      </c>
      <c r="B8" s="3473" t="s">
        <v>3467</v>
      </c>
      <c r="C8" s="3473" t="s">
        <v>21</v>
      </c>
      <c r="D8" s="3473" t="s">
        <v>3468</v>
      </c>
      <c r="E8" s="3473" t="s">
        <v>3469</v>
      </c>
      <c r="F8" s="3474">
        <v>8.67</v>
      </c>
      <c r="G8" s="3475">
        <v>38464</v>
      </c>
      <c r="H8" s="3476">
        <v>22547</v>
      </c>
      <c r="I8" s="3477" t="s">
        <v>3470</v>
      </c>
      <c r="J8" s="3477" t="s">
        <v>3471</v>
      </c>
      <c r="K8" s="3477" t="s">
        <v>3472</v>
      </c>
    </row>
    <row r="9" spans="1:11" s="3478" customFormat="1" ht="21">
      <c r="A9" s="3479">
        <v>23</v>
      </c>
      <c r="B9" s="3480" t="s">
        <v>3467</v>
      </c>
      <c r="C9" s="3480" t="s">
        <v>21</v>
      </c>
      <c r="D9" s="3480" t="s">
        <v>3473</v>
      </c>
      <c r="E9" s="3480" t="s">
        <v>3474</v>
      </c>
      <c r="F9" s="3481">
        <v>8.75</v>
      </c>
      <c r="G9" s="3482">
        <v>45240</v>
      </c>
      <c r="H9" s="3483">
        <v>19343</v>
      </c>
      <c r="I9" s="3484" t="s">
        <v>3470</v>
      </c>
      <c r="J9" s="3484" t="s">
        <v>3475</v>
      </c>
      <c r="K9" s="3484" t="s">
        <v>3476</v>
      </c>
    </row>
    <row r="10" spans="1:11" s="3478" customFormat="1" ht="21">
      <c r="A10" s="3479">
        <v>25</v>
      </c>
      <c r="B10" s="3480" t="s">
        <v>3488</v>
      </c>
      <c r="C10" s="3480" t="s">
        <v>21</v>
      </c>
      <c r="D10" s="3480" t="s">
        <v>3489</v>
      </c>
      <c r="E10" s="3480" t="s">
        <v>3490</v>
      </c>
      <c r="F10" s="3481">
        <v>16.440000000000001</v>
      </c>
      <c r="G10" s="3482">
        <v>66158</v>
      </c>
      <c r="H10" s="3483">
        <v>24847</v>
      </c>
      <c r="I10" s="3484" t="s">
        <v>3470</v>
      </c>
      <c r="J10" s="3484" t="s">
        <v>3491</v>
      </c>
      <c r="K10" s="3484" t="s">
        <v>3492</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29" sqref="M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27704</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13809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11629</v>
      </c>
      <c r="D5" s="211" t="s">
        <v>1469</v>
      </c>
      <c r="E5" s="212" t="s">
        <v>1470</v>
      </c>
      <c r="F5" s="212" t="s">
        <v>1471</v>
      </c>
      <c r="G5" s="213"/>
    </row>
    <row r="6" spans="1:9" s="214" customFormat="1" ht="13.5" customHeight="1">
      <c r="A6" s="777" t="s">
        <v>1472</v>
      </c>
      <c r="B6" s="215" t="s">
        <v>1473</v>
      </c>
      <c r="C6" s="216">
        <f>'土地比较法-住宅、综合'!B2</f>
        <v>10896</v>
      </c>
      <c r="D6" s="217"/>
      <c r="E6" s="218"/>
      <c r="F6" s="218"/>
      <c r="G6" s="219"/>
    </row>
    <row r="7" spans="1:9" s="214" customFormat="1" ht="13.5" customHeight="1">
      <c r="A7" s="777" t="s">
        <v>1474</v>
      </c>
      <c r="B7" s="215" t="s">
        <v>1475</v>
      </c>
      <c r="C7" s="220">
        <f>ROUND(C6*F7,0)</f>
        <v>332</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401</v>
      </c>
      <c r="D8" s="222"/>
      <c r="E8" s="220"/>
      <c r="F8" s="221"/>
      <c r="G8" s="1854" t="s">
        <v>3405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3403</v>
      </c>
      <c r="H9" s="1136"/>
      <c r="I9" s="1856" t="s">
        <v>1479</v>
      </c>
    </row>
    <row r="10" spans="1:9" s="214" customFormat="1" ht="13.5" customHeight="1">
      <c r="A10" s="778" t="s">
        <v>356</v>
      </c>
      <c r="B10" s="224" t="s">
        <v>1480</v>
      </c>
      <c r="C10" s="225">
        <f ca="1">ROUND(D10*E10/10000,0)</f>
        <v>401</v>
      </c>
      <c r="D10" s="844">
        <f ca="1">IF(B1="",'数据-汇总表'!E6,IF(INDIRECT("'数据-取费表'!c"&amp;$G$1)="住宅",INDIRECT("'数据-取费表'!s"&amp;$G$1),INDIRECT("'数据-取费表'!k"&amp;$G$1)+INDIRECT("'数据-取费表'!s"&amp;$G$1)))</f>
        <v>20062.899999999998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20062.899999999998</v>
      </c>
      <c r="E19" s="211">
        <f>'数据-取费表'!B31</f>
        <v>200</v>
      </c>
      <c r="F19" s="231"/>
      <c r="G19" s="1854" t="s">
        <v>3404</v>
      </c>
    </row>
    <row r="20" spans="1:7" s="214" customFormat="1" ht="13.5" customHeight="1">
      <c r="A20" s="255" t="s">
        <v>1493</v>
      </c>
      <c r="B20" s="210" t="s">
        <v>1494</v>
      </c>
      <c r="C20" s="232">
        <f ca="1">ROUND((C5+C19)*F20,0)</f>
        <v>233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995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985</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2372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2372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16503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10883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10031</v>
      </c>
      <c r="D34" s="217"/>
      <c r="E34" s="220"/>
      <c r="F34" s="257">
        <f ca="1">IF('数据-取费表'!B24=0,1,IF(B1="",'数据-取费表'!N16,INDIRECT("'数据-取费表'!n"&amp;$G$1)))</f>
        <v>1</v>
      </c>
      <c r="G34" s="219" t="s">
        <v>1526</v>
      </c>
    </row>
    <row r="35" spans="1:7" ht="13.5" customHeight="1">
      <c r="A35" s="779" t="s">
        <v>351</v>
      </c>
      <c r="B35" s="215" t="s">
        <v>1527</v>
      </c>
      <c r="C35" s="220">
        <f ca="1">ROUND(C34*F35,0)</f>
        <v>301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401</v>
      </c>
      <c r="D37" s="217">
        <f ca="1">D19</f>
        <v>20062.899999999998</v>
      </c>
      <c r="E37" s="249">
        <f>'数据-取费表'!B35</f>
        <v>200</v>
      </c>
      <c r="F37" s="259"/>
      <c r="G37" s="261" t="s">
        <v>1532</v>
      </c>
    </row>
    <row r="38" spans="1:7" ht="13.5" customHeight="1">
      <c r="A38" s="779" t="s">
        <v>354</v>
      </c>
      <c r="B38" s="215" t="s">
        <v>1533</v>
      </c>
      <c r="C38" s="220">
        <f ca="1">ROUND(C34*F38,0)</f>
        <v>150</v>
      </c>
      <c r="D38" s="220"/>
      <c r="E38" s="220"/>
      <c r="F38" s="259">
        <f>'数据-取费表'!B36</f>
        <v>1.4999999999999999E-2</v>
      </c>
      <c r="G38" s="219" t="s">
        <v>1528</v>
      </c>
    </row>
    <row r="39" spans="1:7" s="214" customFormat="1" ht="13.5" customHeight="1">
      <c r="A39" s="255" t="s">
        <v>1534</v>
      </c>
      <c r="B39" s="210" t="s">
        <v>1535</v>
      </c>
      <c r="C39" s="232">
        <f ca="1">ROUND(C33*F20,0)</f>
        <v>218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461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452</v>
      </c>
      <c r="D42" s="238"/>
      <c r="E42" s="238"/>
      <c r="F42" s="239"/>
      <c r="G42" s="3757" t="s">
        <v>1544</v>
      </c>
    </row>
    <row r="43" spans="1:7" ht="13.5" customHeight="1">
      <c r="A43" s="779" t="s">
        <v>347</v>
      </c>
      <c r="B43" s="215" t="s">
        <v>1545</v>
      </c>
      <c r="C43" s="238">
        <f ca="1">ROUND(IF('数据-取费表'!B22&lt;=1,C39*F22*'数据-取费表'!B21/2,C39*(POWER((1+F22),'数据-取费表'!B21/2)-1)),0)</f>
        <v>9</v>
      </c>
      <c r="D43" s="238"/>
      <c r="E43" s="238"/>
      <c r="F43" s="239"/>
      <c r="G43" s="3758"/>
    </row>
    <row r="44" spans="1:7" ht="13.5" customHeight="1">
      <c r="A44" s="779" t="s">
        <v>348</v>
      </c>
      <c r="B44" s="215" t="s">
        <v>1546</v>
      </c>
      <c r="C44" s="238">
        <f ca="1">ROUND(IF('数据-取费表'!B22&lt;=1,C40*F22*'数据-取费表'!B21/2,C40*(POWER((1+F22),'数据-取费表'!B21/2)-1)),4)</f>
        <v>8.0000000000000004E-4</v>
      </c>
      <c r="D44" s="238"/>
      <c r="E44" s="238"/>
      <c r="F44" s="239"/>
      <c r="G44" s="3759"/>
    </row>
    <row r="45" spans="1:7" s="214" customFormat="1" ht="13.5" customHeight="1">
      <c r="A45" s="255" t="s">
        <v>1547</v>
      </c>
      <c r="B45" s="244" t="s">
        <v>1513</v>
      </c>
      <c r="C45" s="245">
        <f ca="1">C46</f>
        <v>2220</v>
      </c>
      <c r="D45" s="235">
        <f ca="1">C47</f>
        <v>4.0000000000000001E-3</v>
      </c>
      <c r="E45" s="236" t="s">
        <v>1539</v>
      </c>
      <c r="F45" s="246">
        <f ca="1">F27</f>
        <v>0.2</v>
      </c>
      <c r="G45" s="247" t="s">
        <v>1548</v>
      </c>
    </row>
    <row r="46" spans="1:7" s="214" customFormat="1" ht="13.5" customHeight="1">
      <c r="A46" s="779" t="s">
        <v>346</v>
      </c>
      <c r="B46" s="248" t="s">
        <v>1549</v>
      </c>
      <c r="C46" s="249">
        <f ca="1">ROUND((C33+C39)*F27,0)</f>
        <v>2220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14935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11201</v>
      </c>
      <c r="D51" s="232"/>
      <c r="E51" s="232"/>
      <c r="F51" s="264"/>
      <c r="G51" s="234" t="s">
        <v>1560</v>
      </c>
    </row>
    <row r="52" spans="1:7" s="208" customFormat="1" ht="16.5" thickBot="1">
      <c r="A52" s="265" t="s">
        <v>1561</v>
      </c>
      <c r="B52" s="266"/>
      <c r="C52" s="267">
        <f ca="1">C31+C51</f>
        <v>27704</v>
      </c>
      <c r="D52" s="266"/>
      <c r="E52" s="266"/>
      <c r="F52" s="266"/>
      <c r="G52" s="268"/>
    </row>
    <row r="55" spans="1:7" ht="15">
      <c r="B55" s="270" t="s">
        <v>1562</v>
      </c>
      <c r="C55" s="271"/>
    </row>
    <row r="56" spans="1:7">
      <c r="B56" s="273" t="s">
        <v>802</v>
      </c>
      <c r="C56" s="275">
        <f ca="1">1-C57</f>
        <v>0.59599999999999997</v>
      </c>
    </row>
    <row r="57" spans="1:7">
      <c r="B57" s="273" t="s">
        <v>803</v>
      </c>
      <c r="C57" s="274">
        <f ca="1">ROUND(C51/C52,3)</f>
        <v>0.40400000000000003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0">
        <f ca="1">ROUND(IF(D2="——",C52/10000,C52/10000-E2),4)</f>
        <v>12340.816699999999</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4012580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4012580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4012580</v>
      </c>
      <c r="D10" s="844">
        <f ca="1">IF(B1="",'数据-汇总表'!E6,IF(INDIRECT("'数据-取费表'!c"&amp;$G$1)="住宅",INDIRECT("'数据-取费表'!s"&amp;$G$1),INDIRECT("'数据-取费表'!k"&amp;$G$1)+INDIRECT("'数据-取费表'!s"&amp;$G$1)))</f>
        <v>20062.899999999998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4012580</v>
      </c>
      <c r="D19" s="848">
        <f ca="1">D9+D10</f>
        <v>20062.899999999998</v>
      </c>
      <c r="E19" s="211">
        <f>'数据-取费表'!B31</f>
        <v>200</v>
      </c>
      <c r="F19" s="231"/>
      <c r="G19" s="1854"/>
    </row>
    <row r="20" spans="1:7" s="214" customFormat="1" ht="13.5" customHeight="1">
      <c r="A20" s="255" t="s">
        <v>1574</v>
      </c>
      <c r="B20" s="210" t="s">
        <v>1575</v>
      </c>
      <c r="C20" s="232">
        <f ca="1">ROUND((C5+C19)*F20,0)</f>
        <v>160503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686571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339955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339955</v>
      </c>
      <c r="D24" s="238"/>
      <c r="E24" s="238"/>
      <c r="F24" s="239"/>
      <c r="G24" s="240" t="s">
        <v>1586</v>
      </c>
    </row>
    <row r="25" spans="1:7" s="214" customFormat="1" ht="24">
      <c r="A25" s="779" t="s">
        <v>1476</v>
      </c>
      <c r="B25" s="215" t="s">
        <v>1587</v>
      </c>
      <c r="C25" s="1127">
        <f ca="1">ROUND(IF('数据-取费表'!B22&lt;=1,C20*F22*'数据-取费表'!B22/2,C20*(POWER((1+F22),'数据-取费表'!B22/2)-1)),0)</f>
        <v>6661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1637133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1637133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11388564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108841233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100314500</v>
      </c>
      <c r="D34" s="217"/>
      <c r="E34" s="220"/>
      <c r="F34" s="257"/>
      <c r="G34" s="219"/>
    </row>
    <row r="35" spans="1:7" ht="13.5" customHeight="1">
      <c r="A35" s="779" t="s">
        <v>351</v>
      </c>
      <c r="B35" s="215" t="s">
        <v>1527</v>
      </c>
      <c r="C35" s="220">
        <f ca="1">ROUND(C34*F35,0)</f>
        <v>3009435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4012580</v>
      </c>
      <c r="D37" s="217">
        <f ca="1">D19</f>
        <v>20062.899999999998</v>
      </c>
      <c r="E37" s="249">
        <f>'数据-取费表'!B35</f>
        <v>200</v>
      </c>
      <c r="F37" s="259"/>
      <c r="G37" s="261"/>
    </row>
    <row r="38" spans="1:7" ht="13.5" customHeight="1">
      <c r="A38" s="779" t="s">
        <v>354</v>
      </c>
      <c r="B38" s="215" t="s">
        <v>1533</v>
      </c>
      <c r="C38" s="220">
        <f ca="1">ROUND(C34*F38,0)</f>
        <v>1504718</v>
      </c>
      <c r="D38" s="220"/>
      <c r="E38" s="220"/>
      <c r="F38" s="259">
        <f>'数据-取费表'!B36</f>
        <v>1.4999999999999999E-2</v>
      </c>
      <c r="G38" s="219" t="s">
        <v>1528</v>
      </c>
    </row>
    <row r="39" spans="1:7" s="214" customFormat="1" ht="13.5" customHeight="1">
      <c r="A39" s="255" t="s">
        <v>1534</v>
      </c>
      <c r="B39" s="210" t="s">
        <v>1535</v>
      </c>
      <c r="C39" s="232">
        <f ca="1">ROUND(C33*F20,0)</f>
        <v>2176825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4607249</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4516911</v>
      </c>
      <c r="D42" s="238"/>
      <c r="E42" s="238"/>
      <c r="F42" s="239"/>
      <c r="G42" s="3757" t="s">
        <v>1591</v>
      </c>
    </row>
    <row r="43" spans="1:7" ht="13.5" customHeight="1">
      <c r="A43" s="779" t="s">
        <v>347</v>
      </c>
      <c r="B43" s="215" t="s">
        <v>1545</v>
      </c>
      <c r="C43" s="238">
        <f ca="1">ROUND(IF('数据-取费表'!B22&lt;=1,C39*F22*'数据-取费表'!B20/2,C39*(POWER((1+F22),'数据-取费表'!B20/2)-1)),0)</f>
        <v>90338</v>
      </c>
      <c r="D43" s="238"/>
      <c r="E43" s="238"/>
      <c r="F43" s="239"/>
      <c r="G43" s="3758"/>
    </row>
    <row r="44" spans="1:7" ht="13.5" customHeight="1">
      <c r="A44" s="779" t="s">
        <v>348</v>
      </c>
      <c r="B44" s="215" t="s">
        <v>1546</v>
      </c>
      <c r="C44" s="238">
        <f ca="1">ROUND(IF('数据-取费表'!B22&lt;=1,C40*F22*'数据-取费表'!B20/2,C40*(POWER((1+F22),'数据-取费表'!B20/2)-1)),4)</f>
        <v>8.0000000000000004E-4</v>
      </c>
      <c r="D44" s="238"/>
      <c r="E44" s="238"/>
      <c r="F44" s="239"/>
      <c r="G44" s="3759"/>
    </row>
    <row r="45" spans="1:7" s="214" customFormat="1" ht="13.5" customHeight="1">
      <c r="A45" s="255" t="s">
        <v>1547</v>
      </c>
      <c r="B45" s="244" t="s">
        <v>1513</v>
      </c>
      <c r="C45" s="245">
        <f ca="1">C46</f>
        <v>22203612</v>
      </c>
      <c r="D45" s="235">
        <f ca="1">C47</f>
        <v>4.0000000000000001E-3</v>
      </c>
      <c r="E45" s="236" t="s">
        <v>1539</v>
      </c>
      <c r="F45" s="246">
        <f ca="1">F27</f>
        <v>0.2</v>
      </c>
      <c r="G45" s="247" t="s">
        <v>1548</v>
      </c>
    </row>
    <row r="46" spans="1:7" s="214" customFormat="1" ht="13.5" customHeight="1">
      <c r="A46" s="779" t="s">
        <v>346</v>
      </c>
      <c r="B46" s="248" t="s">
        <v>1549</v>
      </c>
      <c r="C46" s="249">
        <f ca="1">ROUND((C33+C39)*F27,0)</f>
        <v>22203612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149359470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112019603</v>
      </c>
      <c r="D51" s="232"/>
      <c r="E51" s="232"/>
      <c r="F51" s="264"/>
      <c r="G51" s="234" t="s">
        <v>1560</v>
      </c>
    </row>
    <row r="52" spans="1:7" s="208" customFormat="1" ht="16.5" thickBot="1">
      <c r="A52" s="265" t="s">
        <v>1561</v>
      </c>
      <c r="B52" s="266"/>
      <c r="C52" s="267">
        <f ca="1">C31+C51</f>
        <v>123408167</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8"/>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20062.899999999998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20062.899999999998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401</v>
      </c>
      <c r="D20" s="845">
        <f ca="1">IF(C1="",'数据-汇总表'!E6,IF(INDIRECT("'数据-取费表'!c"&amp;$K$1)="住宅",INDIRECT("'数据-取费表'!s"&amp;$K$1),INDIRECT("'数据-取费表'!k"&amp;$K$1)+INDIRECT("'数据-取费表'!s"&amp;$K$1)))</f>
        <v>20062.899999999998</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0" zoomScale="60" zoomScaleNormal="60" workbookViewId="0">
      <selection activeCell="O85" sqref="O8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f>F65</f>
        <v>10896</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5431</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29" t="s">
        <v>1770</v>
      </c>
      <c r="D4" s="3730"/>
      <c r="E4" s="3731" t="s">
        <v>1771</v>
      </c>
      <c r="F4" s="3732"/>
      <c r="G4" s="3729" t="s">
        <v>1772</v>
      </c>
      <c r="H4" s="3730"/>
      <c r="I4" s="3729" t="s">
        <v>1773</v>
      </c>
      <c r="J4" s="3730"/>
      <c r="K4" s="559" t="s">
        <v>1774</v>
      </c>
      <c r="L4" s="2712"/>
      <c r="M4" s="2713"/>
      <c r="N4" s="2713"/>
      <c r="O4" s="2713"/>
      <c r="P4" s="3733" t="s">
        <v>1775</v>
      </c>
      <c r="Q4" s="3734"/>
      <c r="R4" s="3739" t="s">
        <v>1771</v>
      </c>
      <c r="S4" s="3740"/>
      <c r="T4" s="3739" t="s">
        <v>1772</v>
      </c>
      <c r="U4" s="3740"/>
      <c r="V4" s="3724" t="s">
        <v>1773</v>
      </c>
      <c r="W4" s="3724"/>
      <c r="X4" s="1353"/>
      <c r="Y4" s="3739" t="s">
        <v>1775</v>
      </c>
      <c r="Z4" s="3740"/>
      <c r="AA4" s="3726" t="s">
        <v>1771</v>
      </c>
      <c r="AB4" s="3727" t="s">
        <v>1772</v>
      </c>
      <c r="AC4" s="3726" t="s">
        <v>1773</v>
      </c>
    </row>
    <row r="5" spans="1:30" ht="15">
      <c r="A5" s="358"/>
      <c r="B5" s="359"/>
      <c r="C5" s="3752" t="s">
        <v>1673</v>
      </c>
      <c r="D5" s="3748"/>
      <c r="E5" s="3764" t="str">
        <f>土地案例!A10</f>
        <v>北京经济技术开发区河西区X78C2地块B4综合性商业金融服务业用地</v>
      </c>
      <c r="F5" s="3756"/>
      <c r="G5" s="3752" t="str">
        <f>土地案例!A8</f>
        <v>北京市房山区长阳镇06、07街区棚户区改造土地开发七片区项目FS10-0107-0005地块F3其他类多功能用地</v>
      </c>
      <c r="H5" s="3748"/>
      <c r="I5" s="3752" t="str">
        <f>土地案例!A14</f>
        <v>北京市门头沟区永定镇MC00-0018-0060、0061地块B4综合性商业金融服务业用地</v>
      </c>
      <c r="J5" s="3748"/>
      <c r="K5" s="559"/>
      <c r="L5" s="2712"/>
      <c r="M5" s="2713"/>
      <c r="N5" s="2713"/>
      <c r="O5" s="2713"/>
      <c r="P5" s="3735"/>
      <c r="Q5" s="3736"/>
      <c r="R5" s="3741"/>
      <c r="S5" s="3742"/>
      <c r="T5" s="3741"/>
      <c r="U5" s="3742"/>
      <c r="V5" s="3724"/>
      <c r="W5" s="3724"/>
      <c r="X5" s="1353"/>
      <c r="Y5" s="3741"/>
      <c r="Z5" s="3742"/>
      <c r="AA5" s="3727"/>
      <c r="AB5" s="3727"/>
      <c r="AC5" s="3727"/>
    </row>
    <row r="6" spans="1:30" ht="15.75" thickBot="1">
      <c r="A6" s="360"/>
      <c r="B6" s="361"/>
      <c r="C6" s="3745" t="s">
        <v>1677</v>
      </c>
      <c r="D6" s="3746"/>
      <c r="E6" s="3753" t="s">
        <v>1677</v>
      </c>
      <c r="F6" s="3754"/>
      <c r="G6" s="3745" t="s">
        <v>1677</v>
      </c>
      <c r="H6" s="3746"/>
      <c r="I6" s="3745" t="s">
        <v>1677</v>
      </c>
      <c r="J6" s="3746"/>
      <c r="K6" s="559" t="s">
        <v>1678</v>
      </c>
      <c r="L6" s="2712"/>
      <c r="M6" s="2713"/>
      <c r="N6" s="2713"/>
      <c r="O6" s="2713"/>
      <c r="P6" s="3737"/>
      <c r="Q6" s="3738"/>
      <c r="R6" s="3741"/>
      <c r="S6" s="3742"/>
      <c r="T6" s="3743"/>
      <c r="U6" s="3744"/>
      <c r="V6" s="3724"/>
      <c r="W6" s="3724"/>
      <c r="X6" s="1353"/>
      <c r="Y6" s="3743"/>
      <c r="Z6" s="3744"/>
      <c r="AA6" s="3728"/>
      <c r="AB6" s="3728"/>
      <c r="AC6" s="3728"/>
    </row>
    <row r="7" spans="1:30" s="108" customFormat="1" ht="15.75" thickBot="1">
      <c r="A7" s="362" t="s">
        <v>1679</v>
      </c>
      <c r="B7" s="363"/>
      <c r="C7" s="364">
        <f>'数据-取费表'!B2</f>
        <v>45068</v>
      </c>
      <c r="D7" s="365">
        <v>100</v>
      </c>
      <c r="E7" s="366" t="str">
        <f>土地案例!K10</f>
        <v>2019-08-29</v>
      </c>
      <c r="F7" s="367">
        <f>SUMIF(69:69,YEAR(E7)&amp;"-"&amp;INT((MONTH(E7)+2)/3),70:70)</f>
        <v>92.5</v>
      </c>
      <c r="G7" s="1971" t="str">
        <f>土地案例!K8</f>
        <v>2020-12-28</v>
      </c>
      <c r="H7" s="365">
        <f>SUMIF(69:69,YEAR(G7)&amp;"-"&amp;INT((MONTH(G7)+2)/3),70:70)</f>
        <v>95</v>
      </c>
      <c r="I7" s="1971" t="str">
        <f>土地案例!K14</f>
        <v>2018-02-28</v>
      </c>
      <c r="J7" s="365">
        <f>SUMIF(69:69,YEAR(I7)&amp;"-"&amp;INT((MONTH(I7)+2)/3),70:70)</f>
        <v>89.5</v>
      </c>
      <c r="K7" s="560"/>
      <c r="L7" s="2714"/>
      <c r="M7" s="2715"/>
      <c r="N7" s="2715"/>
      <c r="O7" s="2715"/>
      <c r="P7" s="3749" t="s">
        <v>1680</v>
      </c>
      <c r="Q7" s="3751"/>
      <c r="R7" s="700" t="s">
        <v>14</v>
      </c>
      <c r="S7" s="701">
        <f t="shared" ref="S7:S15" si="0">F7</f>
        <v>92.5</v>
      </c>
      <c r="T7" s="700" t="s">
        <v>14</v>
      </c>
      <c r="U7" s="701">
        <f t="shared" ref="U7:U15" si="1">H7</f>
        <v>95</v>
      </c>
      <c r="V7" s="700" t="s">
        <v>14</v>
      </c>
      <c r="W7" s="701">
        <f t="shared" ref="W7:W15" si="2">J7</f>
        <v>89.5</v>
      </c>
      <c r="X7" s="702"/>
      <c r="Y7" s="3749" t="s">
        <v>1680</v>
      </c>
      <c r="Z7" s="3750"/>
      <c r="AA7" s="703">
        <f>D7/F7</f>
        <v>1.0810810810810811</v>
      </c>
      <c r="AB7" s="703">
        <f>D7/H7</f>
        <v>1.0526315789473684</v>
      </c>
      <c r="AC7" s="703">
        <f>D7/J7</f>
        <v>1.1173184357541899</v>
      </c>
    </row>
    <row r="8" spans="1:30" s="108" customFormat="1" ht="15.75" thickBot="1">
      <c r="A8" s="362" t="s">
        <v>1681</v>
      </c>
      <c r="B8" s="363"/>
      <c r="C8" s="368" t="s">
        <v>1682</v>
      </c>
      <c r="D8" s="365">
        <v>100</v>
      </c>
      <c r="E8" s="3460" t="s">
        <v>3452</v>
      </c>
      <c r="F8" s="367">
        <f>SUMIF(72:72,E8,73:73)-SUMIF(72:72,C8,73:73)+100</f>
        <v>100</v>
      </c>
      <c r="G8" s="3460" t="s">
        <v>3453</v>
      </c>
      <c r="H8" s="365">
        <f>SUMIF(72:72,G8,73:73)-SUMIF(72:72,C8,73:73)+100</f>
        <v>100</v>
      </c>
      <c r="I8" s="3460" t="s">
        <v>3452</v>
      </c>
      <c r="J8" s="365">
        <f>SUMIF(72:72,I8,73:73)-SUMIF(72:72,C8,73:73)+100</f>
        <v>100</v>
      </c>
      <c r="K8" s="560"/>
      <c r="L8" s="2714"/>
      <c r="M8" s="2715"/>
      <c r="N8" s="2715"/>
      <c r="O8" s="2715"/>
      <c r="P8" s="3749" t="s">
        <v>1683</v>
      </c>
      <c r="Q8" s="3750"/>
      <c r="R8" s="700" t="s">
        <v>14</v>
      </c>
      <c r="S8" s="701">
        <f t="shared" si="0"/>
        <v>100</v>
      </c>
      <c r="T8" s="700" t="s">
        <v>14</v>
      </c>
      <c r="U8" s="701">
        <f t="shared" si="1"/>
        <v>100</v>
      </c>
      <c r="V8" s="700" t="s">
        <v>14</v>
      </c>
      <c r="W8" s="701">
        <f t="shared" si="2"/>
        <v>100</v>
      </c>
      <c r="X8" s="702"/>
      <c r="Y8" s="3749" t="s">
        <v>1683</v>
      </c>
      <c r="Z8" s="3750"/>
      <c r="AA8" s="703">
        <f t="shared" ref="AA8:AA45" si="3">D8/F8</f>
        <v>1</v>
      </c>
      <c r="AB8" s="703">
        <f t="shared" ref="AB8:AB45" si="4">D8/H8</f>
        <v>1</v>
      </c>
      <c r="AC8" s="703">
        <f t="shared" ref="AC8:AC45" si="5">D8/J8</f>
        <v>1</v>
      </c>
    </row>
    <row r="9" spans="1:30" s="108" customFormat="1" ht="15">
      <c r="A9" s="369" t="s">
        <v>1684</v>
      </c>
      <c r="B9" s="63" t="s">
        <v>1685</v>
      </c>
      <c r="C9" s="1974" t="s">
        <v>673</v>
      </c>
      <c r="D9" s="126">
        <v>100</v>
      </c>
      <c r="E9" s="1974" t="s">
        <v>3638</v>
      </c>
      <c r="F9" s="126">
        <f>SUMIF(74:74,E9,75:75)-SUMIF(74:74,C9,75:75)+100</f>
        <v>100</v>
      </c>
      <c r="G9" s="1974" t="s">
        <v>3640</v>
      </c>
      <c r="H9" s="126">
        <f>SUMIF(74:74,G9,75:75)-SUMIF(74:74,C9,75:75)+100</f>
        <v>95</v>
      </c>
      <c r="I9" s="1974" t="s">
        <v>3638</v>
      </c>
      <c r="J9" s="126">
        <f>SUMIF(74:74,I9,75:75)-SUMIF(74:74,C9,75:75)+100</f>
        <v>100</v>
      </c>
      <c r="K9" s="560"/>
      <c r="L9" s="2714"/>
      <c r="M9" s="2715"/>
      <c r="N9" s="2715"/>
      <c r="O9" s="2768"/>
      <c r="P9" s="3710" t="s">
        <v>1686</v>
      </c>
      <c r="Q9" s="1341" t="str">
        <f t="shared" ref="Q9:Q15" si="6">B9</f>
        <v>用途</v>
      </c>
      <c r="R9" s="700" t="s">
        <v>14</v>
      </c>
      <c r="S9" s="701">
        <f t="shared" si="0"/>
        <v>100</v>
      </c>
      <c r="T9" s="700" t="s">
        <v>14</v>
      </c>
      <c r="U9" s="701">
        <f t="shared" si="1"/>
        <v>95</v>
      </c>
      <c r="V9" s="700" t="s">
        <v>14</v>
      </c>
      <c r="W9" s="701">
        <f t="shared" si="2"/>
        <v>100</v>
      </c>
      <c r="X9" s="702"/>
      <c r="Y9" s="3617" t="s">
        <v>1687</v>
      </c>
      <c r="Z9" s="52" t="str">
        <f t="shared" ref="Z9:Z15" si="7">Q9</f>
        <v>用途</v>
      </c>
      <c r="AA9" s="703">
        <f t="shared" si="3"/>
        <v>1</v>
      </c>
      <c r="AB9" s="703">
        <f t="shared" si="4"/>
        <v>1.0526315789473684</v>
      </c>
      <c r="AC9" s="703">
        <f t="shared" si="5"/>
        <v>1</v>
      </c>
    </row>
    <row r="10" spans="1:30" s="378" customFormat="1" ht="27">
      <c r="A10" s="374"/>
      <c r="B10" s="375" t="s">
        <v>1688</v>
      </c>
      <c r="C10" s="383"/>
      <c r="D10" s="127">
        <v>100</v>
      </c>
      <c r="E10" s="416"/>
      <c r="F10" s="3525">
        <v>100</v>
      </c>
      <c r="G10" s="414"/>
      <c r="H10" s="3525">
        <v>100</v>
      </c>
      <c r="I10" s="414"/>
      <c r="J10" s="3525">
        <v>100</v>
      </c>
      <c r="K10" s="620"/>
      <c r="L10" s="2716"/>
      <c r="M10" s="2717"/>
      <c r="N10" s="2717"/>
      <c r="O10" s="2769"/>
      <c r="P10" s="371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30" ht="15">
      <c r="A11" s="379"/>
      <c r="B11" s="375" t="s">
        <v>1689</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v>2</v>
      </c>
      <c r="L11" s="2718"/>
      <c r="M11" s="2713"/>
      <c r="N11" s="2713"/>
      <c r="O11" s="2770"/>
      <c r="P11" s="3710"/>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8"/>
      <c r="P12" s="3710"/>
      <c r="Q12" s="1341" t="str">
        <f t="shared" si="6"/>
        <v>配建</v>
      </c>
      <c r="R12" s="700" t="s">
        <v>14</v>
      </c>
      <c r="S12" s="701">
        <f t="shared" si="0"/>
        <v>100</v>
      </c>
      <c r="T12" s="700" t="s">
        <v>14</v>
      </c>
      <c r="U12" s="701">
        <f t="shared" si="1"/>
        <v>100</v>
      </c>
      <c r="V12" s="700" t="s">
        <v>14</v>
      </c>
      <c r="W12" s="701">
        <f t="shared" si="2"/>
        <v>100</v>
      </c>
      <c r="X12" s="702"/>
      <c r="Y12" s="3617"/>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0"/>
      <c r="P13" s="3710"/>
      <c r="Q13" s="1341">
        <f t="shared" si="6"/>
        <v>111</v>
      </c>
      <c r="R13" s="700" t="s">
        <v>14</v>
      </c>
      <c r="S13" s="701">
        <f t="shared" si="0"/>
        <v>100</v>
      </c>
      <c r="T13" s="700" t="s">
        <v>14</v>
      </c>
      <c r="U13" s="701">
        <f t="shared" si="1"/>
        <v>100</v>
      </c>
      <c r="V13" s="700" t="s">
        <v>14</v>
      </c>
      <c r="W13" s="701">
        <f t="shared" si="2"/>
        <v>100</v>
      </c>
      <c r="X13" s="702"/>
      <c r="Y13" s="3617"/>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0"/>
      <c r="P14" s="3710"/>
      <c r="Q14" s="1341">
        <f t="shared" si="6"/>
        <v>111</v>
      </c>
      <c r="R14" s="700" t="s">
        <v>14</v>
      </c>
      <c r="S14" s="701">
        <f t="shared" si="0"/>
        <v>100</v>
      </c>
      <c r="T14" s="700" t="s">
        <v>14</v>
      </c>
      <c r="U14" s="701">
        <f t="shared" si="1"/>
        <v>100</v>
      </c>
      <c r="V14" s="700" t="s">
        <v>14</v>
      </c>
      <c r="W14" s="701">
        <f t="shared" si="2"/>
        <v>100</v>
      </c>
      <c r="X14" s="702"/>
      <c r="Y14" s="3617"/>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0"/>
      <c r="P15" s="3717" t="s">
        <v>1691</v>
      </c>
      <c r="Q15" s="1350" t="str">
        <f t="shared" si="6"/>
        <v>居住社区成熟度</v>
      </c>
      <c r="R15" s="704" t="s">
        <v>14</v>
      </c>
      <c r="S15" s="705">
        <f t="shared" si="0"/>
        <v>100</v>
      </c>
      <c r="T15" s="704" t="s">
        <v>14</v>
      </c>
      <c r="U15" s="705">
        <f t="shared" si="1"/>
        <v>100</v>
      </c>
      <c r="V15" s="704" t="s">
        <v>14</v>
      </c>
      <c r="W15" s="705">
        <f t="shared" si="2"/>
        <v>100</v>
      </c>
      <c r="X15" s="1353"/>
      <c r="Y15" s="371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0"/>
      <c r="P16" s="3718"/>
      <c r="Q16" s="1350"/>
      <c r="R16" s="704"/>
      <c r="S16" s="705"/>
      <c r="T16" s="704"/>
      <c r="U16" s="705"/>
      <c r="V16" s="704"/>
      <c r="W16" s="705"/>
      <c r="X16" s="1353"/>
      <c r="Y16" s="371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1</v>
      </c>
      <c r="L17" s="2719"/>
      <c r="M17" s="2713"/>
      <c r="N17" s="2713"/>
      <c r="O17" s="2770"/>
      <c r="P17" s="3718"/>
      <c r="Q17" s="1350" t="str">
        <f>B17</f>
        <v>商业繁华度</v>
      </c>
      <c r="R17" s="704" t="s">
        <v>14</v>
      </c>
      <c r="S17" s="705">
        <f>F17</f>
        <v>100</v>
      </c>
      <c r="T17" s="704" t="s">
        <v>14</v>
      </c>
      <c r="U17" s="705">
        <f>H17</f>
        <v>100</v>
      </c>
      <c r="V17" s="704" t="s">
        <v>14</v>
      </c>
      <c r="W17" s="705">
        <f>J17</f>
        <v>100</v>
      </c>
      <c r="X17" s="1353"/>
      <c r="Y17" s="3718"/>
      <c r="Z17" s="1354" t="str">
        <f>Q17</f>
        <v>商业繁华度</v>
      </c>
      <c r="AA17" s="1351">
        <f t="shared" si="3"/>
        <v>1</v>
      </c>
      <c r="AB17" s="1351">
        <f t="shared" si="4"/>
        <v>1</v>
      </c>
      <c r="AC17" s="1351">
        <f t="shared" si="5"/>
        <v>1</v>
      </c>
    </row>
    <row r="18" spans="1:29" ht="15">
      <c r="A18" s="379"/>
      <c r="B18" s="407"/>
      <c r="C18" s="3462" t="s">
        <v>3461</v>
      </c>
      <c r="D18" s="401"/>
      <c r="E18" s="3463" t="s">
        <v>3461</v>
      </c>
      <c r="F18" s="401"/>
      <c r="G18" s="3463" t="s">
        <v>3393</v>
      </c>
      <c r="H18" s="399"/>
      <c r="I18" s="3464" t="s">
        <v>3393</v>
      </c>
      <c r="J18" s="399"/>
      <c r="K18" s="620"/>
      <c r="L18" s="2719"/>
      <c r="M18" s="2713"/>
      <c r="N18" s="2713"/>
      <c r="O18" s="2770"/>
      <c r="P18" s="3718"/>
      <c r="Q18" s="1350"/>
      <c r="R18" s="704"/>
      <c r="S18" s="705"/>
      <c r="T18" s="704"/>
      <c r="U18" s="705"/>
      <c r="V18" s="704"/>
      <c r="W18" s="705"/>
      <c r="X18" s="1353"/>
      <c r="Y18" s="371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0"/>
      <c r="P19" s="3718"/>
      <c r="Q19" s="1350" t="str">
        <f>B19</f>
        <v>办公集聚程度</v>
      </c>
      <c r="R19" s="704" t="s">
        <v>14</v>
      </c>
      <c r="S19" s="705">
        <f>F19</f>
        <v>100</v>
      </c>
      <c r="T19" s="704" t="s">
        <v>14</v>
      </c>
      <c r="U19" s="705">
        <f>H19</f>
        <v>100</v>
      </c>
      <c r="V19" s="704" t="s">
        <v>14</v>
      </c>
      <c r="W19" s="705">
        <f>J19</f>
        <v>100</v>
      </c>
      <c r="X19" s="1353"/>
      <c r="Y19" s="371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0"/>
      <c r="P20" s="3718"/>
      <c r="Q20" s="1350"/>
      <c r="R20" s="704"/>
      <c r="S20" s="705"/>
      <c r="T20" s="704"/>
      <c r="U20" s="705"/>
      <c r="V20" s="704"/>
      <c r="W20" s="705"/>
      <c r="X20" s="1353"/>
      <c r="Y20" s="371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101</v>
      </c>
      <c r="I21" s="405"/>
      <c r="J21" s="401">
        <f>SUMIF(93:93,I22,94:94)-SUMIF(93:93,C22,94:94)+100</f>
        <v>101</v>
      </c>
      <c r="K21" s="621">
        <v>1</v>
      </c>
      <c r="L21" s="2719"/>
      <c r="M21" s="2713"/>
      <c r="N21" s="2713"/>
      <c r="O21" s="2770"/>
      <c r="P21" s="3718"/>
      <c r="Q21" s="1350" t="str">
        <f>B21</f>
        <v>交通便捷度</v>
      </c>
      <c r="R21" s="704" t="s">
        <v>14</v>
      </c>
      <c r="S21" s="705">
        <f>F21</f>
        <v>100</v>
      </c>
      <c r="T21" s="704" t="s">
        <v>14</v>
      </c>
      <c r="U21" s="705">
        <f>H21</f>
        <v>101</v>
      </c>
      <c r="V21" s="704" t="s">
        <v>14</v>
      </c>
      <c r="W21" s="705">
        <f>J21</f>
        <v>101</v>
      </c>
      <c r="X21" s="1353"/>
      <c r="Y21" s="3718"/>
      <c r="Z21" s="1354" t="str">
        <f>Q21</f>
        <v>交通便捷度</v>
      </c>
      <c r="AA21" s="1351">
        <f t="shared" si="3"/>
        <v>1</v>
      </c>
      <c r="AB21" s="1351">
        <f t="shared" si="4"/>
        <v>0.99009900990099009</v>
      </c>
      <c r="AC21" s="1351">
        <f t="shared" si="5"/>
        <v>0.99009900990099009</v>
      </c>
    </row>
    <row r="22" spans="1:29" ht="15">
      <c r="A22" s="379"/>
      <c r="B22" s="1130"/>
      <c r="C22" s="3465" t="s">
        <v>3461</v>
      </c>
      <c r="D22" s="401"/>
      <c r="E22" s="3466" t="s">
        <v>3461</v>
      </c>
      <c r="F22" s="399"/>
      <c r="G22" s="3466" t="s">
        <v>3628</v>
      </c>
      <c r="H22" s="399"/>
      <c r="I22" s="3467" t="s">
        <v>3462</v>
      </c>
      <c r="J22" s="399"/>
      <c r="K22" s="620"/>
      <c r="L22" s="2719"/>
      <c r="M22" s="2713"/>
      <c r="N22" s="2713"/>
      <c r="O22" s="2770"/>
      <c r="P22" s="3718"/>
      <c r="Q22" s="1350"/>
      <c r="R22" s="704"/>
      <c r="S22" s="705"/>
      <c r="T22" s="704"/>
      <c r="U22" s="705"/>
      <c r="V22" s="704"/>
      <c r="W22" s="705"/>
      <c r="X22" s="1353"/>
      <c r="Y22" s="3718"/>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0"/>
      <c r="P23" s="3718"/>
      <c r="Q23" s="1350" t="str">
        <f t="shared" ref="Q23:Q37" si="8">B23</f>
        <v>区域土地利用方向</v>
      </c>
      <c r="R23" s="704" t="s">
        <v>14</v>
      </c>
      <c r="S23" s="705">
        <f>F23</f>
        <v>100</v>
      </c>
      <c r="T23" s="704" t="s">
        <v>14</v>
      </c>
      <c r="U23" s="705">
        <f>H23</f>
        <v>100</v>
      </c>
      <c r="V23" s="704" t="s">
        <v>14</v>
      </c>
      <c r="W23" s="705">
        <f>J23</f>
        <v>100</v>
      </c>
      <c r="X23" s="1353"/>
      <c r="Y23" s="3718"/>
      <c r="Z23" s="1354" t="str">
        <f>Q23</f>
        <v>区域土地利用方向</v>
      </c>
      <c r="AA23" s="1351">
        <f t="shared" si="3"/>
        <v>1</v>
      </c>
      <c r="AB23" s="1351">
        <f t="shared" si="4"/>
        <v>1</v>
      </c>
      <c r="AC23" s="1351">
        <f t="shared" si="5"/>
        <v>1</v>
      </c>
    </row>
    <row r="24" spans="1:29" ht="15">
      <c r="A24" s="358"/>
      <c r="B24" s="407"/>
      <c r="C24" s="3468" t="s">
        <v>3462</v>
      </c>
      <c r="D24" s="399"/>
      <c r="E24" s="3466" t="s">
        <v>3462</v>
      </c>
      <c r="F24" s="399"/>
      <c r="G24" s="3467" t="s">
        <v>3462</v>
      </c>
      <c r="H24" s="399"/>
      <c r="I24" s="3467" t="s">
        <v>3462</v>
      </c>
      <c r="J24" s="399"/>
      <c r="K24" s="739"/>
      <c r="L24" s="2719"/>
      <c r="M24" s="2713"/>
      <c r="N24" s="2713"/>
      <c r="O24" s="2770"/>
      <c r="P24" s="3718"/>
      <c r="Q24" s="1350"/>
      <c r="R24" s="704"/>
      <c r="S24" s="705"/>
      <c r="T24" s="704"/>
      <c r="U24" s="705"/>
      <c r="V24" s="704"/>
      <c r="W24" s="705"/>
      <c r="X24" s="1353"/>
      <c r="Y24" s="3718"/>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1</v>
      </c>
      <c r="L25" s="2719"/>
      <c r="M25" s="2713"/>
      <c r="N25" s="2713"/>
      <c r="O25" s="2770"/>
      <c r="P25" s="3718"/>
      <c r="Q25" s="1350" t="str">
        <f t="shared" si="8"/>
        <v>自然及人文环境状况</v>
      </c>
      <c r="R25" s="704" t="s">
        <v>14</v>
      </c>
      <c r="S25" s="705">
        <f>F25</f>
        <v>100</v>
      </c>
      <c r="T25" s="704" t="s">
        <v>14</v>
      </c>
      <c r="U25" s="705">
        <f>H25</f>
        <v>100</v>
      </c>
      <c r="V25" s="704" t="s">
        <v>14</v>
      </c>
      <c r="W25" s="705">
        <f>J25</f>
        <v>100</v>
      </c>
      <c r="X25" s="1353"/>
      <c r="Y25" s="3718"/>
      <c r="Z25" s="1354" t="str">
        <f>Q25</f>
        <v>自然及人文环境状况</v>
      </c>
      <c r="AA25" s="1351">
        <f t="shared" si="3"/>
        <v>1</v>
      </c>
      <c r="AB25" s="1351">
        <f t="shared" si="4"/>
        <v>1</v>
      </c>
      <c r="AC25" s="1351">
        <f t="shared" si="5"/>
        <v>1</v>
      </c>
    </row>
    <row r="26" spans="1:29" ht="15">
      <c r="A26" s="358"/>
      <c r="B26" s="407"/>
      <c r="C26" s="3465" t="s">
        <v>3461</v>
      </c>
      <c r="D26" s="399"/>
      <c r="E26" s="3469" t="s">
        <v>3629</v>
      </c>
      <c r="F26" s="399"/>
      <c r="G26" s="3469" t="s">
        <v>3393</v>
      </c>
      <c r="H26" s="399"/>
      <c r="I26" s="3465" t="s">
        <v>3393</v>
      </c>
      <c r="J26" s="399"/>
      <c r="K26" s="620"/>
      <c r="L26" s="2719"/>
      <c r="M26" s="2713"/>
      <c r="N26" s="2713"/>
      <c r="O26" s="2770"/>
      <c r="P26" s="3718"/>
      <c r="Q26" s="1350"/>
      <c r="R26" s="704"/>
      <c r="S26" s="705"/>
      <c r="T26" s="704"/>
      <c r="U26" s="705"/>
      <c r="V26" s="704"/>
      <c r="W26" s="705"/>
      <c r="X26" s="1353"/>
      <c r="Y26" s="3718"/>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1</v>
      </c>
      <c r="L27" s="2714"/>
      <c r="M27" s="2715"/>
      <c r="N27" s="2715"/>
      <c r="O27" s="2768"/>
      <c r="P27" s="3718"/>
      <c r="Q27" s="1341" t="str">
        <f t="shared" si="8"/>
        <v>公共配套设施</v>
      </c>
      <c r="R27" s="700" t="s">
        <v>14</v>
      </c>
      <c r="S27" s="701">
        <f>F27</f>
        <v>100</v>
      </c>
      <c r="T27" s="700" t="s">
        <v>14</v>
      </c>
      <c r="U27" s="701">
        <f>H27</f>
        <v>100</v>
      </c>
      <c r="V27" s="700" t="s">
        <v>14</v>
      </c>
      <c r="W27" s="701">
        <f>J27</f>
        <v>100</v>
      </c>
      <c r="X27" s="702"/>
      <c r="Y27" s="3718"/>
      <c r="Z27" s="52" t="str">
        <f>Q27</f>
        <v>公共配套设施</v>
      </c>
      <c r="AA27" s="1351">
        <f>D27/F27</f>
        <v>1</v>
      </c>
      <c r="AB27" s="1351">
        <f>D27/H27</f>
        <v>1</v>
      </c>
      <c r="AC27" s="1351">
        <f>D27/J27</f>
        <v>1</v>
      </c>
    </row>
    <row r="28" spans="1:29" s="108" customFormat="1" ht="15">
      <c r="A28" s="597"/>
      <c r="B28" s="407"/>
      <c r="C28" s="3470" t="s">
        <v>3393</v>
      </c>
      <c r="D28" s="399"/>
      <c r="E28" s="3469" t="s">
        <v>3461</v>
      </c>
      <c r="F28" s="399"/>
      <c r="G28" s="3469" t="s">
        <v>3461</v>
      </c>
      <c r="H28" s="399"/>
      <c r="I28" s="3465" t="s">
        <v>3393</v>
      </c>
      <c r="J28" s="399"/>
      <c r="K28" s="620"/>
      <c r="L28" s="2714"/>
      <c r="M28" s="2715"/>
      <c r="N28" s="2715"/>
      <c r="O28" s="2768"/>
      <c r="P28" s="3718"/>
      <c r="Q28" s="1341"/>
      <c r="R28" s="700"/>
      <c r="S28" s="701"/>
      <c r="T28" s="700"/>
      <c r="U28" s="701"/>
      <c r="V28" s="700"/>
      <c r="W28" s="701"/>
      <c r="X28" s="702"/>
      <c r="Y28" s="3718"/>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4"/>
      <c r="M29" s="2715"/>
      <c r="N29" s="2715"/>
      <c r="O29" s="2768"/>
      <c r="P29" s="3718"/>
      <c r="Q29" s="1341" t="str">
        <f t="shared" ref="Q29" si="9">B29</f>
        <v>基础设施水平</v>
      </c>
      <c r="R29" s="700" t="s">
        <v>14</v>
      </c>
      <c r="S29" s="701">
        <f>F29</f>
        <v>100</v>
      </c>
      <c r="T29" s="700" t="s">
        <v>14</v>
      </c>
      <c r="U29" s="701">
        <f>H29</f>
        <v>100</v>
      </c>
      <c r="V29" s="700" t="s">
        <v>14</v>
      </c>
      <c r="W29" s="701">
        <f>J29</f>
        <v>100</v>
      </c>
      <c r="X29" s="702"/>
      <c r="Y29" s="3718"/>
      <c r="Z29" s="52" t="str">
        <f>Q29</f>
        <v>基础设施水平</v>
      </c>
      <c r="AA29" s="1351">
        <f>D29/F29</f>
        <v>1</v>
      </c>
      <c r="AB29" s="1351">
        <f>D29/H29</f>
        <v>1</v>
      </c>
      <c r="AC29" s="1351">
        <f>D29/J29</f>
        <v>1</v>
      </c>
    </row>
    <row r="30" spans="1:29" s="108" customFormat="1" ht="15">
      <c r="A30" s="597"/>
      <c r="B30" s="407"/>
      <c r="C30" s="3470" t="s">
        <v>3463</v>
      </c>
      <c r="D30" s="399"/>
      <c r="E30" s="3471" t="s">
        <v>3464</v>
      </c>
      <c r="F30" s="399"/>
      <c r="G30" s="3471" t="s">
        <v>3464</v>
      </c>
      <c r="H30" s="399"/>
      <c r="I30" s="3471" t="s">
        <v>3463</v>
      </c>
      <c r="J30" s="399"/>
      <c r="K30" s="620"/>
      <c r="L30" s="2714"/>
      <c r="M30" s="2715"/>
      <c r="N30" s="2715"/>
      <c r="O30" s="2768"/>
      <c r="P30" s="3718"/>
      <c r="Q30" s="1341"/>
      <c r="R30" s="700"/>
      <c r="S30" s="701"/>
      <c r="T30" s="700"/>
      <c r="U30" s="701"/>
      <c r="V30" s="700"/>
      <c r="W30" s="701"/>
      <c r="X30" s="702"/>
      <c r="Y30" s="371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0"/>
      <c r="P31" s="3718"/>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18"/>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0"/>
      <c r="P32" s="3718"/>
      <c r="Q32" s="1350" t="str">
        <f t="shared" si="8"/>
        <v>毗邻道路的类型与等级</v>
      </c>
      <c r="R32" s="704" t="s">
        <v>14</v>
      </c>
      <c r="S32" s="705">
        <f t="shared" si="10"/>
        <v>100</v>
      </c>
      <c r="T32" s="704" t="s">
        <v>14</v>
      </c>
      <c r="U32" s="705">
        <f t="shared" si="11"/>
        <v>100</v>
      </c>
      <c r="V32" s="704" t="s">
        <v>14</v>
      </c>
      <c r="W32" s="705">
        <f t="shared" si="12"/>
        <v>100</v>
      </c>
      <c r="X32" s="1353"/>
      <c r="Y32" s="371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0"/>
      <c r="P33" s="3718"/>
      <c r="Q33" s="1350"/>
      <c r="R33" s="704"/>
      <c r="S33" s="705"/>
      <c r="T33" s="704"/>
      <c r="U33" s="705"/>
      <c r="V33" s="704"/>
      <c r="W33" s="705"/>
      <c r="X33" s="1353"/>
      <c r="Y33" s="3718"/>
      <c r="Z33" s="1354"/>
      <c r="AA33" s="1351">
        <v>1</v>
      </c>
      <c r="AB33" s="1351">
        <v>1</v>
      </c>
      <c r="AC33" s="1351">
        <v>1</v>
      </c>
    </row>
    <row r="34" spans="1:29" ht="15">
      <c r="A34" s="379"/>
      <c r="B34" s="375" t="s">
        <v>1873</v>
      </c>
      <c r="C34" s="3468" t="s">
        <v>3632</v>
      </c>
      <c r="D34" s="386">
        <v>100</v>
      </c>
      <c r="E34" s="582" t="str">
        <f>土地案例!U4</f>
        <v>九级</v>
      </c>
      <c r="F34" s="386">
        <f>SUMIF(107:107,E34,108:108)-SUMIF(107:107,C34,108:108)+100</f>
        <v>100</v>
      </c>
      <c r="G34" s="582" t="str">
        <f>土地案例!U8</f>
        <v>七级</v>
      </c>
      <c r="H34" s="386">
        <f>SUMIF(107:107,G34,108:108)-SUMIF(107:107,C34,108:108)+100</f>
        <v>100</v>
      </c>
      <c r="I34" s="565" t="str">
        <f>土地案例!U14</f>
        <v>七级</v>
      </c>
      <c r="J34" s="386">
        <f>SUMIF(107:107,I34,108:108)-SUMIF(107:107,C34,108:108)+100</f>
        <v>100</v>
      </c>
      <c r="K34" s="561">
        <v>0</v>
      </c>
      <c r="L34" s="2719"/>
      <c r="M34" s="2713"/>
      <c r="N34" s="2713"/>
      <c r="O34" s="2770"/>
      <c r="P34" s="3718"/>
      <c r="Q34" s="1350" t="str">
        <f t="shared" si="8"/>
        <v>土地级别</v>
      </c>
      <c r="R34" s="704" t="s">
        <v>14</v>
      </c>
      <c r="S34" s="705">
        <f t="shared" si="10"/>
        <v>100</v>
      </c>
      <c r="T34" s="704" t="s">
        <v>14</v>
      </c>
      <c r="U34" s="705">
        <f t="shared" si="11"/>
        <v>100</v>
      </c>
      <c r="V34" s="704" t="s">
        <v>14</v>
      </c>
      <c r="W34" s="705">
        <f t="shared" si="12"/>
        <v>100</v>
      </c>
      <c r="X34" s="1353"/>
      <c r="Y34" s="3718"/>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0"/>
      <c r="P35" s="3718"/>
      <c r="Q35" s="1350">
        <f t="shared" si="8"/>
        <v>111</v>
      </c>
      <c r="R35" s="704" t="s">
        <v>14</v>
      </c>
      <c r="S35" s="705">
        <f t="shared" si="10"/>
        <v>100</v>
      </c>
      <c r="T35" s="704" t="s">
        <v>14</v>
      </c>
      <c r="U35" s="705">
        <f t="shared" si="11"/>
        <v>100</v>
      </c>
      <c r="V35" s="704" t="s">
        <v>14</v>
      </c>
      <c r="W35" s="705">
        <f t="shared" si="12"/>
        <v>100</v>
      </c>
      <c r="X35" s="1353"/>
      <c r="Y35" s="3718"/>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0"/>
      <c r="P36" s="3763" t="s">
        <v>1696</v>
      </c>
      <c r="Q36" s="1350">
        <f t="shared" si="8"/>
        <v>111</v>
      </c>
      <c r="R36" s="704" t="s">
        <v>14</v>
      </c>
      <c r="S36" s="705">
        <f t="shared" si="10"/>
        <v>100</v>
      </c>
      <c r="T36" s="704" t="s">
        <v>14</v>
      </c>
      <c r="U36" s="705">
        <f t="shared" si="11"/>
        <v>100</v>
      </c>
      <c r="V36" s="704" t="s">
        <v>14</v>
      </c>
      <c r="W36" s="705">
        <f t="shared" si="12"/>
        <v>100</v>
      </c>
      <c r="X36" s="1353"/>
      <c r="Y36" s="3722"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1"/>
      <c r="P37" s="3722"/>
      <c r="Q37" s="1350">
        <f t="shared" si="8"/>
        <v>111</v>
      </c>
      <c r="R37" s="707" t="s">
        <v>14</v>
      </c>
      <c r="S37" s="708">
        <f t="shared" si="10"/>
        <v>100</v>
      </c>
      <c r="T37" s="707" t="s">
        <v>14</v>
      </c>
      <c r="U37" s="708">
        <f t="shared" si="11"/>
        <v>100</v>
      </c>
      <c r="V37" s="707" t="s">
        <v>14</v>
      </c>
      <c r="W37" s="708">
        <f t="shared" si="12"/>
        <v>100</v>
      </c>
      <c r="X37" s="709"/>
      <c r="Y37" s="3722"/>
      <c r="Z37" s="710">
        <f t="shared" si="13"/>
        <v>111</v>
      </c>
      <c r="AA37" s="1351">
        <f t="shared" si="3"/>
        <v>1</v>
      </c>
      <c r="AB37" s="1351">
        <f t="shared" si="4"/>
        <v>1</v>
      </c>
      <c r="AC37" s="1351">
        <f t="shared" si="5"/>
        <v>1</v>
      </c>
    </row>
    <row r="38" spans="1:29" ht="15">
      <c r="A38" s="423" t="s">
        <v>1694</v>
      </c>
      <c r="B38" s="407" t="s">
        <v>1874</v>
      </c>
      <c r="C38" s="627">
        <f>'数据-基础表'!A3</f>
        <v>10405.33</v>
      </c>
      <c r="D38" s="418">
        <v>100</v>
      </c>
      <c r="E38" s="627">
        <f>Sheet3!D2</f>
        <v>19258.580000000002</v>
      </c>
      <c r="F38" s="418">
        <f>LOOKUP(E38,116:116,117:117)-LOOKUP(C38,116:116,117:117)+100</f>
        <v>100</v>
      </c>
      <c r="G38" s="627">
        <f>Sheet3!D3</f>
        <v>28547.88</v>
      </c>
      <c r="H38" s="418">
        <f>LOOKUP(G38,116:116,117:117)-LOOKUP(C38,116:116,117:117)+100</f>
        <v>101</v>
      </c>
      <c r="I38" s="479">
        <f>Sheet3!D5</f>
        <v>25224.15</v>
      </c>
      <c r="J38" s="418">
        <f>LOOKUP(I38,116:116,117:117)-LOOKUP(C38,116:116,117:117)+100</f>
        <v>101</v>
      </c>
      <c r="K38" s="562"/>
      <c r="L38" s="2719"/>
      <c r="M38" s="2713"/>
      <c r="N38" s="2713"/>
      <c r="O38" s="2770"/>
      <c r="P38" s="3722"/>
      <c r="Q38" s="1350" t="str">
        <f>B38</f>
        <v>宗地面积</v>
      </c>
      <c r="R38" s="704" t="s">
        <v>14</v>
      </c>
      <c r="S38" s="705">
        <f t="shared" si="10"/>
        <v>100</v>
      </c>
      <c r="T38" s="704" t="s">
        <v>14</v>
      </c>
      <c r="U38" s="705">
        <f t="shared" si="11"/>
        <v>101</v>
      </c>
      <c r="V38" s="704" t="s">
        <v>14</v>
      </c>
      <c r="W38" s="705">
        <f t="shared" si="12"/>
        <v>101</v>
      </c>
      <c r="X38" s="1353"/>
      <c r="Y38" s="3722"/>
      <c r="Z38" s="1354" t="str">
        <f t="shared" si="13"/>
        <v>宗地面积</v>
      </c>
      <c r="AA38" s="1351">
        <f t="shared" si="3"/>
        <v>1</v>
      </c>
      <c r="AB38" s="1351">
        <f t="shared" si="4"/>
        <v>0.99009900990099009</v>
      </c>
      <c r="AC38" s="1351">
        <f t="shared" si="5"/>
        <v>0.99009900990099009</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0"/>
      <c r="P39" s="3722"/>
      <c r="Q39" s="1350" t="str">
        <f t="shared" ref="Q39:Q45" si="14">B39</f>
        <v>宗地形状</v>
      </c>
      <c r="R39" s="704" t="s">
        <v>14</v>
      </c>
      <c r="S39" s="705">
        <f t="shared" si="10"/>
        <v>100</v>
      </c>
      <c r="T39" s="704" t="s">
        <v>14</v>
      </c>
      <c r="U39" s="705">
        <f t="shared" si="11"/>
        <v>100</v>
      </c>
      <c r="V39" s="704" t="s">
        <v>14</v>
      </c>
      <c r="W39" s="705">
        <f t="shared" si="12"/>
        <v>100</v>
      </c>
      <c r="X39" s="1353"/>
      <c r="Y39" s="372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0"/>
      <c r="P40" s="3722"/>
      <c r="Q40" s="1350" t="str">
        <f t="shared" si="14"/>
        <v>临街宽度及深度</v>
      </c>
      <c r="R40" s="704" t="s">
        <v>14</v>
      </c>
      <c r="S40" s="705">
        <f t="shared" si="10"/>
        <v>100</v>
      </c>
      <c r="T40" s="704" t="s">
        <v>14</v>
      </c>
      <c r="U40" s="705">
        <f t="shared" si="11"/>
        <v>100</v>
      </c>
      <c r="V40" s="704" t="s">
        <v>14</v>
      </c>
      <c r="W40" s="705">
        <f t="shared" si="12"/>
        <v>100</v>
      </c>
      <c r="X40" s="1353"/>
      <c r="Y40" s="3722"/>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8"/>
      <c r="P41" s="3722"/>
      <c r="Q41" s="1350" t="str">
        <f t="shared" si="14"/>
        <v>宗地开发程度</v>
      </c>
      <c r="R41" s="700" t="s">
        <v>14</v>
      </c>
      <c r="S41" s="701">
        <f t="shared" si="10"/>
        <v>100</v>
      </c>
      <c r="T41" s="700" t="s">
        <v>14</v>
      </c>
      <c r="U41" s="701">
        <f t="shared" si="11"/>
        <v>100</v>
      </c>
      <c r="V41" s="700" t="s">
        <v>14</v>
      </c>
      <c r="W41" s="701">
        <f t="shared" si="12"/>
        <v>100</v>
      </c>
      <c r="X41" s="702"/>
      <c r="Y41" s="3722"/>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0"/>
      <c r="P42" s="3722" t="s">
        <v>1696</v>
      </c>
      <c r="Q42" s="1350" t="str">
        <f t="shared" si="14"/>
        <v>工程地质条件</v>
      </c>
      <c r="R42" s="704" t="s">
        <v>14</v>
      </c>
      <c r="S42" s="705">
        <f t="shared" si="10"/>
        <v>100</v>
      </c>
      <c r="T42" s="704" t="s">
        <v>14</v>
      </c>
      <c r="U42" s="705">
        <f t="shared" si="11"/>
        <v>100</v>
      </c>
      <c r="V42" s="704" t="s">
        <v>14</v>
      </c>
      <c r="W42" s="705">
        <f t="shared" si="12"/>
        <v>100</v>
      </c>
      <c r="X42" s="1353"/>
      <c r="Y42" s="3722"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0"/>
      <c r="P43" s="3722"/>
      <c r="Q43" s="1350">
        <f t="shared" si="14"/>
        <v>111</v>
      </c>
      <c r="R43" s="704" t="s">
        <v>14</v>
      </c>
      <c r="S43" s="705">
        <f t="shared" si="10"/>
        <v>100</v>
      </c>
      <c r="T43" s="704" t="s">
        <v>14</v>
      </c>
      <c r="U43" s="705">
        <f t="shared" si="11"/>
        <v>100</v>
      </c>
      <c r="V43" s="704" t="s">
        <v>14</v>
      </c>
      <c r="W43" s="705">
        <f t="shared" si="12"/>
        <v>100</v>
      </c>
      <c r="X43" s="1353"/>
      <c r="Y43" s="3722"/>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0"/>
      <c r="P44" s="3722"/>
      <c r="Q44" s="1350">
        <f t="shared" si="14"/>
        <v>111</v>
      </c>
      <c r="R44" s="704" t="s">
        <v>14</v>
      </c>
      <c r="S44" s="705">
        <f t="shared" si="10"/>
        <v>100</v>
      </c>
      <c r="T44" s="704" t="s">
        <v>14</v>
      </c>
      <c r="U44" s="705">
        <f t="shared" si="11"/>
        <v>100</v>
      </c>
      <c r="V44" s="704" t="s">
        <v>14</v>
      </c>
      <c r="W44" s="705">
        <f t="shared" si="12"/>
        <v>100</v>
      </c>
      <c r="X44" s="1353"/>
      <c r="Y44" s="3722"/>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1"/>
      <c r="P45" s="3722"/>
      <c r="Q45" s="1350">
        <f t="shared" si="14"/>
        <v>111</v>
      </c>
      <c r="R45" s="707" t="s">
        <v>14</v>
      </c>
      <c r="S45" s="708">
        <f t="shared" si="10"/>
        <v>100</v>
      </c>
      <c r="T45" s="707" t="s">
        <v>14</v>
      </c>
      <c r="U45" s="708">
        <f t="shared" si="11"/>
        <v>100</v>
      </c>
      <c r="V45" s="707" t="s">
        <v>14</v>
      </c>
      <c r="W45" s="708">
        <f t="shared" si="12"/>
        <v>100</v>
      </c>
      <c r="X45" s="709"/>
      <c r="Y45" s="3722"/>
      <c r="Z45" s="710">
        <f t="shared" si="13"/>
        <v>111</v>
      </c>
      <c r="AA45" s="1351">
        <f t="shared" si="3"/>
        <v>1</v>
      </c>
      <c r="AB45" s="1351">
        <f t="shared" si="4"/>
        <v>1</v>
      </c>
      <c r="AC45" s="1351">
        <f t="shared" si="5"/>
        <v>1</v>
      </c>
    </row>
    <row r="46" spans="1:29" ht="15">
      <c r="A46" s="430" t="s">
        <v>1844</v>
      </c>
      <c r="B46" s="1979" t="s">
        <v>3460</v>
      </c>
      <c r="C46" s="630" t="s">
        <v>0</v>
      </c>
      <c r="D46" s="432"/>
      <c r="E46" s="433">
        <f>土地案例!W10</f>
        <v>10133</v>
      </c>
      <c r="F46" s="434"/>
      <c r="G46" s="435">
        <f>土地案例!W8</f>
        <v>7871</v>
      </c>
      <c r="H46" s="436"/>
      <c r="I46" s="433">
        <f>土地案例!W14</f>
        <v>10875</v>
      </c>
      <c r="J46" s="436"/>
      <c r="K46" s="713"/>
      <c r="L46" s="2721"/>
      <c r="M46" s="2722"/>
      <c r="N46" s="2713"/>
      <c r="O46" s="2722"/>
      <c r="P46" s="3710" t="str">
        <f>A46</f>
        <v>成交单价</v>
      </c>
      <c r="Q46" s="3710"/>
      <c r="R46" s="3724">
        <f>E46</f>
        <v>10133</v>
      </c>
      <c r="S46" s="3724"/>
      <c r="T46" s="3724">
        <f>G46</f>
        <v>7871</v>
      </c>
      <c r="U46" s="3724"/>
      <c r="V46" s="3724">
        <f>I46</f>
        <v>10875</v>
      </c>
      <c r="W46" s="3724"/>
      <c r="X46" s="689"/>
      <c r="Y46" s="711"/>
      <c r="Z46" s="689"/>
      <c r="AA46" s="689"/>
      <c r="AB46" s="689"/>
      <c r="AC46" s="689"/>
    </row>
    <row r="47" spans="1:29" ht="15.75" thickBot="1">
      <c r="A47" s="437" t="s">
        <v>1793</v>
      </c>
      <c r="B47" s="631"/>
      <c r="C47" s="440">
        <f>R48</f>
        <v>10472</v>
      </c>
      <c r="D47" s="2314" t="s">
        <v>2136</v>
      </c>
      <c r="E47" s="440">
        <f>R47</f>
        <v>10955</v>
      </c>
      <c r="F47" s="2315"/>
      <c r="G47" s="439">
        <f>T47</f>
        <v>8549</v>
      </c>
      <c r="H47" s="2315"/>
      <c r="I47" s="440">
        <f>V47</f>
        <v>11911</v>
      </c>
      <c r="J47" s="2315"/>
      <c r="K47" s="2317">
        <f>F47+H47+J47</f>
        <v>0</v>
      </c>
      <c r="L47" s="2721"/>
      <c r="M47" s="2722"/>
      <c r="N47" s="2722"/>
      <c r="O47" s="2722"/>
      <c r="P47" s="3710" t="str">
        <f>A47</f>
        <v>比较价值（元/平方米）</v>
      </c>
      <c r="Q47" s="3710"/>
      <c r="R47" s="3760">
        <f>ROUND(PRODUCT(R46,AA7:AA45),0)</f>
        <v>10955</v>
      </c>
      <c r="S47" s="3760"/>
      <c r="T47" s="3760">
        <f>ROUND(PRODUCT(T46,AB7:AB45),0)</f>
        <v>8549</v>
      </c>
      <c r="U47" s="3760"/>
      <c r="V47" s="3760">
        <f>ROUND(PRODUCT(V46,AC7:AC45),0)</f>
        <v>11911</v>
      </c>
      <c r="W47" s="3760"/>
      <c r="X47" s="689"/>
      <c r="Y47" s="689"/>
      <c r="Z47" s="689"/>
      <c r="AA47" s="689"/>
      <c r="AB47" s="689"/>
      <c r="AC47" s="689"/>
    </row>
    <row r="48" spans="1:29" ht="15.75" thickBot="1">
      <c r="A48" s="441" t="s">
        <v>1879</v>
      </c>
      <c r="B48" s="442"/>
      <c r="C48" s="443">
        <f>R48</f>
        <v>10472</v>
      </c>
      <c r="D48" s="443"/>
      <c r="E48" s="443"/>
      <c r="F48" s="443"/>
      <c r="G48" s="443"/>
      <c r="H48" s="443"/>
      <c r="I48" s="443"/>
      <c r="J48" s="443"/>
      <c r="K48" s="714"/>
      <c r="L48" s="2721"/>
      <c r="M48" s="2722"/>
      <c r="N48" s="2722"/>
      <c r="O48" s="2722"/>
      <c r="P48" s="3712" t="str">
        <f>A48</f>
        <v>估价对象XX用房的比较价值（楼面单价，元/平方米）</v>
      </c>
      <c r="Q48" s="3713"/>
      <c r="R48" s="3761">
        <f>ROUND(IF(D47="简单平均",AVERAGE(R47:W47),R47*F47+T47*H47+V47*J47),0)</f>
        <v>10472</v>
      </c>
      <c r="S48" s="3761"/>
      <c r="T48" s="3761"/>
      <c r="U48" s="3761"/>
      <c r="V48" s="3761"/>
      <c r="W48" s="3761"/>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8.1121089509523348E-2</v>
      </c>
      <c r="F51" s="449" t="str">
        <f>IF(OR(E51&gt;=0.3,E51&lt;=-0.3),"超过30%","")</f>
        <v/>
      </c>
      <c r="G51" s="448">
        <f>IF(G46&lt;G47,G47/G46-1,G46/G47-1)</f>
        <v>8.6138991233642548E-2</v>
      </c>
      <c r="H51" s="449" t="str">
        <f>IF(OR(G51&gt;=0.3,G51&lt;=-0.3),"超过30%","")</f>
        <v/>
      </c>
      <c r="I51" s="448">
        <f>IF(I46&lt;I47,I47/I46-1,I46/I47-1)</f>
        <v>9.5264367816092044E-2</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0.28143642531290203</v>
      </c>
      <c r="F52" s="449" t="str">
        <f>IF(OR(E52&gt;=0.2,E52&lt;=-0.2),"超过20%","")</f>
        <v>超过20%</v>
      </c>
      <c r="G52" s="448">
        <f>IF(G47&lt;I47,I47/G47-1,G47/I47-1)</f>
        <v>0.39326236986782082</v>
      </c>
      <c r="H52" s="449" t="str">
        <f>IF(OR(G52&gt;=0.2,G52&lt;=-0.2),"超过20%","")</f>
        <v>超过20%</v>
      </c>
      <c r="I52" s="448">
        <f>IF(I47&lt;E47,E47/I47-1,I47/E47-1)</f>
        <v>8.7266088544043718E-2</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0.28738406809808148</v>
      </c>
      <c r="F53" s="449" t="str">
        <f>IF(OR(E53&gt;=0.3,E53&lt;=-0.3),"超过30%","")</f>
        <v/>
      </c>
      <c r="G53" s="448">
        <f>IF(G46&lt;I46,I46/G46-1,G46/I46-1)</f>
        <v>0.38165417354846909</v>
      </c>
      <c r="H53" s="449" t="str">
        <f>IF(OR(G53&gt;=0.3,G53&lt;=-0.3),"超过30%","")</f>
        <v>超过30%</v>
      </c>
      <c r="I53" s="448">
        <f>IF(I46&lt;E46,E46/I46-1,I46/E46-1)</f>
        <v>7.3226092963584399E-2</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9" t="s">
        <v>1885</v>
      </c>
      <c r="G55" s="3729" t="s">
        <v>1886</v>
      </c>
      <c r="H55" s="3762"/>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f>C48</f>
        <v>10472</v>
      </c>
      <c r="C56" s="638">
        <v>1</v>
      </c>
      <c r="D56" s="943">
        <v>1</v>
      </c>
      <c r="E56" s="638">
        <f>'数据-汇总表'!E8+'数据-汇总表'!E9</f>
        <v>17193.62</v>
      </c>
      <c r="F56" s="885">
        <f t="shared" ref="F56:F64" si="15">ROUND(B56*E56/10000,0)</f>
        <v>18005</v>
      </c>
      <c r="G56" s="3725"/>
      <c r="H56" s="3710"/>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f>ROUND($C$48*C57*D57,0)</f>
        <v>1309</v>
      </c>
      <c r="C57" s="171">
        <f t="shared" ref="C57:C64" si="16">IF($C$55="北京市系数",I57,J57)</f>
        <v>0.5</v>
      </c>
      <c r="D57" s="944">
        <v>0.25</v>
      </c>
      <c r="E57" s="642"/>
      <c r="F57" s="885">
        <f t="shared" si="15"/>
        <v>0</v>
      </c>
      <c r="G57" s="3002" t="s">
        <v>1891</v>
      </c>
      <c r="H57" s="886" t="str">
        <f>项目基本情况!B37</f>
        <v>十级</v>
      </c>
      <c r="I57" s="890">
        <f>SUMIF(修正!A57:A68,H57,修正!B57:B68)</f>
        <v>0.5</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f t="shared" ref="B58:B64" si="17">ROUND($C$48*C58*D58,0)</f>
        <v>524</v>
      </c>
      <c r="C58" s="171">
        <f t="shared" si="16"/>
        <v>0.2</v>
      </c>
      <c r="D58" s="944">
        <v>0.25</v>
      </c>
      <c r="E58" s="642"/>
      <c r="F58" s="885">
        <f t="shared" si="15"/>
        <v>0</v>
      </c>
      <c r="G58" s="3003"/>
      <c r="H58" s="886" t="str">
        <f>项目基本情况!B37</f>
        <v>十级</v>
      </c>
      <c r="I58" s="890">
        <f>SUMIF(修正!A57:A68,H58,修正!C57:C68)</f>
        <v>0.2</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f t="shared" si="17"/>
        <v>524</v>
      </c>
      <c r="C59" s="171">
        <f t="shared" si="16"/>
        <v>0.2</v>
      </c>
      <c r="D59" s="944">
        <v>0.25</v>
      </c>
      <c r="E59" s="642"/>
      <c r="F59" s="885">
        <f t="shared" si="15"/>
        <v>0</v>
      </c>
      <c r="G59" s="3003"/>
      <c r="H59" s="886" t="str">
        <f>项目基本情况!B37</f>
        <v>十级</v>
      </c>
      <c r="I59" s="890">
        <f>SUMIF(修正!A57:A68,H59,修正!D57:D68)</f>
        <v>0.2</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f t="shared" si="17"/>
        <v>0</v>
      </c>
      <c r="C60" s="171">
        <f t="shared" si="16"/>
        <v>0</v>
      </c>
      <c r="D60" s="944">
        <v>0.25</v>
      </c>
      <c r="E60" s="217">
        <f>'数据-汇总表'!E11</f>
        <v>0</v>
      </c>
      <c r="F60" s="885">
        <f t="shared" si="15"/>
        <v>0</v>
      </c>
      <c r="G60" s="1984" t="s">
        <v>1895</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f t="shared" si="17"/>
        <v>0</v>
      </c>
      <c r="C61" s="171">
        <f t="shared" si="16"/>
        <v>0</v>
      </c>
      <c r="D61" s="944">
        <v>0.25</v>
      </c>
      <c r="E61" s="217">
        <f>'数据-汇总表'!E12</f>
        <v>0</v>
      </c>
      <c r="F61" s="885">
        <f t="shared" si="15"/>
        <v>0</v>
      </c>
      <c r="G61" s="891" t="s">
        <v>1897</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f t="shared" si="17"/>
        <v>262</v>
      </c>
      <c r="C63" s="171">
        <f t="shared" si="16"/>
        <v>0.1</v>
      </c>
      <c r="D63" s="944">
        <v>0.25</v>
      </c>
      <c r="E63" s="217">
        <f>'数据-汇总表'!E14</f>
        <v>2869.28</v>
      </c>
      <c r="F63" s="885">
        <f t="shared" si="15"/>
        <v>75</v>
      </c>
      <c r="G63" s="1984" t="s">
        <v>1891</v>
      </c>
      <c r="H63" s="886" t="str">
        <f>项目基本情况!B37</f>
        <v>十级</v>
      </c>
      <c r="I63" s="890">
        <f>SUMIF(修正!A57:A68,H63,修正!G57:G68)</f>
        <v>0.1</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f t="shared" si="17"/>
        <v>0</v>
      </c>
      <c r="C64" s="171">
        <f t="shared" si="16"/>
        <v>0</v>
      </c>
      <c r="D64" s="944">
        <v>0.25</v>
      </c>
      <c r="E64" s="217">
        <f>'数据-汇总表'!E15</f>
        <v>0</v>
      </c>
      <c r="F64" s="885">
        <f t="shared" si="15"/>
        <v>0</v>
      </c>
      <c r="G64" s="1985" t="s">
        <v>1895</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10405.33</v>
      </c>
      <c r="F65" s="645">
        <f>IF(B46="楼面地价",SUM(F56:F64),ROUND(C48*E65/10000,0))</f>
        <v>10896</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928">
        <f t="shared" ref="P67" si="19">EDATE(O67,-3)</f>
        <v>43862</v>
      </c>
      <c r="Q67" s="928">
        <f t="shared" ref="Q67" si="20">EDATE(P67,-3)</f>
        <v>43770</v>
      </c>
      <c r="R67" s="928">
        <f t="shared" ref="R67" si="21">EDATE(Q67,-3)</f>
        <v>43678</v>
      </c>
      <c r="S67" s="928">
        <f t="shared" ref="S67" si="22">EDATE(R67,-3)</f>
        <v>43586</v>
      </c>
      <c r="T67" s="928">
        <f t="shared" ref="T67" si="23">EDATE(S67,-3)</f>
        <v>43497</v>
      </c>
      <c r="U67" s="928">
        <f t="shared" ref="U67" si="24">EDATE(T67,-3)</f>
        <v>43405</v>
      </c>
      <c r="V67" s="928">
        <f t="shared" ref="V67" si="25">EDATE(U67,-3)</f>
        <v>43313</v>
      </c>
      <c r="W67" s="928">
        <f t="shared" ref="W67" si="26">EDATE(V67,-3)</f>
        <v>43221</v>
      </c>
      <c r="X67" s="928">
        <f t="shared" ref="X67" si="27">EDATE(W67,-3)</f>
        <v>43132</v>
      </c>
      <c r="Y67" s="928">
        <f t="shared" ref="Y67" si="28">EDATE(X67,-3)</f>
        <v>43040</v>
      </c>
      <c r="Z67" s="928">
        <f t="shared" ref="Z67" si="29">EDATE(Y67,-3)</f>
        <v>42948</v>
      </c>
      <c r="AA67" s="928">
        <f t="shared" ref="AA67" si="30">EDATE(Z67,-3)</f>
        <v>42856</v>
      </c>
      <c r="AB67" s="2722"/>
      <c r="AC67" s="2722"/>
    </row>
    <row r="68" spans="1:29" ht="21.75"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7" customFormat="1" ht="42.75">
      <c r="A69" s="1986" t="s">
        <v>1903</v>
      </c>
      <c r="B69" s="1108"/>
      <c r="C69" s="1180" t="str">
        <f>YEAR(C67)&amp;"-"&amp;ROUNDUP(MONTH(C67)/3,0)</f>
        <v>2023-2</v>
      </c>
      <c r="D69" s="1180" t="str">
        <f>YEAR(D67)&amp;"-"&amp;ROUNDUP(MONTH(D67)/3,0)</f>
        <v>2023-1</v>
      </c>
      <c r="E69" s="1180" t="str">
        <f t="shared" ref="E69:AA69" si="31">YEAR(E67)&amp;"-"&amp;ROUNDUP(MONTH(E67)/3,0)</f>
        <v>2022-4</v>
      </c>
      <c r="F69" s="1180" t="str">
        <f t="shared" si="31"/>
        <v>2022-3</v>
      </c>
      <c r="G69" s="1180" t="str">
        <f t="shared" si="31"/>
        <v>2022-2</v>
      </c>
      <c r="H69" s="1180" t="str">
        <f t="shared" si="31"/>
        <v>2022-1</v>
      </c>
      <c r="I69" s="1180" t="str">
        <f t="shared" si="31"/>
        <v>2021-4</v>
      </c>
      <c r="J69" s="1180" t="str">
        <f t="shared" si="31"/>
        <v>2021-3</v>
      </c>
      <c r="K69" s="1180" t="str">
        <f t="shared" si="31"/>
        <v>2021-2</v>
      </c>
      <c r="L69" s="1180" t="str">
        <f t="shared" si="31"/>
        <v>2021-1</v>
      </c>
      <c r="M69" s="1180" t="str">
        <f t="shared" si="31"/>
        <v>2020-4</v>
      </c>
      <c r="N69" s="1180" t="str">
        <f t="shared" si="31"/>
        <v>2020-3</v>
      </c>
      <c r="O69" s="1180" t="str">
        <f t="shared" si="31"/>
        <v>2020-2</v>
      </c>
      <c r="P69" s="3524" t="str">
        <f t="shared" si="31"/>
        <v>2020-1</v>
      </c>
      <c r="Q69" s="3524" t="str">
        <f t="shared" si="31"/>
        <v>2019-4</v>
      </c>
      <c r="R69" s="3524" t="str">
        <f t="shared" si="31"/>
        <v>2019-3</v>
      </c>
      <c r="S69" s="3524" t="str">
        <f t="shared" si="31"/>
        <v>2019-2</v>
      </c>
      <c r="T69" s="3524" t="str">
        <f t="shared" si="31"/>
        <v>2019-1</v>
      </c>
      <c r="U69" s="3524" t="str">
        <f t="shared" si="31"/>
        <v>2018-4</v>
      </c>
      <c r="V69" s="3524" t="str">
        <f t="shared" si="31"/>
        <v>2018-3</v>
      </c>
      <c r="W69" s="3524" t="str">
        <f t="shared" si="31"/>
        <v>2018-2</v>
      </c>
      <c r="X69" s="3524" t="str">
        <f t="shared" si="31"/>
        <v>2018-1</v>
      </c>
      <c r="Y69" s="3524" t="str">
        <f t="shared" si="31"/>
        <v>2017-4</v>
      </c>
      <c r="Z69" s="3524" t="str">
        <f t="shared" si="31"/>
        <v>2017-3</v>
      </c>
      <c r="AA69" s="3524" t="str">
        <f t="shared" si="31"/>
        <v>2017-2</v>
      </c>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544">
        <v>93.5</v>
      </c>
      <c r="Q70" s="544">
        <v>93</v>
      </c>
      <c r="R70" s="544">
        <v>92.5</v>
      </c>
      <c r="S70" s="544">
        <v>92</v>
      </c>
      <c r="T70" s="544">
        <v>91.5</v>
      </c>
      <c r="U70" s="544">
        <v>91</v>
      </c>
      <c r="V70" s="544">
        <v>90.5</v>
      </c>
      <c r="W70" s="544">
        <v>90</v>
      </c>
      <c r="X70" s="544">
        <v>89.5</v>
      </c>
      <c r="Y70" s="544">
        <v>89</v>
      </c>
      <c r="Z70" s="544">
        <v>88.5</v>
      </c>
      <c r="AA70" s="544">
        <v>88</v>
      </c>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6"/>
      <c r="Q73" s="2736"/>
      <c r="R73" s="2658"/>
      <c r="S73" s="2658"/>
      <c r="T73" s="2658"/>
      <c r="U73" s="2658"/>
      <c r="V73" s="2658"/>
      <c r="W73" s="2658"/>
      <c r="X73" s="2658"/>
      <c r="Y73" s="2658"/>
      <c r="Z73" s="2658"/>
      <c r="AA73" s="2658"/>
      <c r="AB73" s="2658"/>
      <c r="AC73" s="2658"/>
    </row>
    <row r="74" spans="1:29">
      <c r="A74" s="476" t="s">
        <v>1719</v>
      </c>
      <c r="B74" s="477" t="s">
        <v>1685</v>
      </c>
      <c r="C74" s="3495" t="s">
        <v>3637</v>
      </c>
      <c r="D74" s="479" t="s">
        <v>3639</v>
      </c>
      <c r="E74" s="479" t="s">
        <v>3641</v>
      </c>
      <c r="F74" s="479"/>
      <c r="G74" s="479"/>
      <c r="H74" s="479"/>
      <c r="I74" s="479"/>
      <c r="J74" s="479"/>
      <c r="K74" s="480"/>
      <c r="L74" s="481"/>
      <c r="M74" s="482"/>
      <c r="N74" s="2749"/>
      <c r="O74" s="2749"/>
      <c r="P74" s="2774"/>
      <c r="Q74" s="2736"/>
      <c r="R74" s="2722"/>
      <c r="S74" s="2722"/>
      <c r="T74" s="2722"/>
      <c r="U74" s="2722"/>
      <c r="V74" s="2722"/>
      <c r="W74" s="2722"/>
      <c r="X74" s="2722"/>
      <c r="Y74" s="2722"/>
      <c r="Z74" s="2722"/>
      <c r="AA74" s="2722"/>
      <c r="AB74" s="2722"/>
      <c r="AC74" s="2722"/>
    </row>
    <row r="75" spans="1:29" ht="15.75" thickBot="1">
      <c r="A75" s="483"/>
      <c r="B75" s="484"/>
      <c r="C75" s="485">
        <v>100</v>
      </c>
      <c r="D75" s="485">
        <v>100</v>
      </c>
      <c r="E75" s="485">
        <v>95</v>
      </c>
      <c r="F75" s="485"/>
      <c r="G75" s="485"/>
      <c r="H75" s="485"/>
      <c r="I75" s="485"/>
      <c r="J75" s="485"/>
      <c r="K75" s="485"/>
      <c r="L75" s="485"/>
      <c r="M75" s="486"/>
      <c r="N75" s="2750"/>
      <c r="O75" s="2750"/>
      <c r="P75" s="2774"/>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49"/>
      <c r="O76" s="2749"/>
      <c r="P76" s="2774"/>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0"/>
      <c r="O77" s="2750"/>
      <c r="P77" s="2774"/>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0（含）-1</v>
      </c>
      <c r="D78" s="496" t="str">
        <f t="shared" ref="D78:L78" si="32">D79&amp;"（含）"&amp;"-"&amp;E79</f>
        <v>1（含）-2</v>
      </c>
      <c r="E78" s="496" t="str">
        <f t="shared" si="32"/>
        <v>2（含）-3</v>
      </c>
      <c r="F78" s="496" t="str">
        <f t="shared" si="32"/>
        <v>3（含）-4</v>
      </c>
      <c r="G78" s="496" t="str">
        <f t="shared" si="32"/>
        <v>4（含）-</v>
      </c>
      <c r="H78" s="496" t="str">
        <f t="shared" si="32"/>
        <v>（含）-</v>
      </c>
      <c r="I78" s="496" t="str">
        <f t="shared" si="32"/>
        <v>（含）-</v>
      </c>
      <c r="J78" s="496" t="str">
        <f t="shared" si="32"/>
        <v>（含）-</v>
      </c>
      <c r="K78" s="496" t="str">
        <f t="shared" si="32"/>
        <v>（含）-</v>
      </c>
      <c r="L78" s="496" t="str">
        <f t="shared" si="32"/>
        <v>（含）-</v>
      </c>
      <c r="M78" s="399" t="str">
        <f>M79&amp;"（含）"&amp;"-"&amp;P79</f>
        <v>（含）-</v>
      </c>
      <c r="N78" s="2750"/>
      <c r="O78" s="2750"/>
      <c r="P78" s="2774"/>
      <c r="Q78" s="2736"/>
      <c r="R78" s="2722"/>
      <c r="S78" s="2722"/>
      <c r="T78" s="2722"/>
      <c r="U78" s="2722"/>
      <c r="V78" s="2722"/>
      <c r="W78" s="2722"/>
      <c r="X78" s="2722"/>
      <c r="Y78" s="2722"/>
      <c r="Z78" s="2722"/>
      <c r="AA78" s="2722"/>
      <c r="AB78" s="2722"/>
      <c r="AC78" s="2722"/>
    </row>
    <row r="79" spans="1:29" ht="15">
      <c r="A79" s="483"/>
      <c r="B79" s="497"/>
      <c r="C79" s="498">
        <v>0</v>
      </c>
      <c r="D79" s="498">
        <v>1</v>
      </c>
      <c r="E79" s="498">
        <v>2</v>
      </c>
      <c r="F79" s="498">
        <v>3</v>
      </c>
      <c r="G79" s="498">
        <v>4</v>
      </c>
      <c r="H79" s="498"/>
      <c r="I79" s="498"/>
      <c r="J79" s="498"/>
      <c r="K79" s="499"/>
      <c r="L79" s="500"/>
      <c r="M79" s="501"/>
      <c r="N79" s="2749"/>
      <c r="O79" s="2749"/>
      <c r="P79" s="2774"/>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33">IF($B$46="单位面积地价",C80+$K11,C80-$K11)</f>
        <v>102</v>
      </c>
      <c r="E80" s="493">
        <f t="shared" si="33"/>
        <v>104</v>
      </c>
      <c r="F80" s="493">
        <f t="shared" si="33"/>
        <v>106</v>
      </c>
      <c r="G80" s="493">
        <f t="shared" si="33"/>
        <v>108</v>
      </c>
      <c r="H80" s="493">
        <f t="shared" si="33"/>
        <v>110</v>
      </c>
      <c r="I80" s="493">
        <f t="shared" si="33"/>
        <v>112</v>
      </c>
      <c r="J80" s="493">
        <f t="shared" si="33"/>
        <v>114</v>
      </c>
      <c r="K80" s="493">
        <f t="shared" si="33"/>
        <v>116</v>
      </c>
      <c r="L80" s="493">
        <f t="shared" si="33"/>
        <v>118</v>
      </c>
      <c r="M80" s="493">
        <f t="shared" si="33"/>
        <v>120</v>
      </c>
      <c r="N80" s="2750"/>
      <c r="O80" s="2750"/>
      <c r="P80" s="2774"/>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20"/>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0"/>
      <c r="O88" s="2750"/>
      <c r="P88" s="2774"/>
      <c r="Q88" s="2736"/>
      <c r="R88" s="2722"/>
      <c r="S88" s="2722"/>
      <c r="T88" s="2722"/>
      <c r="U88" s="2722"/>
      <c r="V88" s="2722"/>
      <c r="W88" s="2722"/>
      <c r="X88" s="2722"/>
      <c r="Y88" s="2722"/>
      <c r="Z88" s="2722"/>
      <c r="AA88" s="2722"/>
      <c r="AB88" s="2722"/>
      <c r="AC88" s="2722"/>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6"/>
      <c r="R89" s="2722"/>
      <c r="S89" s="2722"/>
      <c r="T89" s="2722"/>
      <c r="U89" s="2722"/>
      <c r="V89" s="2722"/>
      <c r="W89" s="2722"/>
      <c r="X89" s="2722"/>
      <c r="Y89" s="2722"/>
      <c r="Z89" s="2722"/>
      <c r="AA89" s="2722"/>
      <c r="AB89" s="2722"/>
      <c r="AC89" s="2722"/>
    </row>
    <row r="90" spans="1:29" ht="15.75" thickBot="1">
      <c r="A90" s="483"/>
      <c r="B90" s="492"/>
      <c r="C90" s="493">
        <v>100</v>
      </c>
      <c r="D90" s="493">
        <f>C90-$K17</f>
        <v>99</v>
      </c>
      <c r="E90" s="493">
        <f>D90-$K17</f>
        <v>98</v>
      </c>
      <c r="F90" s="493">
        <f>E90-$K17</f>
        <v>97</v>
      </c>
      <c r="G90" s="493">
        <f>F90-$K17</f>
        <v>96</v>
      </c>
      <c r="H90" s="493"/>
      <c r="I90" s="493"/>
      <c r="J90" s="493"/>
      <c r="K90" s="493"/>
      <c r="L90" s="493"/>
      <c r="M90" s="494"/>
      <c r="N90" s="2750"/>
      <c r="O90" s="2750"/>
      <c r="P90" s="2774"/>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6"/>
      <c r="R93" s="2722"/>
      <c r="S93" s="2722"/>
      <c r="T93" s="2722"/>
      <c r="U93" s="2722"/>
      <c r="V93" s="2722"/>
      <c r="W93" s="2722"/>
      <c r="X93" s="2722"/>
      <c r="Y93" s="2722"/>
      <c r="Z93" s="2722"/>
      <c r="AA93" s="2722"/>
      <c r="AB93" s="2722"/>
      <c r="AC93" s="2722"/>
    </row>
    <row r="94" spans="1:29" ht="15.75" thickBot="1">
      <c r="A94" s="483"/>
      <c r="B94" s="492"/>
      <c r="C94" s="493">
        <v>100</v>
      </c>
      <c r="D94" s="493">
        <f>C94-$K21</f>
        <v>99</v>
      </c>
      <c r="E94" s="493">
        <f>D94-$K21</f>
        <v>98</v>
      </c>
      <c r="F94" s="493">
        <f>E94-$K21</f>
        <v>97</v>
      </c>
      <c r="G94" s="493">
        <f>F94-$K21</f>
        <v>96</v>
      </c>
      <c r="H94" s="493"/>
      <c r="I94" s="493"/>
      <c r="J94" s="493"/>
      <c r="K94" s="493"/>
      <c r="L94" s="493"/>
      <c r="M94" s="494"/>
      <c r="N94" s="2750"/>
      <c r="O94" s="2750"/>
      <c r="P94" s="2774"/>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99</v>
      </c>
      <c r="E98" s="493">
        <f>D98-$K25</f>
        <v>98</v>
      </c>
      <c r="F98" s="493">
        <f>E98-$K25</f>
        <v>97</v>
      </c>
      <c r="G98" s="493">
        <f>F98-$K25</f>
        <v>96</v>
      </c>
      <c r="H98" s="493"/>
      <c r="I98" s="493"/>
      <c r="J98" s="493"/>
      <c r="K98" s="493"/>
      <c r="L98" s="493"/>
      <c r="M98" s="494"/>
      <c r="N98" s="2750"/>
      <c r="O98" s="2750"/>
      <c r="P98" s="2774"/>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99</v>
      </c>
      <c r="E100" s="493">
        <f>D100-$K27</f>
        <v>98</v>
      </c>
      <c r="F100" s="493">
        <f>E100-$K27</f>
        <v>97</v>
      </c>
      <c r="G100" s="493">
        <f>F100-$K27</f>
        <v>96</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34">C104-$K31</f>
        <v>100</v>
      </c>
      <c r="E104" s="493">
        <f t="shared" si="34"/>
        <v>100</v>
      </c>
      <c r="F104" s="493">
        <f t="shared" si="34"/>
        <v>100</v>
      </c>
      <c r="G104" s="493">
        <f t="shared" si="34"/>
        <v>100</v>
      </c>
      <c r="H104" s="493">
        <f t="shared" si="34"/>
        <v>100</v>
      </c>
      <c r="I104" s="493">
        <f t="shared" si="34"/>
        <v>100</v>
      </c>
      <c r="J104" s="493">
        <f t="shared" si="34"/>
        <v>100</v>
      </c>
      <c r="K104" s="493">
        <f t="shared" si="34"/>
        <v>100</v>
      </c>
      <c r="L104" s="493">
        <f t="shared" si="34"/>
        <v>100</v>
      </c>
      <c r="M104" s="493">
        <f t="shared" si="34"/>
        <v>100</v>
      </c>
      <c r="N104" s="2750"/>
      <c r="O104" s="2750"/>
      <c r="P104" s="2774"/>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49"/>
      <c r="O105" s="2749"/>
      <c r="P105" s="2774"/>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5">C106-$K32</f>
        <v>100</v>
      </c>
      <c r="E106" s="493">
        <f t="shared" si="35"/>
        <v>100</v>
      </c>
      <c r="F106" s="493">
        <f t="shared" si="35"/>
        <v>100</v>
      </c>
      <c r="G106" s="493">
        <f t="shared" si="35"/>
        <v>100</v>
      </c>
      <c r="H106" s="493">
        <f t="shared" si="35"/>
        <v>100</v>
      </c>
      <c r="I106" s="493">
        <f t="shared" si="35"/>
        <v>100</v>
      </c>
      <c r="J106" s="493">
        <f t="shared" si="35"/>
        <v>100</v>
      </c>
      <c r="K106" s="493">
        <f t="shared" si="35"/>
        <v>100</v>
      </c>
      <c r="L106" s="493">
        <f t="shared" si="35"/>
        <v>100</v>
      </c>
      <c r="M106" s="493">
        <f t="shared" si="35"/>
        <v>100</v>
      </c>
      <c r="N106" s="2750"/>
      <c r="O106" s="2750"/>
      <c r="P106" s="2774"/>
      <c r="Q106" s="2736"/>
      <c r="R106" s="2722"/>
      <c r="S106" s="2722"/>
      <c r="T106" s="2722"/>
      <c r="U106" s="2722"/>
      <c r="V106" s="2722"/>
      <c r="W106" s="2722"/>
      <c r="X106" s="2722"/>
      <c r="Y106" s="2722"/>
      <c r="Z106" s="2722"/>
      <c r="AA106" s="2722"/>
      <c r="AB106" s="2722"/>
      <c r="AC106" s="2722"/>
    </row>
    <row r="107" spans="1:29" ht="15.75" thickTop="1">
      <c r="A107" s="483"/>
      <c r="B107" s="487" t="s">
        <v>1873</v>
      </c>
      <c r="C107" s="3513" t="s">
        <v>3633</v>
      </c>
      <c r="D107" s="3513" t="s">
        <v>3634</v>
      </c>
      <c r="E107" s="3513" t="s">
        <v>3635</v>
      </c>
      <c r="F107" s="3513" t="s">
        <v>3636</v>
      </c>
      <c r="G107" s="3513" t="s">
        <v>3632</v>
      </c>
      <c r="H107" s="532"/>
      <c r="I107" s="532"/>
      <c r="J107" s="532"/>
      <c r="K107" s="533"/>
      <c r="L107" s="534"/>
      <c r="M107" s="535"/>
      <c r="N107" s="2749"/>
      <c r="O107" s="2749"/>
      <c r="P107" s="2774"/>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6">C108-$K34</f>
        <v>100</v>
      </c>
      <c r="E108" s="493">
        <f t="shared" si="36"/>
        <v>100</v>
      </c>
      <c r="F108" s="493">
        <f t="shared" si="36"/>
        <v>100</v>
      </c>
      <c r="G108" s="493">
        <f t="shared" si="36"/>
        <v>100</v>
      </c>
      <c r="H108" s="493">
        <f t="shared" si="36"/>
        <v>100</v>
      </c>
      <c r="I108" s="493">
        <f t="shared" si="36"/>
        <v>100</v>
      </c>
      <c r="J108" s="493">
        <f t="shared" si="36"/>
        <v>100</v>
      </c>
      <c r="K108" s="493">
        <f t="shared" si="36"/>
        <v>100</v>
      </c>
      <c r="L108" s="493">
        <f t="shared" si="36"/>
        <v>100</v>
      </c>
      <c r="M108" s="493">
        <f t="shared" si="36"/>
        <v>100</v>
      </c>
      <c r="N108" s="2750"/>
      <c r="O108" s="2750"/>
      <c r="P108" s="2774"/>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49"/>
      <c r="O109" s="2749"/>
      <c r="P109" s="2774"/>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0"/>
      <c r="O110" s="2750"/>
      <c r="P110" s="2774"/>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49"/>
      <c r="O111" s="2749"/>
      <c r="P111" s="2774"/>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0"/>
      <c r="O112" s="2750"/>
      <c r="P112" s="2774"/>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1912</v>
      </c>
      <c r="C115" s="478" t="str">
        <f>C116&amp;"(含)"&amp;"-"&amp;D116</f>
        <v>0(含)-10000</v>
      </c>
      <c r="D115" s="478" t="str">
        <f t="shared" ref="D115:M115" si="37">D116&amp;"(含)"&amp;"-"&amp;E116</f>
        <v>10000(含)-20000</v>
      </c>
      <c r="E115" s="478" t="str">
        <f t="shared" si="37"/>
        <v>20000(含)-30000</v>
      </c>
      <c r="F115" s="478" t="str">
        <f t="shared" si="37"/>
        <v>30000(含)-40000</v>
      </c>
      <c r="G115" s="478" t="str">
        <f t="shared" si="37"/>
        <v>40000(含)-</v>
      </c>
      <c r="H115" s="478" t="str">
        <f t="shared" si="37"/>
        <v>(含)-</v>
      </c>
      <c r="I115" s="478" t="str">
        <f t="shared" si="37"/>
        <v>(含)-</v>
      </c>
      <c r="J115" s="478" t="str">
        <f t="shared" si="37"/>
        <v>(含)-</v>
      </c>
      <c r="K115" s="478" t="str">
        <f t="shared" si="37"/>
        <v>(含)-</v>
      </c>
      <c r="L115" s="478" t="str">
        <f t="shared" si="37"/>
        <v>(含)-</v>
      </c>
      <c r="M115" s="478" t="str">
        <f t="shared" si="37"/>
        <v>(含)-</v>
      </c>
      <c r="N115" s="2749"/>
      <c r="O115" s="2749"/>
      <c r="P115" s="2774"/>
      <c r="Q115" s="2736"/>
      <c r="R115" s="2722"/>
      <c r="S115" s="2722"/>
      <c r="T115" s="2722"/>
      <c r="U115" s="2722"/>
      <c r="V115" s="2722"/>
      <c r="W115" s="2722"/>
      <c r="X115" s="2722"/>
      <c r="Y115" s="2722"/>
      <c r="Z115" s="2722"/>
      <c r="AA115" s="2722"/>
      <c r="AB115" s="2722"/>
      <c r="AC115" s="2722"/>
    </row>
    <row r="116" spans="1:29" ht="15">
      <c r="A116" s="483"/>
      <c r="B116" s="495"/>
      <c r="C116" s="544">
        <v>0</v>
      </c>
      <c r="D116" s="544">
        <v>10000</v>
      </c>
      <c r="E116" s="544">
        <v>20000</v>
      </c>
      <c r="F116" s="544">
        <v>30000</v>
      </c>
      <c r="G116" s="544">
        <v>40000</v>
      </c>
      <c r="H116" s="544"/>
      <c r="I116" s="544"/>
      <c r="J116" s="545"/>
      <c r="K116" s="545"/>
      <c r="L116" s="546"/>
      <c r="M116" s="547"/>
      <c r="N116" s="2749"/>
      <c r="O116" s="2749"/>
      <c r="P116" s="2774"/>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101</v>
      </c>
      <c r="E117" s="540">
        <v>102</v>
      </c>
      <c r="F117" s="540">
        <v>103</v>
      </c>
      <c r="G117" s="540">
        <v>104</v>
      </c>
      <c r="H117" s="540"/>
      <c r="I117" s="540"/>
      <c r="J117" s="540"/>
      <c r="K117" s="540"/>
      <c r="L117" s="540"/>
      <c r="M117" s="541"/>
      <c r="N117" s="2750"/>
      <c r="O117" s="2750"/>
      <c r="P117" s="2774"/>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38">C119-$K39</f>
        <v>100</v>
      </c>
      <c r="E119" s="493">
        <f t="shared" si="38"/>
        <v>100</v>
      </c>
      <c r="F119" s="493">
        <f t="shared" si="38"/>
        <v>100</v>
      </c>
      <c r="G119" s="493">
        <f t="shared" si="38"/>
        <v>100</v>
      </c>
      <c r="H119" s="493">
        <f t="shared" si="38"/>
        <v>100</v>
      </c>
      <c r="I119" s="493">
        <f t="shared" si="38"/>
        <v>100</v>
      </c>
      <c r="J119" s="493">
        <f t="shared" si="38"/>
        <v>100</v>
      </c>
      <c r="K119" s="493">
        <f t="shared" si="38"/>
        <v>100</v>
      </c>
      <c r="L119" s="493">
        <f t="shared" si="38"/>
        <v>100</v>
      </c>
      <c r="M119" s="494">
        <f t="shared" si="38"/>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49"/>
      <c r="O120" s="2749"/>
      <c r="P120" s="2774"/>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39">C121-$K40</f>
        <v>100</v>
      </c>
      <c r="E121" s="493">
        <f t="shared" si="39"/>
        <v>100</v>
      </c>
      <c r="F121" s="493">
        <f t="shared" si="39"/>
        <v>100</v>
      </c>
      <c r="G121" s="493">
        <f t="shared" si="39"/>
        <v>100</v>
      </c>
      <c r="H121" s="493">
        <f t="shared" si="39"/>
        <v>100</v>
      </c>
      <c r="I121" s="493">
        <f t="shared" si="39"/>
        <v>100</v>
      </c>
      <c r="J121" s="493">
        <f t="shared" si="39"/>
        <v>100</v>
      </c>
      <c r="K121" s="493">
        <f t="shared" si="39"/>
        <v>100</v>
      </c>
      <c r="L121" s="493">
        <f t="shared" si="39"/>
        <v>100</v>
      </c>
      <c r="M121" s="494">
        <f t="shared" si="39"/>
        <v>100</v>
      </c>
      <c r="N121" s="2750"/>
      <c r="O121" s="2750"/>
      <c r="P121" s="2774"/>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40">C123-$K41</f>
        <v>100</v>
      </c>
      <c r="E123" s="493">
        <f t="shared" si="40"/>
        <v>100</v>
      </c>
      <c r="F123" s="493">
        <f t="shared" si="40"/>
        <v>100</v>
      </c>
      <c r="G123" s="493">
        <f t="shared" si="40"/>
        <v>100</v>
      </c>
      <c r="H123" s="493">
        <f t="shared" si="40"/>
        <v>100</v>
      </c>
      <c r="I123" s="493">
        <f t="shared" si="40"/>
        <v>100</v>
      </c>
      <c r="J123" s="493">
        <f t="shared" si="40"/>
        <v>100</v>
      </c>
      <c r="K123" s="493">
        <f t="shared" si="40"/>
        <v>100</v>
      </c>
      <c r="L123" s="493">
        <f t="shared" si="40"/>
        <v>100</v>
      </c>
      <c r="M123" s="494">
        <f t="shared" si="40"/>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41">C125-$K42</f>
        <v>100</v>
      </c>
      <c r="E125" s="493">
        <f t="shared" si="41"/>
        <v>100</v>
      </c>
      <c r="F125" s="493">
        <f t="shared" si="41"/>
        <v>100</v>
      </c>
      <c r="G125" s="493">
        <f t="shared" si="41"/>
        <v>100</v>
      </c>
      <c r="H125" s="493">
        <f t="shared" si="41"/>
        <v>100</v>
      </c>
      <c r="I125" s="493">
        <f t="shared" si="41"/>
        <v>100</v>
      </c>
      <c r="J125" s="493">
        <f t="shared" si="41"/>
        <v>100</v>
      </c>
      <c r="K125" s="493">
        <f t="shared" si="41"/>
        <v>100</v>
      </c>
      <c r="L125" s="493">
        <f t="shared" si="41"/>
        <v>100</v>
      </c>
      <c r="M125" s="494">
        <f t="shared" si="41"/>
        <v>100</v>
      </c>
      <c r="N125" s="2750"/>
      <c r="O125" s="2750"/>
      <c r="P125" s="2774"/>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49"/>
      <c r="O126" s="2749"/>
      <c r="P126" s="2774"/>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0"/>
      <c r="O127" s="2750"/>
      <c r="P127" s="2774"/>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49"/>
      <c r="O128" s="2749"/>
      <c r="P128" s="2774"/>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0"/>
      <c r="O129" s="2750"/>
      <c r="P129" s="2774"/>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6" priority="18" stopIfTrue="1" operator="containsText" text="超过">
      <formula>NOT(ISERROR(SEARCH("超过",F51)))</formula>
    </cfRule>
  </conditionalFormatting>
  <conditionalFormatting sqref="J53">
    <cfRule type="containsText" dxfId="155" priority="17" stopIfTrue="1" operator="containsText" text="超过">
      <formula>NOT(ISERROR(SEARCH("超过",J53)))</formula>
    </cfRule>
  </conditionalFormatting>
  <conditionalFormatting sqref="H53">
    <cfRule type="containsText" dxfId="154" priority="16" stopIfTrue="1" operator="containsText" text="超过">
      <formula>NOT(ISERROR(SEARCH("超过",H53)))</formula>
    </cfRule>
  </conditionalFormatting>
  <conditionalFormatting sqref="F53">
    <cfRule type="containsText" dxfId="153" priority="15" stopIfTrue="1" operator="containsText" text="超过">
      <formula>NOT(ISERROR(SEARCH("超过",F53)))</formula>
    </cfRule>
  </conditionalFormatting>
  <conditionalFormatting sqref="F52 H52 J52">
    <cfRule type="containsText" dxfId="152" priority="14" stopIfTrue="1" operator="containsText" text="超过">
      <formula>NOT(ISERROR(SEARCH("超过",F52)))</formula>
    </cfRule>
  </conditionalFormatting>
  <conditionalFormatting sqref="E51">
    <cfRule type="expression" dxfId="151" priority="13" stopIfTrue="1">
      <formula>$F$51="超过30%"</formula>
    </cfRule>
  </conditionalFormatting>
  <conditionalFormatting sqref="G53">
    <cfRule type="expression" dxfId="150" priority="12" stopIfTrue="1">
      <formula>$H$53="超过30%"</formula>
    </cfRule>
  </conditionalFormatting>
  <conditionalFormatting sqref="E52">
    <cfRule type="expression" dxfId="149" priority="11" stopIfTrue="1">
      <formula>$F$52="超过20%"</formula>
    </cfRule>
  </conditionalFormatting>
  <conditionalFormatting sqref="E53">
    <cfRule type="expression" dxfId="148" priority="10" stopIfTrue="1">
      <formula>$F$53="超过30%"</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I51">
    <cfRule type="expression" dxfId="145" priority="7" stopIfTrue="1">
      <formula>$J$51="超过30%"</formula>
    </cfRule>
  </conditionalFormatting>
  <conditionalFormatting sqref="I52">
    <cfRule type="expression" dxfId="144" priority="6" stopIfTrue="1">
      <formula>$J$52="超过20%"</formula>
    </cfRule>
  </conditionalFormatting>
  <conditionalFormatting sqref="I53">
    <cfRule type="expression" dxfId="143" priority="5" stopIfTrue="1">
      <formula>$J$53="超过30%"</formula>
    </cfRule>
  </conditionalFormatting>
  <conditionalFormatting sqref="F47">
    <cfRule type="expression" dxfId="142" priority="4">
      <formula>$D$47="简单平均"</formula>
    </cfRule>
  </conditionalFormatting>
  <conditionalFormatting sqref="H47">
    <cfRule type="expression" dxfId="141" priority="3">
      <formula>$D$47="简单平均"</formula>
    </cfRule>
  </conditionalFormatting>
  <conditionalFormatting sqref="J47">
    <cfRule type="expression" dxfId="140" priority="2">
      <formula>$D$47="简单平均"</formula>
    </cfRule>
  </conditionalFormatting>
  <conditionalFormatting sqref="F7:F45 H7:H45 J7:J45">
    <cfRule type="cellIs" dxfId="1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topLeftCell="C1" workbookViewId="0">
      <selection activeCell="H10" sqref="H10"/>
    </sheetView>
  </sheetViews>
  <sheetFormatPr defaultRowHeight="13.5"/>
  <cols>
    <col min="1" max="1" width="22" customWidth="1"/>
    <col min="13" max="13" width="11.75" customWidth="1"/>
  </cols>
  <sheetData>
    <row r="1" spans="1:23">
      <c r="A1" s="3518" t="s">
        <v>3406</v>
      </c>
      <c r="B1" s="3518" t="s">
        <v>3407</v>
      </c>
      <c r="C1" s="3518" t="s">
        <v>3408</v>
      </c>
      <c r="D1" s="3518" t="s">
        <v>3409</v>
      </c>
      <c r="E1" s="3518" t="s">
        <v>3410</v>
      </c>
      <c r="F1" s="3518" t="s">
        <v>3411</v>
      </c>
      <c r="G1" s="3518" t="s">
        <v>3412</v>
      </c>
      <c r="H1" s="3518" t="s">
        <v>3413</v>
      </c>
      <c r="I1" s="3518" t="s">
        <v>3414</v>
      </c>
      <c r="J1" s="3518" t="s">
        <v>3415</v>
      </c>
      <c r="K1" s="3518" t="s">
        <v>3416</v>
      </c>
      <c r="L1" s="3518" t="s">
        <v>3417</v>
      </c>
      <c r="M1" s="3518" t="s">
        <v>3418</v>
      </c>
      <c r="N1" s="3518" t="s">
        <v>3419</v>
      </c>
      <c r="O1" s="3518" t="s">
        <v>3420</v>
      </c>
      <c r="P1" s="3518" t="s">
        <v>3421</v>
      </c>
      <c r="Q1" s="3518" t="s">
        <v>3422</v>
      </c>
      <c r="R1" s="3519" t="s">
        <v>3625</v>
      </c>
      <c r="S1" s="3519" t="s">
        <v>3626</v>
      </c>
      <c r="T1" s="3519" t="s">
        <v>3627</v>
      </c>
    </row>
    <row r="2" spans="1:23" s="3522" customFormat="1">
      <c r="A2" s="3521" t="s">
        <v>3569</v>
      </c>
      <c r="B2" s="3521" t="s">
        <v>3381</v>
      </c>
      <c r="C2" s="3521" t="s">
        <v>3424</v>
      </c>
      <c r="D2" s="3521">
        <v>4800</v>
      </c>
      <c r="E2" s="3521">
        <v>1920</v>
      </c>
      <c r="F2" s="3521" t="s">
        <v>3570</v>
      </c>
      <c r="G2" s="3521" t="s">
        <v>3425</v>
      </c>
      <c r="H2" s="3521" t="s">
        <v>3571</v>
      </c>
      <c r="I2" s="3521">
        <v>0</v>
      </c>
      <c r="J2" s="3521" t="s">
        <v>3572</v>
      </c>
      <c r="K2" s="3521" t="s">
        <v>3572</v>
      </c>
      <c r="L2" s="3521">
        <v>5800</v>
      </c>
      <c r="M2" s="3521">
        <v>5800</v>
      </c>
      <c r="N2" s="3521">
        <v>30208.33</v>
      </c>
      <c r="O2" s="3521">
        <v>0</v>
      </c>
      <c r="P2" s="3521" t="s">
        <v>3573</v>
      </c>
      <c r="Q2" s="3521" t="s">
        <v>3429</v>
      </c>
      <c r="S2" s="3522">
        <f t="shared" ref="S2:S3" si="0">ROUND(R2/$N$18,4)</f>
        <v>0</v>
      </c>
      <c r="T2" s="3522" t="e">
        <f t="shared" ref="T2:T3" si="1">ROUND(N2/S2,0)</f>
        <v>#DIV/0!</v>
      </c>
    </row>
    <row r="3" spans="1:23" s="3520" customFormat="1">
      <c r="A3" s="3519" t="s">
        <v>3574</v>
      </c>
      <c r="B3" s="3519" t="s">
        <v>3381</v>
      </c>
      <c r="C3" s="3519" t="s">
        <v>3424</v>
      </c>
      <c r="D3" s="3519">
        <v>17308.8</v>
      </c>
      <c r="E3" s="3519">
        <v>86544</v>
      </c>
      <c r="F3" s="3519" t="s">
        <v>3575</v>
      </c>
      <c r="G3" s="3519" t="s">
        <v>3425</v>
      </c>
      <c r="H3" s="3519" t="s">
        <v>3426</v>
      </c>
      <c r="I3" s="3519">
        <v>0</v>
      </c>
      <c r="J3" s="3519" t="s">
        <v>3576</v>
      </c>
      <c r="K3" s="3519" t="s">
        <v>3576</v>
      </c>
      <c r="L3" s="3519">
        <v>91400</v>
      </c>
      <c r="M3" s="3519">
        <v>91400</v>
      </c>
      <c r="N3" s="3519">
        <v>10561.1</v>
      </c>
      <c r="O3" s="3519">
        <v>0</v>
      </c>
      <c r="P3" s="3519" t="s">
        <v>3577</v>
      </c>
      <c r="Q3" s="3519" t="s">
        <v>3578</v>
      </c>
      <c r="R3" s="3519">
        <v>0.80720000000000003</v>
      </c>
      <c r="S3" s="3520">
        <f t="shared" si="0"/>
        <v>0.65449999999999997</v>
      </c>
      <c r="T3" s="3520">
        <f t="shared" si="1"/>
        <v>16136</v>
      </c>
    </row>
    <row r="4" spans="1:23" s="3520" customFormat="1">
      <c r="A4" s="3519" t="s">
        <v>3579</v>
      </c>
      <c r="B4" s="3519" t="s">
        <v>3381</v>
      </c>
      <c r="C4" s="3519" t="s">
        <v>3424</v>
      </c>
      <c r="D4" s="3519">
        <v>59169.74</v>
      </c>
      <c r="E4" s="3519">
        <v>130173.43</v>
      </c>
      <c r="F4" s="3519" t="s">
        <v>3580</v>
      </c>
      <c r="G4" s="3519" t="s">
        <v>3425</v>
      </c>
      <c r="H4" s="3519" t="s">
        <v>3426</v>
      </c>
      <c r="I4" s="3519">
        <v>0</v>
      </c>
      <c r="J4" s="3519" t="s">
        <v>3581</v>
      </c>
      <c r="K4" s="3519" t="s">
        <v>3581</v>
      </c>
      <c r="L4" s="3519">
        <v>131600</v>
      </c>
      <c r="M4" s="3519">
        <v>131600</v>
      </c>
      <c r="N4" s="3519">
        <v>10109.59</v>
      </c>
      <c r="O4" s="3519">
        <v>0</v>
      </c>
      <c r="P4" s="3519" t="s">
        <v>3582</v>
      </c>
      <c r="Q4" s="3519" t="s">
        <v>3429</v>
      </c>
      <c r="R4" s="3520">
        <v>0.9768</v>
      </c>
      <c r="S4" s="3520">
        <f>ROUND(R4/$N$18,4)</f>
        <v>0.79200000000000004</v>
      </c>
      <c r="T4" s="3520">
        <f>ROUND(N4/S4,0)</f>
        <v>12765</v>
      </c>
      <c r="U4" s="3526" t="s">
        <v>3630</v>
      </c>
      <c r="V4" s="3520">
        <f>基准地价修正!C24</f>
        <v>0.71989999999999998</v>
      </c>
      <c r="W4" s="3520">
        <f>ROUND(T4*V4,0)</f>
        <v>9190</v>
      </c>
    </row>
    <row r="5" spans="1:23" s="3520" customFormat="1">
      <c r="A5" s="3519" t="s">
        <v>3583</v>
      </c>
      <c r="B5" s="3519" t="s">
        <v>3381</v>
      </c>
      <c r="C5" s="3519" t="s">
        <v>3424</v>
      </c>
      <c r="D5" s="3519">
        <v>12066.9</v>
      </c>
      <c r="E5" s="3519">
        <v>18100.349999999999</v>
      </c>
      <c r="F5" s="3519">
        <v>1.5</v>
      </c>
      <c r="G5" s="3519" t="s">
        <v>3425</v>
      </c>
      <c r="H5" s="3519" t="s">
        <v>3584</v>
      </c>
      <c r="I5" s="3519">
        <v>0</v>
      </c>
      <c r="J5" s="3519" t="s">
        <v>3585</v>
      </c>
      <c r="K5" s="3519" t="s">
        <v>3585</v>
      </c>
      <c r="L5" s="3519">
        <v>9400</v>
      </c>
      <c r="M5" s="3519">
        <v>9400</v>
      </c>
      <c r="N5" s="3519">
        <v>5193.2700000000004</v>
      </c>
      <c r="O5" s="3519">
        <v>0</v>
      </c>
      <c r="P5" s="3519" t="s">
        <v>3582</v>
      </c>
      <c r="Q5" s="3519" t="s">
        <v>3429</v>
      </c>
      <c r="R5" s="3519">
        <v>1.0725</v>
      </c>
      <c r="S5" s="3520">
        <f t="shared" ref="S5:S7" si="2">ROUND(R5/$N$18,4)</f>
        <v>0.86960000000000004</v>
      </c>
      <c r="T5" s="3520">
        <f t="shared" ref="T5:T7" si="3">ROUND(N5/S5,0)</f>
        <v>5972</v>
      </c>
    </row>
    <row r="6" spans="1:23" s="3520" customFormat="1">
      <c r="A6" s="3519" t="s">
        <v>3586</v>
      </c>
      <c r="B6" s="3519" t="s">
        <v>3381</v>
      </c>
      <c r="C6" s="3519" t="s">
        <v>3424</v>
      </c>
      <c r="D6" s="3519">
        <v>15178.6</v>
      </c>
      <c r="E6" s="3519">
        <v>45535.8</v>
      </c>
      <c r="F6" s="3519">
        <v>3</v>
      </c>
      <c r="G6" s="3519" t="s">
        <v>3425</v>
      </c>
      <c r="H6" s="3519" t="s">
        <v>3426</v>
      </c>
      <c r="I6" s="3519">
        <v>0</v>
      </c>
      <c r="J6" s="3519" t="s">
        <v>3587</v>
      </c>
      <c r="K6" s="3519" t="s">
        <v>3587</v>
      </c>
      <c r="L6" s="3519">
        <v>58400</v>
      </c>
      <c r="M6" s="3519">
        <v>58400</v>
      </c>
      <c r="N6" s="3519">
        <v>12825.07</v>
      </c>
      <c r="O6" s="3519">
        <v>0</v>
      </c>
      <c r="P6" s="3519" t="s">
        <v>3588</v>
      </c>
      <c r="Q6" s="3519" t="s">
        <v>3441</v>
      </c>
      <c r="R6" s="3520">
        <f>R8</f>
        <v>0.90629999999999999</v>
      </c>
      <c r="S6" s="3520">
        <f t="shared" si="2"/>
        <v>0.7349</v>
      </c>
      <c r="T6" s="3520">
        <f t="shared" si="3"/>
        <v>17451</v>
      </c>
    </row>
    <row r="7" spans="1:23" s="3520" customFormat="1">
      <c r="A7" s="3519" t="s">
        <v>3589</v>
      </c>
      <c r="B7" s="3519" t="s">
        <v>3381</v>
      </c>
      <c r="C7" s="3519" t="s">
        <v>3424</v>
      </c>
      <c r="D7" s="3519">
        <v>15197.52</v>
      </c>
      <c r="E7" s="3519">
        <v>30395.05</v>
      </c>
      <c r="F7" s="3519">
        <v>2</v>
      </c>
      <c r="G7" s="3519" t="s">
        <v>3425</v>
      </c>
      <c r="H7" s="3519" t="s">
        <v>3590</v>
      </c>
      <c r="I7" s="3519" t="s">
        <v>3591</v>
      </c>
      <c r="J7" s="3519" t="s">
        <v>3592</v>
      </c>
      <c r="K7" s="3519" t="s">
        <v>3592</v>
      </c>
      <c r="L7" s="3519">
        <v>42600</v>
      </c>
      <c r="M7" s="3519">
        <v>42600</v>
      </c>
      <c r="N7" s="3519">
        <v>14015.44</v>
      </c>
      <c r="O7" s="3519">
        <v>0</v>
      </c>
      <c r="P7" s="3519" t="s">
        <v>3593</v>
      </c>
      <c r="Q7" s="3519" t="s">
        <v>3441</v>
      </c>
      <c r="R7" s="3519">
        <v>1</v>
      </c>
      <c r="S7" s="3520">
        <f t="shared" si="2"/>
        <v>0.81079999999999997</v>
      </c>
      <c r="T7" s="3520">
        <f t="shared" si="3"/>
        <v>17286</v>
      </c>
    </row>
    <row r="8" spans="1:23" s="3459" customFormat="1">
      <c r="A8" s="3458" t="s">
        <v>3437</v>
      </c>
      <c r="B8" s="3458" t="s">
        <v>3381</v>
      </c>
      <c r="C8" s="3458" t="s">
        <v>3424</v>
      </c>
      <c r="D8" s="3458">
        <v>25224.15</v>
      </c>
      <c r="E8" s="3458">
        <v>75672.45</v>
      </c>
      <c r="F8" s="3458" t="s">
        <v>3438</v>
      </c>
      <c r="G8" s="3458" t="s">
        <v>3425</v>
      </c>
      <c r="H8" s="3458" t="s">
        <v>3426</v>
      </c>
      <c r="I8" s="3458">
        <v>0</v>
      </c>
      <c r="J8" s="3458" t="s">
        <v>3439</v>
      </c>
      <c r="K8" s="3458" t="s">
        <v>3439</v>
      </c>
      <c r="L8" s="3458">
        <v>60800</v>
      </c>
      <c r="M8" s="3458">
        <v>60800</v>
      </c>
      <c r="N8" s="3458">
        <v>8034.63</v>
      </c>
      <c r="O8" s="3458">
        <v>0</v>
      </c>
      <c r="P8" s="3458" t="s">
        <v>3440</v>
      </c>
      <c r="Q8" s="3458" t="s">
        <v>3441</v>
      </c>
      <c r="R8" s="3459">
        <v>0.90629999999999999</v>
      </c>
      <c r="S8" s="3459">
        <f t="shared" ref="S8:S16" si="4">ROUND(R8/$N$18,4)</f>
        <v>0.7349</v>
      </c>
      <c r="T8" s="3459">
        <f t="shared" ref="T8:T15" si="5">ROUND(N8/S8,0)</f>
        <v>10933</v>
      </c>
      <c r="U8" s="3523" t="s">
        <v>3631</v>
      </c>
      <c r="V8" s="3459">
        <f>V4</f>
        <v>0.71989999999999998</v>
      </c>
      <c r="W8" s="3459">
        <f>ROUND(T8*V8,0)</f>
        <v>7871</v>
      </c>
    </row>
    <row r="9" spans="1:23" s="3520" customFormat="1">
      <c r="A9" s="3519" t="s">
        <v>3594</v>
      </c>
      <c r="B9" s="3519" t="s">
        <v>3381</v>
      </c>
      <c r="C9" s="3519" t="s">
        <v>3424</v>
      </c>
      <c r="D9" s="3519">
        <v>265269.8</v>
      </c>
      <c r="E9" s="3519">
        <v>665975.69999999995</v>
      </c>
      <c r="F9" s="3519" t="s">
        <v>3595</v>
      </c>
      <c r="G9" s="3519" t="s">
        <v>3425</v>
      </c>
      <c r="H9" s="3519" t="s">
        <v>3426</v>
      </c>
      <c r="I9" s="3519">
        <v>0</v>
      </c>
      <c r="J9" s="3519" t="s">
        <v>3596</v>
      </c>
      <c r="K9" s="3519" t="s">
        <v>3596</v>
      </c>
      <c r="L9" s="3519">
        <v>699300</v>
      </c>
      <c r="M9" s="3519">
        <v>699300</v>
      </c>
      <c r="N9" s="3519">
        <v>10500.38</v>
      </c>
      <c r="O9" s="3519">
        <v>0</v>
      </c>
      <c r="P9" s="3519" t="s">
        <v>3597</v>
      </c>
      <c r="Q9" s="3519" t="s">
        <v>3441</v>
      </c>
      <c r="R9" s="3520">
        <f>R8</f>
        <v>0.90629999999999999</v>
      </c>
      <c r="S9" s="3520">
        <f t="shared" si="4"/>
        <v>0.7349</v>
      </c>
      <c r="T9" s="3520">
        <f t="shared" ref="T9" si="6">ROUND(N9/S9,0)</f>
        <v>14288</v>
      </c>
    </row>
    <row r="10" spans="1:23" s="3459" customFormat="1">
      <c r="A10" s="3458" t="s">
        <v>3598</v>
      </c>
      <c r="B10" s="3458" t="s">
        <v>3381</v>
      </c>
      <c r="C10" s="3458" t="s">
        <v>3424</v>
      </c>
      <c r="D10" s="3458">
        <v>42276.47</v>
      </c>
      <c r="E10" s="3458">
        <v>84552.93</v>
      </c>
      <c r="F10" s="3458" t="s">
        <v>3599</v>
      </c>
      <c r="G10" s="3458" t="s">
        <v>3425</v>
      </c>
      <c r="H10" s="3458" t="s">
        <v>3584</v>
      </c>
      <c r="I10" s="3458">
        <v>0</v>
      </c>
      <c r="J10" s="3458" t="s">
        <v>3600</v>
      </c>
      <c r="K10" s="3458" t="s">
        <v>3600</v>
      </c>
      <c r="L10" s="3458">
        <v>95000</v>
      </c>
      <c r="M10" s="3458">
        <v>96500</v>
      </c>
      <c r="N10" s="3458">
        <v>11412.97</v>
      </c>
      <c r="O10" s="3458">
        <v>1.58</v>
      </c>
      <c r="P10" s="3458" t="s">
        <v>3601</v>
      </c>
      <c r="Q10" s="3458" t="s">
        <v>3578</v>
      </c>
      <c r="R10" s="3458">
        <v>1</v>
      </c>
      <c r="S10" s="3459">
        <f t="shared" si="4"/>
        <v>0.81079999999999997</v>
      </c>
      <c r="T10" s="3459">
        <f t="shared" ref="T10" si="7">ROUND(N10/S10,0)</f>
        <v>14076</v>
      </c>
      <c r="V10" s="3459">
        <f>V4</f>
        <v>0.71989999999999998</v>
      </c>
      <c r="W10" s="3459">
        <f>ROUND(T10*V10,0)</f>
        <v>10133</v>
      </c>
    </row>
    <row r="11" spans="1:23" s="3522" customFormat="1">
      <c r="A11" s="3521" t="s">
        <v>3602</v>
      </c>
      <c r="B11" s="3521" t="s">
        <v>3381</v>
      </c>
      <c r="C11" s="3521" t="s">
        <v>3424</v>
      </c>
      <c r="D11" s="3521">
        <v>51736.9</v>
      </c>
      <c r="E11" s="3521">
        <v>81600.05</v>
      </c>
      <c r="F11" s="3521" t="s">
        <v>3603</v>
      </c>
      <c r="G11" s="3521" t="s">
        <v>3425</v>
      </c>
      <c r="H11" s="3521" t="s">
        <v>3426</v>
      </c>
      <c r="I11" s="3521">
        <v>0</v>
      </c>
      <c r="J11" s="3521" t="s">
        <v>3604</v>
      </c>
      <c r="K11" s="3521" t="s">
        <v>3604</v>
      </c>
      <c r="L11" s="3521">
        <v>150000</v>
      </c>
      <c r="M11" s="3521">
        <v>150000</v>
      </c>
      <c r="N11" s="3521">
        <v>18382.34</v>
      </c>
      <c r="O11" s="3521">
        <v>0</v>
      </c>
      <c r="P11" s="3521" t="s">
        <v>3605</v>
      </c>
      <c r="Q11" s="3521" t="s">
        <v>3578</v>
      </c>
      <c r="R11" s="3521">
        <v>1</v>
      </c>
      <c r="S11" s="3522">
        <f t="shared" si="4"/>
        <v>0.81079999999999997</v>
      </c>
      <c r="T11" s="3522">
        <f t="shared" ref="T11" si="8">ROUND(N11/S11,0)</f>
        <v>22672</v>
      </c>
    </row>
    <row r="12" spans="1:23" s="3520" customFormat="1">
      <c r="A12" s="3519" t="s">
        <v>3606</v>
      </c>
      <c r="B12" s="3519" t="s">
        <v>3381</v>
      </c>
      <c r="C12" s="3519" t="s">
        <v>3424</v>
      </c>
      <c r="D12" s="3519">
        <v>113768</v>
      </c>
      <c r="E12" s="3519">
        <v>119494</v>
      </c>
      <c r="F12" s="3519">
        <v>1.05</v>
      </c>
      <c r="G12" s="3519" t="s">
        <v>3425</v>
      </c>
      <c r="H12" s="3519" t="s">
        <v>3426</v>
      </c>
      <c r="I12" s="3519">
        <v>0</v>
      </c>
      <c r="J12" s="3519" t="s">
        <v>3607</v>
      </c>
      <c r="K12" s="3519" t="s">
        <v>3607</v>
      </c>
      <c r="L12" s="3519" t="s">
        <v>633</v>
      </c>
      <c r="M12" s="3519">
        <v>74000</v>
      </c>
      <c r="N12" s="3519">
        <v>6192.78</v>
      </c>
      <c r="O12" s="3519" t="s">
        <v>633</v>
      </c>
      <c r="P12" s="3519" t="s">
        <v>3608</v>
      </c>
      <c r="Q12" s="3519" t="s">
        <v>3578</v>
      </c>
      <c r="R12" s="3520">
        <v>1.2116</v>
      </c>
      <c r="S12" s="3520">
        <f t="shared" si="4"/>
        <v>0.98240000000000005</v>
      </c>
      <c r="T12" s="3520">
        <f t="shared" si="5"/>
        <v>6304</v>
      </c>
    </row>
    <row r="13" spans="1:23" s="3522" customFormat="1">
      <c r="A13" s="3521" t="s">
        <v>3609</v>
      </c>
      <c r="B13" s="3521" t="s">
        <v>3381</v>
      </c>
      <c r="C13" s="3521" t="s">
        <v>3424</v>
      </c>
      <c r="D13" s="3521">
        <v>33071.620000000003</v>
      </c>
      <c r="E13" s="3521">
        <v>122423.9</v>
      </c>
      <c r="F13" s="3521">
        <v>3.7</v>
      </c>
      <c r="G13" s="3521" t="s">
        <v>3425</v>
      </c>
      <c r="H13" s="3521" t="s">
        <v>3610</v>
      </c>
      <c r="I13" s="3521">
        <v>0</v>
      </c>
      <c r="J13" s="3521" t="s">
        <v>3611</v>
      </c>
      <c r="K13" s="3521" t="s">
        <v>3611</v>
      </c>
      <c r="L13" s="3521">
        <v>183000</v>
      </c>
      <c r="M13" s="3521">
        <v>183000</v>
      </c>
      <c r="N13" s="3521">
        <v>14948.06</v>
      </c>
      <c r="O13" s="3521">
        <v>0</v>
      </c>
      <c r="P13" s="3521" t="s">
        <v>3612</v>
      </c>
      <c r="Q13" s="3521" t="s">
        <v>3441</v>
      </c>
      <c r="R13" s="3521">
        <v>0.86470000000000002</v>
      </c>
      <c r="S13" s="3522">
        <f t="shared" si="4"/>
        <v>0.70109999999999995</v>
      </c>
      <c r="T13" s="3522">
        <f t="shared" ref="T13" si="9">ROUND(N13/S13,0)</f>
        <v>21321</v>
      </c>
    </row>
    <row r="14" spans="1:23" s="3459" customFormat="1">
      <c r="A14" s="3458" t="s">
        <v>3613</v>
      </c>
      <c r="B14" s="3458" t="s">
        <v>3381</v>
      </c>
      <c r="C14" s="3458" t="s">
        <v>3424</v>
      </c>
      <c r="D14" s="3458">
        <v>18015.060000000001</v>
      </c>
      <c r="E14" s="3458">
        <v>54046</v>
      </c>
      <c r="F14" s="3458">
        <v>3</v>
      </c>
      <c r="G14" s="3458" t="s">
        <v>3425</v>
      </c>
      <c r="H14" s="3458" t="s">
        <v>3584</v>
      </c>
      <c r="I14" s="3458">
        <v>0</v>
      </c>
      <c r="J14" s="3458" t="s">
        <v>3614</v>
      </c>
      <c r="K14" s="3458" t="s">
        <v>3614</v>
      </c>
      <c r="L14" s="3458">
        <v>60000</v>
      </c>
      <c r="M14" s="3458">
        <v>60000</v>
      </c>
      <c r="N14" s="3458">
        <v>11101.65</v>
      </c>
      <c r="O14" s="3458">
        <v>0</v>
      </c>
      <c r="P14" s="3458" t="s">
        <v>3615</v>
      </c>
      <c r="Q14" s="3458" t="s">
        <v>3441</v>
      </c>
      <c r="R14" s="3459">
        <f>R8</f>
        <v>0.90629999999999999</v>
      </c>
      <c r="S14" s="3459">
        <f t="shared" si="4"/>
        <v>0.7349</v>
      </c>
      <c r="T14" s="3459">
        <f t="shared" ref="T14" si="10">ROUND(N14/S14,0)</f>
        <v>15106</v>
      </c>
      <c r="U14" s="3523" t="s">
        <v>3631</v>
      </c>
      <c r="V14" s="3459">
        <f>V4</f>
        <v>0.71989999999999998</v>
      </c>
      <c r="W14" s="3459">
        <f>ROUND(T14*V14,0)</f>
        <v>10875</v>
      </c>
    </row>
    <row r="15" spans="1:23" s="3520" customFormat="1">
      <c r="A15" s="3519" t="s">
        <v>3616</v>
      </c>
      <c r="B15" s="3519" t="s">
        <v>3381</v>
      </c>
      <c r="C15" s="3519" t="s">
        <v>3424</v>
      </c>
      <c r="D15" s="3519">
        <v>5237.16</v>
      </c>
      <c r="E15" s="3519">
        <v>10474</v>
      </c>
      <c r="F15" s="3519">
        <v>2</v>
      </c>
      <c r="G15" s="3519" t="s">
        <v>3425</v>
      </c>
      <c r="H15" s="3519" t="s">
        <v>3617</v>
      </c>
      <c r="I15" s="3519">
        <v>0</v>
      </c>
      <c r="J15" s="3519" t="s">
        <v>3618</v>
      </c>
      <c r="K15" s="3519" t="s">
        <v>3618</v>
      </c>
      <c r="L15" s="3519">
        <v>13000</v>
      </c>
      <c r="M15" s="3519">
        <v>13700</v>
      </c>
      <c r="N15" s="3519">
        <v>13080.01</v>
      </c>
      <c r="O15" s="3519">
        <v>5.38</v>
      </c>
      <c r="P15" s="3519" t="s">
        <v>3619</v>
      </c>
      <c r="Q15" s="3519" t="s">
        <v>3578</v>
      </c>
      <c r="R15" s="3520">
        <v>1</v>
      </c>
      <c r="S15" s="3520">
        <f t="shared" si="4"/>
        <v>0.81079999999999997</v>
      </c>
      <c r="T15" s="3520">
        <f t="shared" si="5"/>
        <v>16132</v>
      </c>
    </row>
    <row r="16" spans="1:23" s="3522" customFormat="1">
      <c r="A16" s="3521" t="s">
        <v>3620</v>
      </c>
      <c r="B16" s="3521" t="s">
        <v>3381</v>
      </c>
      <c r="C16" s="3521" t="s">
        <v>3424</v>
      </c>
      <c r="D16" s="3521">
        <v>66237.2</v>
      </c>
      <c r="E16" s="3521">
        <v>264058.7</v>
      </c>
      <c r="F16" s="3521">
        <v>3.99</v>
      </c>
      <c r="G16" s="3521" t="s">
        <v>3425</v>
      </c>
      <c r="H16" s="3521" t="s">
        <v>3610</v>
      </c>
      <c r="I16" s="3521">
        <v>0</v>
      </c>
      <c r="J16" s="3521" t="s">
        <v>3621</v>
      </c>
      <c r="K16" s="3521" t="s">
        <v>3621</v>
      </c>
      <c r="L16" s="3521">
        <v>385000</v>
      </c>
      <c r="M16" s="3521">
        <v>385000</v>
      </c>
      <c r="N16" s="3521">
        <v>14580.09</v>
      </c>
      <c r="O16" s="3521">
        <v>0</v>
      </c>
      <c r="P16" s="3521" t="s">
        <v>3622</v>
      </c>
      <c r="Q16" s="3521" t="s">
        <v>3578</v>
      </c>
      <c r="R16" s="3522">
        <v>0.85040000000000004</v>
      </c>
      <c r="S16" s="3522">
        <f t="shared" si="4"/>
        <v>0.6895</v>
      </c>
      <c r="T16" s="3522">
        <f t="shared" ref="T16" si="11">ROUND(N16/S16,0)</f>
        <v>21146</v>
      </c>
    </row>
    <row r="18" spans="13:14">
      <c r="M18" s="3461" t="s">
        <v>3623</v>
      </c>
      <c r="N18" s="3519">
        <v>1.2333000000000001</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65" t="s">
        <v>694</v>
      </c>
      <c r="C6" s="1073">
        <f ca="1">ROUND(F6*F8*F7*(1-F9),0)</f>
        <v>0</v>
      </c>
      <c r="D6" s="155" t="s">
        <v>2104</v>
      </c>
      <c r="E6" s="302" t="s">
        <v>696</v>
      </c>
      <c r="F6" s="303">
        <f ca="1">INDIRECT("'数据-取费表'!u"&amp;$G$1)</f>
        <v>0</v>
      </c>
      <c r="G6" s="1382"/>
      <c r="H6" s="1068" t="s">
        <v>398</v>
      </c>
      <c r="I6" s="3765" t="s">
        <v>694</v>
      </c>
      <c r="J6" s="301">
        <f ca="1">ROUND(M6*M8*M7*(1-M9),0)</f>
        <v>0</v>
      </c>
      <c r="K6" s="1374" t="s">
        <v>2105</v>
      </c>
      <c r="L6" s="302" t="s">
        <v>696</v>
      </c>
      <c r="M6" s="303">
        <f ca="1">INDIRECT("'数据-取费表'!z"&amp;$G$1)</f>
        <v>0</v>
      </c>
    </row>
    <row r="7" spans="1:37" ht="18" customHeight="1">
      <c r="A7" s="1072"/>
      <c r="B7" s="3766"/>
      <c r="C7" s="1074"/>
      <c r="D7" s="307"/>
      <c r="E7" s="1075" t="s">
        <v>697</v>
      </c>
      <c r="F7" s="303">
        <f ca="1">IF(INDIRECT("'数据-取费表'!ah"&amp;$G$1)="",INDIRECT("'数据-取费表'!k"&amp;$G$1),INDIRECT("'数据-取费表'!ah"&amp;$G$1))</f>
        <v>0</v>
      </c>
      <c r="G7" s="1382"/>
      <c r="H7" s="304"/>
      <c r="I7" s="3766"/>
      <c r="J7" s="306"/>
      <c r="K7" s="307"/>
      <c r="L7" s="302" t="s">
        <v>697</v>
      </c>
      <c r="M7" s="303">
        <f ca="1">F7</f>
        <v>0</v>
      </c>
    </row>
    <row r="8" spans="1:37" ht="18" customHeight="1">
      <c r="A8" s="304"/>
      <c r="B8" s="3766"/>
      <c r="C8" s="306"/>
      <c r="D8" s="307"/>
      <c r="E8" s="302" t="s">
        <v>698</v>
      </c>
      <c r="F8" s="303">
        <f ca="1">INDIRECT("'数据-取费表'!ai"&amp;$G$1)</f>
        <v>0</v>
      </c>
      <c r="G8" s="1382"/>
      <c r="H8" s="304"/>
      <c r="I8" s="3766"/>
      <c r="J8" s="306"/>
      <c r="K8" s="307"/>
      <c r="L8" s="302" t="s">
        <v>698</v>
      </c>
      <c r="M8" s="303">
        <f ca="1">INDIRECT("'数据-取费表'!ai"&amp;$G$1)</f>
        <v>0</v>
      </c>
    </row>
    <row r="9" spans="1:37" ht="18" customHeight="1">
      <c r="A9" s="304"/>
      <c r="B9" s="3767"/>
      <c r="C9" s="306"/>
      <c r="D9" s="307"/>
      <c r="E9" s="302" t="s">
        <v>699</v>
      </c>
      <c r="F9" s="312">
        <f ca="1">INDIRECT("'数据-取费表'!w"&amp;$G$1)</f>
        <v>0</v>
      </c>
      <c r="G9" s="1382"/>
      <c r="H9" s="304"/>
      <c r="I9" s="3767"/>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0</v>
      </c>
      <c r="D36" s="1342"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ROUND(C13*F37,0)</f>
        <v>0</v>
      </c>
      <c r="D37" s="1342"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3353</v>
      </c>
      <c r="B45" s="1398"/>
      <c r="C45" s="1470" t="e">
        <f ca="1">ROUND((C68-C40)/10000,4)</f>
        <v>#DIV/0!</v>
      </c>
      <c r="D45" s="3428" t="s">
        <v>3354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5">
        <f ca="1">IF(M47="住宅",IF(D1="——",MAX(J51,L48),MAX(J51,L48-'数据-取费表'!B24)),IF(D1="——",MIN(J51,L48),MIN(J51,L48-'数据-取费表'!B24)))</f>
        <v>0</v>
      </c>
      <c r="K53" s="3768" t="s">
        <v>837</v>
      </c>
      <c r="L53" s="3769"/>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3" t="s">
        <v>2316</v>
      </c>
      <c r="B2" s="2839" t="e">
        <f>IF(D2="——",C40,C40+E2)</f>
        <v>#DIV/0!</v>
      </c>
      <c r="C2" s="2840" t="s">
        <v>2317</v>
      </c>
      <c r="D2" s="3439" t="s">
        <v>3360</v>
      </c>
      <c r="E2" s="3440"/>
      <c r="F2" s="2842"/>
      <c r="G2" s="2843"/>
      <c r="H2" s="2844"/>
      <c r="I2" s="2845"/>
      <c r="J2" s="3776" t="s">
        <v>2318</v>
      </c>
      <c r="K2" s="3777"/>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778" t="s">
        <v>2328</v>
      </c>
      <c r="K3" s="3779"/>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778" t="s">
        <v>2330</v>
      </c>
      <c r="K4" s="3779"/>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784" t="s">
        <v>2334</v>
      </c>
      <c r="B6" s="3785"/>
      <c r="C6" s="3786"/>
      <c r="D6" s="2866"/>
      <c r="E6" s="2867"/>
      <c r="F6" s="2868"/>
      <c r="G6" s="2869"/>
      <c r="H6" s="2844"/>
      <c r="I6" s="2845"/>
      <c r="J6" s="3770">
        <v>1</v>
      </c>
      <c r="K6" s="3771"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770"/>
      <c r="K7" s="3772"/>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787" t="s">
        <v>2348</v>
      </c>
      <c r="C8" s="3788"/>
      <c r="D8" s="2885" t="s">
        <v>2349</v>
      </c>
      <c r="E8" s="2886" t="s">
        <v>2350</v>
      </c>
      <c r="F8" s="2887" t="s">
        <v>2351</v>
      </c>
      <c r="G8" s="2888"/>
      <c r="H8" s="2844"/>
      <c r="I8" s="2845"/>
      <c r="J8" s="3770"/>
      <c r="K8" s="3772"/>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787" t="s">
        <v>2354</v>
      </c>
      <c r="C9" s="3788"/>
      <c r="D9" s="2885">
        <f>ROUND(D6*E9,0)</f>
        <v>0</v>
      </c>
      <c r="E9" s="2889"/>
      <c r="F9" s="2890" t="s">
        <v>2355</v>
      </c>
      <c r="G9" s="2869"/>
      <c r="H9" s="2844"/>
      <c r="I9" s="2845"/>
      <c r="J9" s="3770"/>
      <c r="K9" s="3772"/>
      <c r="L9" s="2879" t="s">
        <v>2356</v>
      </c>
      <c r="M9" s="2880"/>
      <c r="N9" s="2856"/>
      <c r="O9" s="2881"/>
      <c r="P9" s="2881"/>
      <c r="Q9" s="2882">
        <v>365</v>
      </c>
      <c r="R9" s="2883">
        <f t="shared" si="0"/>
        <v>0</v>
      </c>
      <c r="S9" s="2837"/>
      <c r="T9" s="2837"/>
      <c r="U9" s="2837"/>
      <c r="V9" s="2845"/>
    </row>
    <row r="10" spans="1:22" s="2849" customFormat="1" ht="13.15" customHeight="1">
      <c r="A10" s="2884">
        <v>2</v>
      </c>
      <c r="B10" s="3787" t="s">
        <v>2357</v>
      </c>
      <c r="C10" s="3788"/>
      <c r="D10" s="2885">
        <f>ROUND(D6*E10,0)</f>
        <v>0</v>
      </c>
      <c r="E10" s="2889"/>
      <c r="F10" s="2890" t="s">
        <v>2358</v>
      </c>
      <c r="G10" s="2869"/>
      <c r="H10" s="2844"/>
      <c r="I10" s="2845"/>
      <c r="J10" s="3770"/>
      <c r="K10" s="3772"/>
      <c r="L10" s="2879" t="s">
        <v>2359</v>
      </c>
      <c r="M10" s="2880"/>
      <c r="N10" s="2856"/>
      <c r="O10" s="2881"/>
      <c r="P10" s="2881"/>
      <c r="Q10" s="2882">
        <v>365</v>
      </c>
      <c r="R10" s="2883">
        <f t="shared" si="0"/>
        <v>0</v>
      </c>
      <c r="S10" s="2837"/>
      <c r="T10" s="2837"/>
      <c r="U10" s="2837"/>
      <c r="V10" s="2845"/>
    </row>
    <row r="11" spans="1:22" s="2849" customFormat="1" ht="13.15" customHeight="1">
      <c r="A11" s="2884">
        <v>3</v>
      </c>
      <c r="B11" s="3787" t="s">
        <v>2360</v>
      </c>
      <c r="C11" s="3788"/>
      <c r="D11" s="2885">
        <f>D12+D14+D15+D16</f>
        <v>0</v>
      </c>
      <c r="E11" s="2891" t="e">
        <f>D11/D6</f>
        <v>#DIV/0!</v>
      </c>
      <c r="F11" s="2887"/>
      <c r="G11" s="2888"/>
      <c r="H11" s="2844"/>
      <c r="I11" s="2845"/>
      <c r="J11" s="3770"/>
      <c r="K11" s="3772"/>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780" t="s">
        <v>2363</v>
      </c>
      <c r="C12" s="3781"/>
      <c r="D12" s="2893">
        <f>ROUND(D13*1.2%*(1-30%),0)</f>
        <v>0</v>
      </c>
      <c r="E12" s="2894">
        <v>1.2E-2</v>
      </c>
      <c r="F12" s="2887" t="s">
        <v>2364</v>
      </c>
      <c r="G12" s="2888"/>
      <c r="H12" s="2844"/>
      <c r="I12" s="2845"/>
      <c r="J12" s="3770"/>
      <c r="K12" s="3772"/>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770"/>
      <c r="K13" s="3772"/>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780" t="s">
        <v>2369</v>
      </c>
      <c r="C14" s="3781"/>
      <c r="D14" s="2893">
        <f>ROUND(E14*B5/10000,0)</f>
        <v>0</v>
      </c>
      <c r="E14" s="2882"/>
      <c r="F14" s="2887" t="s">
        <v>2370</v>
      </c>
      <c r="G14" s="2888"/>
      <c r="H14" s="2844"/>
      <c r="I14" s="2845"/>
      <c r="J14" s="3770"/>
      <c r="K14" s="3773"/>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780" t="s">
        <v>2373</v>
      </c>
      <c r="C15" s="3781"/>
      <c r="D15" s="2893">
        <f>ROUND(D6*E15,0)</f>
        <v>0</v>
      </c>
      <c r="E15" s="2894">
        <v>5.5E-2</v>
      </c>
      <c r="F15" s="2887" t="s">
        <v>2374</v>
      </c>
      <c r="G15" s="2869"/>
      <c r="H15" s="2844"/>
      <c r="I15" s="2845"/>
      <c r="J15" s="3770">
        <v>2</v>
      </c>
      <c r="K15" s="3771"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780" t="s">
        <v>2382</v>
      </c>
      <c r="C16" s="3781"/>
      <c r="D16" s="2904">
        <f>D6*E16</f>
        <v>0</v>
      </c>
      <c r="E16" s="2905"/>
      <c r="F16" s="2890" t="s">
        <v>2383</v>
      </c>
      <c r="G16" s="2869"/>
      <c r="H16" s="2844"/>
      <c r="I16" s="2845"/>
      <c r="J16" s="3770"/>
      <c r="K16" s="3772"/>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782" t="s">
        <v>2385</v>
      </c>
      <c r="C17" s="3783"/>
      <c r="D17" s="2907">
        <f>ROUND(D6*E17,0)</f>
        <v>0</v>
      </c>
      <c r="E17" s="2908"/>
      <c r="F17" s="2909" t="s">
        <v>2386</v>
      </c>
      <c r="G17" s="2869"/>
      <c r="H17" s="2844"/>
      <c r="I17" s="2845"/>
      <c r="J17" s="3770"/>
      <c r="K17" s="3772"/>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770"/>
      <c r="K18" s="3772"/>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770"/>
      <c r="K19" s="3773"/>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0">
        <v>3</v>
      </c>
      <c r="K20" s="3771"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770"/>
      <c r="K21" s="3772"/>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770"/>
      <c r="K22" s="3772"/>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770"/>
      <c r="K23" s="3772"/>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770"/>
      <c r="K24" s="3773"/>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774">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77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776" t="s">
        <v>2318</v>
      </c>
      <c r="K32" s="3777"/>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778" t="s">
        <v>2328</v>
      </c>
      <c r="K33" s="3779"/>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778" t="s">
        <v>2330</v>
      </c>
      <c r="K34" s="377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770">
        <v>1</v>
      </c>
      <c r="K36" s="3771"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770"/>
      <c r="K37" s="3772"/>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0"/>
      <c r="K38" s="3772"/>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770"/>
      <c r="K39" s="3772"/>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770"/>
      <c r="K40" s="3773"/>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4">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77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9:E108"/>
  <sheetViews>
    <sheetView topLeftCell="A73" workbookViewId="0">
      <selection activeCell="P123" sqref="P123"/>
    </sheetView>
  </sheetViews>
  <sheetFormatPr defaultRowHeight="13.5"/>
  <sheetData>
    <row r="99" spans="2:5">
      <c r="B99" s="3461" t="s">
        <v>3506</v>
      </c>
      <c r="D99" s="3461" t="s">
        <v>3508</v>
      </c>
      <c r="E99" s="3461" t="s">
        <v>3509</v>
      </c>
    </row>
    <row r="100" spans="2:5">
      <c r="B100" s="3461" t="s">
        <v>3507</v>
      </c>
      <c r="D100" s="3461">
        <v>40</v>
      </c>
      <c r="E100">
        <v>28750</v>
      </c>
    </row>
    <row r="105" spans="2:5">
      <c r="B105" s="3461" t="s">
        <v>3539</v>
      </c>
      <c r="C105" s="3461" t="s">
        <v>3540</v>
      </c>
    </row>
    <row r="106" spans="2:5">
      <c r="B106" s="3461" t="s">
        <v>3536</v>
      </c>
    </row>
    <row r="107" spans="2:5">
      <c r="B107" s="3461" t="s">
        <v>3537</v>
      </c>
    </row>
    <row r="108" spans="2:5">
      <c r="B108" s="3461" t="s">
        <v>3538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92" t="s">
        <v>2083</v>
      </c>
      <c r="D1" s="3793"/>
      <c r="E1" s="3793"/>
      <c r="F1" s="3793"/>
      <c r="G1" s="3793"/>
      <c r="H1" s="3793"/>
      <c r="I1" s="3793"/>
      <c r="J1" s="3793"/>
      <c r="K1" s="3793"/>
      <c r="L1" s="3793"/>
      <c r="M1" s="3793"/>
      <c r="N1" s="3793"/>
      <c r="O1" s="3793"/>
      <c r="P1" s="3793"/>
      <c r="Q1" s="3793"/>
      <c r="R1" s="3793"/>
      <c r="S1" s="3794"/>
      <c r="T1" s="982" t="s">
        <v>2084</v>
      </c>
    </row>
    <row r="2" spans="1:45" s="655" customFormat="1" ht="38.25">
      <c r="A2" s="983"/>
      <c r="B2" s="651" t="s">
        <v>2085</v>
      </c>
      <c r="C2" s="652" t="str">
        <f t="shared" ref="C2:L2" si="0">C3&amp;"(含)"&amp;"-"&amp;D3</f>
        <v>0(含)-100</v>
      </c>
      <c r="D2" s="653" t="str">
        <f t="shared" si="0"/>
        <v>100(含)-200</v>
      </c>
      <c r="E2" s="653" t="str">
        <f t="shared" si="0"/>
        <v>200(含)-500</v>
      </c>
      <c r="F2" s="653" t="str">
        <f t="shared" si="0"/>
        <v>500(含)-1000</v>
      </c>
      <c r="G2" s="653" t="str">
        <f t="shared" si="0"/>
        <v>1000(含)-3000</v>
      </c>
      <c r="H2" s="653" t="str">
        <f t="shared" si="0"/>
        <v>3000(含)-6000</v>
      </c>
      <c r="I2" s="653" t="str">
        <f t="shared" si="0"/>
        <v>6000(含)-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1000</v>
      </c>
      <c r="H3" s="657">
        <f>'比较法-商业'!H103</f>
        <v>3000</v>
      </c>
      <c r="I3" s="657">
        <f>'比较法-商业'!I103</f>
        <v>6000</v>
      </c>
      <c r="J3" s="657"/>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97</v>
      </c>
      <c r="E4" s="657">
        <f>'比较法-商业'!E104</f>
        <v>94</v>
      </c>
      <c r="F4" s="657">
        <f>'比较法-商业'!F104</f>
        <v>91</v>
      </c>
      <c r="G4" s="657">
        <f>'比较法-商业'!G104</f>
        <v>88</v>
      </c>
      <c r="H4" s="657">
        <f>'比较法-商业'!H104</f>
        <v>85</v>
      </c>
      <c r="I4" s="657">
        <f>'比较法-商业'!I104</f>
        <v>82</v>
      </c>
      <c r="J4" s="65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2092</v>
      </c>
      <c r="B17" s="2146" t="s">
        <v>2093</v>
      </c>
      <c r="C17" s="1009">
        <v>1</v>
      </c>
      <c r="D17" s="1010">
        <v>2</v>
      </c>
      <c r="E17" s="1010">
        <v>3</v>
      </c>
      <c r="F17" s="1010">
        <v>-1</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v>60</v>
      </c>
      <c r="F18" s="1022">
        <v>20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8"/>
      <c r="F19" s="1338"/>
      <c r="G19" s="1338"/>
      <c r="H19" s="1058"/>
      <c r="I19" s="159"/>
      <c r="J19" s="159"/>
      <c r="K19" s="159"/>
      <c r="L19" s="159"/>
      <c r="M19" s="159"/>
      <c r="N19" s="159"/>
      <c r="O19" s="159"/>
      <c r="P19" s="159"/>
      <c r="Q19" s="159"/>
      <c r="R19" s="717"/>
      <c r="S19" s="129"/>
    </row>
    <row r="20" spans="1:45" ht="16.5" thickBot="1">
      <c r="A20" s="661" t="s">
        <v>2095</v>
      </c>
      <c r="B20" s="294">
        <f>IF(D20="——",S22,S22-F20)</f>
        <v>30954</v>
      </c>
      <c r="C20" s="159"/>
      <c r="D20" s="2148" t="s">
        <v>43</v>
      </c>
      <c r="E20" s="1339"/>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f>ROUND(B20*10000/B22,0)</f>
        <v>15428</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20062.899999999998</v>
      </c>
      <c r="C22" s="3789" t="s">
        <v>27</v>
      </c>
      <c r="D22" s="3790"/>
      <c r="E22" s="3790"/>
      <c r="F22" s="3790"/>
      <c r="G22" s="3790"/>
      <c r="H22" s="3790"/>
      <c r="I22" s="3790"/>
      <c r="J22" s="3790"/>
      <c r="K22" s="3790"/>
      <c r="L22" s="3790"/>
      <c r="M22" s="3790"/>
      <c r="N22" s="3790"/>
      <c r="O22" s="3790"/>
      <c r="P22" s="3790"/>
      <c r="Q22" s="3791"/>
      <c r="R22" s="662">
        <f>ROUND(S22*10000/B22,0)</f>
        <v>15428</v>
      </c>
      <c r="S22" s="21">
        <f>SUM(S24:S10000)</f>
        <v>30954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3517</v>
      </c>
      <c r="B24" s="3503">
        <f>'数据-取费表'!V23</f>
        <v>5637.5</v>
      </c>
      <c r="C24" s="2806">
        <v>1</v>
      </c>
      <c r="D24" s="2807"/>
      <c r="E24" s="2806">
        <v>1</v>
      </c>
      <c r="F24" s="2807"/>
      <c r="G24" s="2806">
        <v>1</v>
      </c>
      <c r="H24" s="2807"/>
      <c r="I24" s="2806">
        <v>1</v>
      </c>
      <c r="J24" s="2807"/>
      <c r="K24" s="2806">
        <v>1</v>
      </c>
      <c r="L24" s="2807"/>
      <c r="M24" s="2806">
        <v>1</v>
      </c>
      <c r="N24" s="2807"/>
      <c r="O24" s="2806">
        <v>1</v>
      </c>
      <c r="P24" s="2807">
        <v>1</v>
      </c>
      <c r="Q24" s="2806">
        <v>1</v>
      </c>
      <c r="R24" s="667">
        <f>'比较法-商业'!C49</f>
        <v>22640</v>
      </c>
      <c r="S24" s="665">
        <f t="shared" ref="S24:S54" si="11">ROUND(R24*B24/10000,0)</f>
        <v>12763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3518</v>
      </c>
      <c r="B25" s="3503">
        <f>'数据-取费表'!V24</f>
        <v>6456.64</v>
      </c>
      <c r="C25" s="21">
        <f>IF(B25="",1,(LOOKUP(B25,$3:$3,$4:$4)-LOOKUP($B$24,$3:$3,$4:$4)+100)/100)</f>
        <v>0.97</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15373</v>
      </c>
      <c r="S25" s="316">
        <f t="shared" si="11"/>
        <v>9926</v>
      </c>
    </row>
    <row r="26" spans="1:45">
      <c r="A26" s="150" t="s">
        <v>3519</v>
      </c>
      <c r="B26" s="3503">
        <f>'数据-取费表'!V25</f>
        <v>5099.4799999999996</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v>3</v>
      </c>
      <c r="Q26" s="21">
        <f t="shared" ref="Q26:Q89" si="19">(SUMIF($17:$17,P26,$18:$18)-SUMIF($17:$17,$P$24,$18:$18)+100)/100</f>
        <v>0.6</v>
      </c>
      <c r="R26" s="662">
        <f t="shared" ref="R26:R89" si="20">IF(B26="",0,ROUND($R$24*C26*E26*G26*I26*K26*M26*O26*Q26,0))</f>
        <v>13584</v>
      </c>
      <c r="S26" s="316">
        <f t="shared" si="11"/>
        <v>6927</v>
      </c>
    </row>
    <row r="27" spans="1:45">
      <c r="A27" s="150" t="s">
        <v>3520</v>
      </c>
      <c r="B27" s="54">
        <f>'数据-取费表'!V22</f>
        <v>2869.28</v>
      </c>
      <c r="C27" s="21">
        <f t="shared" si="12"/>
        <v>1.03</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v>-1</v>
      </c>
      <c r="Q27" s="21">
        <f t="shared" si="19"/>
        <v>0.2</v>
      </c>
      <c r="R27" s="662">
        <f t="shared" si="20"/>
        <v>4664</v>
      </c>
      <c r="S27" s="316">
        <f t="shared" si="11"/>
        <v>1338</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2023年5月22日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16158</v>
      </c>
      <c r="C2" s="1870" t="s">
        <v>1651</v>
      </c>
      <c r="D2" s="1871" t="s">
        <v>1652</v>
      </c>
      <c r="E2" s="2604">
        <f>SUM(E6:E13)</f>
        <v>20062.899999999998</v>
      </c>
      <c r="F2" s="2704"/>
      <c r="G2" s="1487"/>
      <c r="H2" s="1487"/>
      <c r="I2" s="1487"/>
      <c r="J2" s="1487"/>
      <c r="K2" s="1487"/>
      <c r="L2" s="1487"/>
      <c r="M2" s="1487"/>
      <c r="N2" s="1487"/>
      <c r="O2" s="1487"/>
      <c r="P2" s="1487"/>
      <c r="Q2" s="1487"/>
      <c r="R2" s="1487"/>
      <c r="S2" s="1487"/>
    </row>
    <row r="3" spans="1:22" ht="15.75">
      <c r="A3" s="1868" t="s">
        <v>686</v>
      </c>
      <c r="B3" s="2598">
        <f ca="1">ROUND(B2*10000/E2,0)</f>
        <v>8054</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95" t="s">
        <v>1654</v>
      </c>
      <c r="C5" s="3796"/>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16158</v>
      </c>
      <c r="C6" s="1870" t="s">
        <v>1651</v>
      </c>
      <c r="D6" s="2706"/>
      <c r="E6" s="2603">
        <f>IF(OR(A6=0,F6="否"),0,'数据-取费表'!K6+'数据-取费表'!S6)</f>
        <v>20062.899999999998</v>
      </c>
      <c r="F6" s="1874" t="s">
        <v>1657</v>
      </c>
      <c r="G6" s="1487"/>
      <c r="H6" s="1487"/>
      <c r="I6" s="1487"/>
      <c r="J6" s="1487"/>
      <c r="K6" s="1487"/>
      <c r="L6" s="1487"/>
      <c r="M6" s="1487"/>
      <c r="N6" s="1487"/>
      <c r="O6" s="1487"/>
      <c r="P6" s="1487"/>
      <c r="Q6" s="1487"/>
      <c r="R6" s="1487"/>
      <c r="S6" s="1487"/>
    </row>
    <row r="7" spans="1:22">
      <c r="A7" s="2601">
        <f>'数据-取费表'!AN7</f>
        <v>0</v>
      </c>
      <c r="B7" s="2599">
        <f>IF(F7="是",'数据-取费表'!AO7,0)</f>
        <v>0</v>
      </c>
      <c r="C7" s="1870" t="s">
        <v>1651</v>
      </c>
      <c r="D7" s="2706"/>
      <c r="E7" s="2603">
        <f>IF(OR(A7=0,F7="否"),0,'数据-取费表'!K7+'数据-取费表'!S7)</f>
        <v>0</v>
      </c>
      <c r="F7" s="1874" t="s">
        <v>3399</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v>25000</v>
      </c>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f ca="1">B2</f>
        <v>16158</v>
      </c>
      <c r="E20" s="1487">
        <v>0.3</v>
      </c>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f ca="1">(D19-D20*E20)/E21</f>
        <v>28789.428571428572</v>
      </c>
      <c r="E21" s="1487">
        <v>0.7</v>
      </c>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f ca="1">D21/E2</f>
        <v>1.4349584841388121</v>
      </c>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18.84</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16158</v>
      </c>
      <c r="C2" s="1385" t="s">
        <v>805</v>
      </c>
      <c r="D2" s="1385"/>
      <c r="E2" s="1386"/>
      <c r="F2" s="1387"/>
      <c r="G2" s="2703"/>
      <c r="H2" s="2692"/>
      <c r="I2" s="2692"/>
      <c r="J2" s="2692"/>
      <c r="K2" s="2693"/>
      <c r="L2" s="2692"/>
      <c r="M2" s="2692"/>
    </row>
    <row r="3" spans="1:37" ht="18" customHeight="1" thickBot="1">
      <c r="A3" s="1388" t="s">
        <v>806</v>
      </c>
      <c r="B3" s="1389">
        <f ca="1">IF(ISERROR(B2*10000/F43),0,ROUND(B2*10000/F43,0))</f>
        <v>8054</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1320</v>
      </c>
      <c r="D5" s="1362" t="s">
        <v>693</v>
      </c>
      <c r="E5" s="1070"/>
      <c r="F5" s="1071"/>
      <c r="G5" s="1382"/>
      <c r="H5" s="299">
        <v>1</v>
      </c>
      <c r="I5" s="300" t="s">
        <v>692</v>
      </c>
      <c r="J5" s="1069">
        <f ca="1">J6+J10+J12</f>
        <v>0</v>
      </c>
      <c r="K5" s="1362" t="s">
        <v>693</v>
      </c>
      <c r="L5" s="1070"/>
      <c r="M5" s="1071"/>
    </row>
    <row r="6" spans="1:37" ht="18" customHeight="1">
      <c r="A6" s="1068" t="s">
        <v>398</v>
      </c>
      <c r="B6" s="3765" t="s">
        <v>694</v>
      </c>
      <c r="C6" s="1073">
        <f ca="1">ROUND(F6*F8*F7*(1-F9)/10000,0)</f>
        <v>1318</v>
      </c>
      <c r="D6" s="155" t="s">
        <v>2107</v>
      </c>
      <c r="E6" s="302" t="s">
        <v>696</v>
      </c>
      <c r="F6" s="303">
        <f ca="1">INDIRECT("'数据-取费表'!u"&amp;$G$1)</f>
        <v>2</v>
      </c>
      <c r="G6" s="1382"/>
      <c r="H6" s="1068" t="s">
        <v>398</v>
      </c>
      <c r="I6" s="3765" t="s">
        <v>694</v>
      </c>
      <c r="J6" s="301">
        <f ca="1">ROUND(M6*M8*M7*(1-M9)/10000,0)</f>
        <v>0</v>
      </c>
      <c r="K6" s="155" t="s">
        <v>2106</v>
      </c>
      <c r="L6" s="302" t="s">
        <v>696</v>
      </c>
      <c r="M6" s="303">
        <f ca="1">INDIRECT("'数据-取费表'!z"&amp;$G$1)</f>
        <v>0</v>
      </c>
    </row>
    <row r="7" spans="1:37" ht="18" customHeight="1">
      <c r="A7" s="1072"/>
      <c r="B7" s="3766"/>
      <c r="C7" s="1074"/>
      <c r="D7" s="307"/>
      <c r="E7" s="1075" t="s">
        <v>697</v>
      </c>
      <c r="F7" s="303">
        <f ca="1">IF(INDIRECT("'数据-取费表'!ah"&amp;$G$1)="",INDIRECT("'数据-取费表'!k"&amp;$G$1),INDIRECT("'数据-取费表'!ah"&amp;$G$1))</f>
        <v>20062.899999999998</v>
      </c>
      <c r="G7" s="1382"/>
      <c r="H7" s="304"/>
      <c r="I7" s="3766"/>
      <c r="J7" s="306"/>
      <c r="K7" s="307"/>
      <c r="L7" s="302" t="s">
        <v>697</v>
      </c>
      <c r="M7" s="303">
        <f ca="1">F7</f>
        <v>20062.899999999998</v>
      </c>
    </row>
    <row r="8" spans="1:37" ht="18" customHeight="1">
      <c r="A8" s="304"/>
      <c r="B8" s="3766"/>
      <c r="C8" s="306"/>
      <c r="D8" s="307"/>
      <c r="E8" s="302" t="s">
        <v>698</v>
      </c>
      <c r="F8" s="303">
        <f ca="1">INDIRECT("'数据-取费表'!ai"&amp;$G$1)</f>
        <v>365</v>
      </c>
      <c r="G8" s="1382"/>
      <c r="H8" s="304"/>
      <c r="I8" s="3766"/>
      <c r="J8" s="306"/>
      <c r="K8" s="307"/>
      <c r="L8" s="302" t="s">
        <v>698</v>
      </c>
      <c r="M8" s="303">
        <f ca="1">INDIRECT("'数据-取费表'!ai"&amp;$G$1)</f>
        <v>365</v>
      </c>
    </row>
    <row r="9" spans="1:37" ht="18" customHeight="1">
      <c r="A9" s="304"/>
      <c r="B9" s="3767"/>
      <c r="C9" s="306"/>
      <c r="D9" s="307"/>
      <c r="E9" s="302" t="s">
        <v>699</v>
      </c>
      <c r="F9" s="312">
        <f ca="1">INDIRECT("'数据-取费表'!w"&amp;$G$1)</f>
        <v>0.1</v>
      </c>
      <c r="G9" s="1382"/>
      <c r="H9" s="304"/>
      <c r="I9" s="3767"/>
      <c r="J9" s="306"/>
      <c r="K9" s="307"/>
      <c r="L9" s="313" t="s">
        <v>699</v>
      </c>
      <c r="M9" s="314">
        <f ca="1">INDIRECT("'数据-取费表'!ab"&amp;$G$1)</f>
        <v>0</v>
      </c>
    </row>
    <row r="10" spans="1:37" ht="18" customHeight="1">
      <c r="A10" s="1068" t="s">
        <v>402</v>
      </c>
      <c r="B10" s="1363" t="s">
        <v>700</v>
      </c>
      <c r="C10" s="316">
        <f ca="1">ROUND(IF(F10="押一",C6/12*F11,IF(F10="押二",C6/12*2*F11,IF(F10="押三",C6/12*3*F11,C11*F11))),0)</f>
        <v>2</v>
      </c>
      <c r="D10" s="1364" t="s">
        <v>2115</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11201</v>
      </c>
      <c r="D13" s="1080" t="s">
        <v>705</v>
      </c>
      <c r="E13" s="1080" t="s">
        <v>706</v>
      </c>
      <c r="F13" s="1081">
        <f ca="1">INDIRECT("'数据-取费表'!y"&amp;$G$1)</f>
        <v>0.75</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10031</v>
      </c>
      <c r="D14" s="1343" t="s">
        <v>708</v>
      </c>
      <c r="E14" s="1340"/>
      <c r="F14" s="319"/>
      <c r="G14" s="1382"/>
      <c r="H14" s="981" t="s">
        <v>398</v>
      </c>
      <c r="I14" s="302" t="s">
        <v>709</v>
      </c>
      <c r="J14" s="21">
        <f ca="1">C29</f>
        <v>14935</v>
      </c>
      <c r="K14" s="12"/>
      <c r="L14" s="806"/>
      <c r="M14" s="807"/>
    </row>
    <row r="15" spans="1:37" s="1395" customFormat="1" ht="18" customHeight="1" thickBot="1">
      <c r="A15" s="981" t="s">
        <v>399</v>
      </c>
      <c r="B15" s="302" t="s">
        <v>710</v>
      </c>
      <c r="C15" s="21">
        <f ca="1">ROUND(C14*F15,0)</f>
        <v>301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76</v>
      </c>
      <c r="K16" s="1086" t="s">
        <v>715</v>
      </c>
      <c r="L16" s="1087"/>
      <c r="M16" s="1071"/>
    </row>
    <row r="17" spans="1:37" s="1395" customFormat="1" ht="18" customHeight="1">
      <c r="A17" s="981" t="s">
        <v>681</v>
      </c>
      <c r="B17" s="302" t="s">
        <v>716</v>
      </c>
      <c r="C17" s="21">
        <f ca="1">ROUND(F17*(F43+INDIRECT("'数据-取费表'!S"&amp;$G$1))/10000,0)</f>
        <v>401</v>
      </c>
      <c r="D17" s="302" t="s">
        <v>717</v>
      </c>
      <c r="E17" s="302" t="s">
        <v>718</v>
      </c>
      <c r="F17" s="23">
        <f>'数据-取费表'!B35</f>
        <v>200</v>
      </c>
      <c r="G17" s="1394"/>
      <c r="H17" s="981" t="s">
        <v>398</v>
      </c>
      <c r="I17" s="302" t="s">
        <v>719</v>
      </c>
      <c r="J17" s="2313">
        <f ca="1">ROUND(IF(AND(项目基本情况!B11="自然人",项目基本情况!B10="北京市"),J6*M17/(1+'数据-取费表'!C42),J18+J19+J20),2)</f>
        <v>1.56</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150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10883</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218</v>
      </c>
      <c r="D20" s="323" t="s">
        <v>729</v>
      </c>
      <c r="E20" s="302" t="s">
        <v>712</v>
      </c>
      <c r="F20" s="322">
        <f>'数据-取费表'!B37</f>
        <v>0.02</v>
      </c>
      <c r="G20" s="1394"/>
      <c r="H20" s="981" t="s">
        <v>680</v>
      </c>
      <c r="I20" s="155" t="s">
        <v>730</v>
      </c>
      <c r="J20" s="22">
        <f ca="1">ROUND(M20*M21/10000,2)</f>
        <v>1.56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10405.33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74.680000000000007</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461</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-76</v>
      </c>
      <c r="K25" s="1094" t="s">
        <v>753</v>
      </c>
      <c r="L25" s="1095"/>
      <c r="M25" s="1096"/>
    </row>
    <row r="26" spans="1:37">
      <c r="A26" s="981" t="s">
        <v>397</v>
      </c>
      <c r="B26" s="302" t="s">
        <v>754</v>
      </c>
      <c r="C26" s="21">
        <f ca="1">ROUND((C19+C20)*F26,0)</f>
        <v>2220</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14935</v>
      </c>
      <c r="D29" s="1091"/>
      <c r="E29" s="1089"/>
      <c r="F29" s="1092"/>
      <c r="G29" s="1394"/>
      <c r="H29" s="334" t="s">
        <v>396</v>
      </c>
      <c r="I29" s="335" t="s">
        <v>768</v>
      </c>
      <c r="J29" s="336">
        <f ca="1">ROUND(J26/(1+F40)^F41,0)</f>
        <v>0</v>
      </c>
      <c r="K29" s="337" t="s">
        <v>769</v>
      </c>
      <c r="L29" s="338"/>
      <c r="M29" s="339">
        <f ca="1">INDIRECT("'数据-取费表'!k"&amp;$G$1)</f>
        <v>20062.899999999998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314</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221.23</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69.040000000000006</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150.63</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1.56</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10405.33</v>
      </c>
      <c r="G35" s="1382"/>
      <c r="H35" s="2694"/>
      <c r="I35" s="1396"/>
      <c r="J35" s="1397"/>
      <c r="K35" s="2698"/>
      <c r="L35" s="2697"/>
      <c r="M35" s="2697"/>
    </row>
    <row r="36" spans="1:18" ht="18" customHeight="1">
      <c r="A36" s="1101" t="s">
        <v>402</v>
      </c>
      <c r="B36" s="302" t="s">
        <v>738</v>
      </c>
      <c r="C36" s="21">
        <f ca="1">ROUND(C29*F36,2)</f>
        <v>74.680000000000007</v>
      </c>
      <c r="D36" s="1342" t="s">
        <v>771</v>
      </c>
      <c r="E36" s="302" t="s">
        <v>712</v>
      </c>
      <c r="F36" s="328">
        <f ca="1">INDIRECT("'数据-取费表'!Ak"&amp;$G$1)</f>
        <v>5.0000000000000001E-3</v>
      </c>
      <c r="G36" s="1382"/>
      <c r="H36" s="2697"/>
      <c r="I36" s="1396"/>
      <c r="J36" s="1397"/>
      <c r="K36" s="2541"/>
      <c r="L36" s="2697"/>
      <c r="M36" s="2697"/>
    </row>
    <row r="37" spans="1:18" ht="18" customHeight="1">
      <c r="A37" s="981" t="s">
        <v>437</v>
      </c>
      <c r="B37" s="302" t="s">
        <v>742</v>
      </c>
      <c r="C37" s="21">
        <f ca="1">ROUND(C13*F37,2)</f>
        <v>11.2</v>
      </c>
      <c r="D37" s="1342" t="s">
        <v>743</v>
      </c>
      <c r="E37" s="302" t="s">
        <v>744</v>
      </c>
      <c r="F37" s="330">
        <f ca="1">INDIRECT("'数据-取费表'!Al"&amp;$G$1)</f>
        <v>1E-3</v>
      </c>
      <c r="G37" s="1382"/>
      <c r="H37" s="2697"/>
      <c r="I37" s="1396"/>
      <c r="J37" s="1397"/>
      <c r="K37" s="2541"/>
      <c r="L37" s="2697"/>
      <c r="M37" s="2697"/>
    </row>
    <row r="38" spans="1:18" ht="18" customHeight="1" thickBot="1">
      <c r="A38" s="1088" t="s">
        <v>684</v>
      </c>
      <c r="B38" s="1089" t="s">
        <v>728</v>
      </c>
      <c r="C38" s="1090">
        <f ca="1">ROUND(C5*F38,2)</f>
        <v>6.6</v>
      </c>
      <c r="D38" s="1091" t="s">
        <v>748</v>
      </c>
      <c r="E38" s="1089" t="s">
        <v>744</v>
      </c>
      <c r="F38" s="1085">
        <f ca="1">INDIRECT("'数据-取费表'!Am"&amp;$G$1)</f>
        <v>5.0000000000000001E-3</v>
      </c>
      <c r="G38" s="1382"/>
      <c r="H38" s="2697"/>
      <c r="I38" s="1396"/>
      <c r="J38" s="1397"/>
      <c r="K38" s="2701"/>
      <c r="L38" s="2697"/>
      <c r="M38" s="2697"/>
    </row>
    <row r="39" spans="1:18" ht="24.6" customHeight="1" thickTop="1">
      <c r="A39" s="1078" t="s">
        <v>394</v>
      </c>
      <c r="B39" s="1093" t="s">
        <v>772</v>
      </c>
      <c r="C39" s="310">
        <f ca="1">C5-C30</f>
        <v>1006</v>
      </c>
      <c r="D39" s="1094" t="s">
        <v>773</v>
      </c>
      <c r="E39" s="1095"/>
      <c r="F39" s="1096"/>
      <c r="G39" s="1382"/>
      <c r="H39" s="2697">
        <f ca="1">C39/C5</f>
        <v>0.76212121212121209</v>
      </c>
      <c r="I39" s="1396"/>
      <c r="J39" s="1397"/>
      <c r="K39" s="2701"/>
      <c r="L39" s="2697"/>
      <c r="M39" s="2697"/>
    </row>
    <row r="40" spans="1:18" ht="18" customHeight="1">
      <c r="A40" s="299" t="s">
        <v>395</v>
      </c>
      <c r="B40" s="300" t="s">
        <v>774</v>
      </c>
      <c r="C40" s="301">
        <f ca="1">ROUND(C39*(1-((1+F42)/(1+F40))^F41)/(F40-F42),0)</f>
        <v>14629</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18.84</v>
      </c>
      <c r="G41" s="1382"/>
      <c r="H41" s="1189"/>
      <c r="I41" s="1396"/>
      <c r="J41" s="1397"/>
      <c r="K41" s="2541"/>
      <c r="L41" s="1189"/>
      <c r="M41" s="1189"/>
    </row>
    <row r="42" spans="1:18" ht="18" customHeight="1">
      <c r="A42" s="308"/>
      <c r="B42" s="309"/>
      <c r="C42" s="310"/>
      <c r="D42" s="327"/>
      <c r="E42" s="302" t="s">
        <v>766</v>
      </c>
      <c r="F42" s="312">
        <f ca="1">INDIRECT("'数据-取费表'!v"&amp;$G$1)</f>
        <v>0.03</v>
      </c>
      <c r="G42" s="1382"/>
      <c r="H42" s="1189"/>
      <c r="I42" s="1396"/>
      <c r="J42" s="1397"/>
      <c r="K42" s="2541"/>
      <c r="L42" s="1189"/>
      <c r="M42" s="1189"/>
    </row>
    <row r="43" spans="1:18" ht="18" customHeight="1" thickBot="1">
      <c r="A43" s="334" t="s">
        <v>396</v>
      </c>
      <c r="B43" s="335" t="s">
        <v>776</v>
      </c>
      <c r="C43" s="336">
        <f ca="1">ROUND(C40*10000/F43,0)</f>
        <v>7292</v>
      </c>
      <c r="D43" s="337" t="s">
        <v>777</v>
      </c>
      <c r="E43" s="338" t="s">
        <v>778</v>
      </c>
      <c r="F43" s="339">
        <f ca="1">INDIRECT("'数据-取费表'!k"&amp;$G$1)</f>
        <v>20062.899999999998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-15645</v>
      </c>
      <c r="D46" s="1404" t="str">
        <f>C2</f>
        <v>万元</v>
      </c>
      <c r="E46" s="1398"/>
      <c r="F46" s="1398"/>
      <c r="I46" s="1405" t="s">
        <v>810</v>
      </c>
      <c r="J46" s="1406"/>
      <c r="K46" s="1407"/>
      <c r="L46" s="1408">
        <f ca="1">IF(M47="住宅",0,IF(L48&gt;J51,L60,J60))</f>
        <v>1529</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f ca="1">INDIRECT("'数据-取费表'!d"&amp;$G$1)</f>
        <v>40</v>
      </c>
      <c r="M47" s="1378" t="str">
        <f>IF(ISNUMBER(FIND("住宅",C1)),"住宅","非住宅")</f>
        <v>非住宅</v>
      </c>
      <c r="O47" s="1416" t="s">
        <v>403</v>
      </c>
      <c r="P47" s="1417" t="s">
        <v>817</v>
      </c>
      <c r="Q47" s="1418">
        <f ca="1">C40+J29</f>
        <v>14629</v>
      </c>
      <c r="R47" s="1418" t="s">
        <v>818</v>
      </c>
    </row>
    <row r="48" spans="1:18" s="1382" customFormat="1" ht="28.5" thickBot="1">
      <c r="A48" s="1109" t="s">
        <v>438</v>
      </c>
      <c r="B48" s="300" t="s">
        <v>692</v>
      </c>
      <c r="C48" s="1357">
        <f ca="1">C49+C53+C55</f>
        <v>0</v>
      </c>
      <c r="D48" s="1111"/>
      <c r="E48" s="1112"/>
      <c r="F48" s="961"/>
      <c r="G48" s="721"/>
      <c r="H48" s="722"/>
      <c r="I48" s="1419" t="s">
        <v>819</v>
      </c>
      <c r="J48" s="1420" t="s">
        <v>3398</v>
      </c>
      <c r="K48" s="1421" t="s">
        <v>820</v>
      </c>
      <c r="L48" s="1422">
        <f ca="1">INDIRECT("'数据-取费表'!f"&amp;$G$1)</f>
        <v>18.84</v>
      </c>
      <c r="O48" s="1416" t="s">
        <v>404</v>
      </c>
      <c r="P48" s="1417" t="s">
        <v>821</v>
      </c>
      <c r="Q48" s="1418">
        <f ca="1">J60</f>
        <v>1529</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v>2005</v>
      </c>
      <c r="K49" s="1421" t="s">
        <v>824</v>
      </c>
      <c r="L49" s="1425"/>
      <c r="O49" s="1426" t="s">
        <v>405</v>
      </c>
      <c r="P49" s="1417" t="s">
        <v>825</v>
      </c>
      <c r="Q49" s="1418">
        <f ca="1">C29</f>
        <v>14935</v>
      </c>
      <c r="R49" s="1418" t="s">
        <v>818</v>
      </c>
    </row>
    <row r="50" spans="1:18" s="1382" customFormat="1" ht="13.5" thickBot="1">
      <c r="A50" s="975"/>
      <c r="B50" s="978"/>
      <c r="C50" s="1117"/>
      <c r="D50" s="952"/>
      <c r="E50" s="1055" t="s">
        <v>697</v>
      </c>
      <c r="F50" s="1056">
        <f ca="1">F7</f>
        <v>20062.899999999998</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2891</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18.84</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18.84</v>
      </c>
      <c r="K53" s="3768" t="s">
        <v>837</v>
      </c>
      <c r="L53" s="3769"/>
      <c r="O53" s="1416" t="s">
        <v>409</v>
      </c>
      <c r="P53" s="1417" t="s">
        <v>838</v>
      </c>
      <c r="Q53" s="1418">
        <f ca="1">Q47+Q48</f>
        <v>16158</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0.38600000000000001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11201</v>
      </c>
      <c r="D56" s="1445"/>
      <c r="E56" s="1446"/>
      <c r="F56" s="1438"/>
      <c r="I56" s="1447" t="s">
        <v>842</v>
      </c>
      <c r="J56" s="1448" t="s">
        <v>3399</v>
      </c>
      <c r="K56" s="1419" t="s">
        <v>843</v>
      </c>
      <c r="L56" s="1422" t="str">
        <f ca="1">IF(L48&lt;J51,"——",L48-J53)</f>
        <v>——</v>
      </c>
      <c r="O56" s="1416" t="s">
        <v>403</v>
      </c>
      <c r="P56" s="1417" t="s">
        <v>817</v>
      </c>
      <c r="Q56" s="1418">
        <f ca="1">C40+J29</f>
        <v>14629</v>
      </c>
      <c r="R56" s="1418" t="s">
        <v>818</v>
      </c>
    </row>
    <row r="57" spans="1:18" s="1382" customFormat="1" ht="24.75" thickBot="1">
      <c r="A57" s="1449"/>
      <c r="B57" s="949" t="s">
        <v>767</v>
      </c>
      <c r="C57" s="238">
        <f ca="1">C29</f>
        <v>14935</v>
      </c>
      <c r="D57" s="1450"/>
      <c r="E57" s="1451"/>
      <c r="F57" s="1452"/>
      <c r="I57" s="1453" t="s">
        <v>844</v>
      </c>
      <c r="J57" s="1454">
        <f ca="1">IF(OR(M47="住宅",J51&lt;L48,J56="是"),"——",J51-L48)</f>
        <v>23.16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88</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2</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5974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1529</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1.56</v>
      </c>
      <c r="D62" s="964" t="s">
        <v>786</v>
      </c>
      <c r="E62" s="949" t="s">
        <v>787</v>
      </c>
      <c r="F62" s="325">
        <f t="shared" si="0"/>
        <v>1.5</v>
      </c>
      <c r="I62" s="1460" t="s">
        <v>858</v>
      </c>
      <c r="J62" s="1461" t="s">
        <v>859</v>
      </c>
      <c r="K62" s="1461" t="s">
        <v>860</v>
      </c>
      <c r="L62" s="1461" t="s">
        <v>861</v>
      </c>
      <c r="M62" s="1462" t="s">
        <v>862</v>
      </c>
      <c r="O62" s="1416" t="s">
        <v>409</v>
      </c>
      <c r="P62" s="1417" t="s">
        <v>863</v>
      </c>
      <c r="Q62" s="1418">
        <f ca="1">Q56+Q57</f>
        <v>14629</v>
      </c>
      <c r="R62" s="1418" t="s">
        <v>410</v>
      </c>
    </row>
    <row r="63" spans="1:18" s="1382" customFormat="1" ht="13.5" thickBot="1">
      <c r="A63" s="326"/>
      <c r="B63" s="955"/>
      <c r="C63" s="26"/>
      <c r="D63" s="965"/>
      <c r="E63" s="949" t="s">
        <v>788</v>
      </c>
      <c r="F63" s="303">
        <f t="shared" ca="1" si="0"/>
        <v>10405.33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74.680000000000007</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11.2</v>
      </c>
      <c r="D65" s="963" t="s">
        <v>743</v>
      </c>
      <c r="E65" s="949" t="s">
        <v>744</v>
      </c>
      <c r="F65" s="330">
        <f t="shared" ca="1" si="0"/>
        <v>1E-3</v>
      </c>
      <c r="I65" s="1460" t="s">
        <v>867</v>
      </c>
      <c r="J65" s="1461">
        <v>40</v>
      </c>
      <c r="K65" s="1461">
        <v>30</v>
      </c>
      <c r="L65" s="1461">
        <v>50</v>
      </c>
      <c r="M65" s="1463">
        <v>0.02</v>
      </c>
      <c r="O65" s="1416" t="s">
        <v>403</v>
      </c>
      <c r="P65" s="1417" t="s">
        <v>868</v>
      </c>
      <c r="Q65" s="1418">
        <f ca="1">C40+J29</f>
        <v>14629</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-88</v>
      </c>
      <c r="D67" s="962" t="s">
        <v>753</v>
      </c>
      <c r="E67" s="967"/>
      <c r="F67" s="968"/>
      <c r="O67" s="1426" t="s">
        <v>405</v>
      </c>
      <c r="P67" s="1417" t="s">
        <v>850</v>
      </c>
      <c r="Q67" s="1464">
        <f ca="1">L51</f>
        <v>2891</v>
      </c>
      <c r="R67" s="1418" t="s">
        <v>870</v>
      </c>
    </row>
    <row r="68" spans="1:18" s="1382" customFormat="1" ht="16.5" thickBot="1">
      <c r="A68" s="946" t="s">
        <v>395</v>
      </c>
      <c r="B68" s="947" t="s">
        <v>774</v>
      </c>
      <c r="C68" s="301">
        <f ca="1">ROUND(C67*(1-((1+F70)/(1+F68))^F69)/(F68-F70),0)</f>
        <v>-1016</v>
      </c>
      <c r="D68" s="964" t="s">
        <v>758</v>
      </c>
      <c r="E68" s="949" t="s">
        <v>759</v>
      </c>
      <c r="F68" s="312">
        <f ca="1">F40</f>
        <v>5.5E-2</v>
      </c>
      <c r="O68" s="1426" t="s">
        <v>406</v>
      </c>
      <c r="P68" s="1465" t="s">
        <v>871</v>
      </c>
      <c r="Q68" s="1418">
        <f ca="1">ROUND(Q69-Q70*Q71,0)</f>
        <v>166</v>
      </c>
      <c r="R68" s="1418" t="s">
        <v>414</v>
      </c>
    </row>
    <row r="69" spans="1:18" s="1382" customFormat="1" ht="13.5" thickBot="1">
      <c r="A69" s="950"/>
      <c r="B69" s="951"/>
      <c r="C69" s="306"/>
      <c r="D69" s="969" t="s">
        <v>762</v>
      </c>
      <c r="E69" s="949" t="s">
        <v>763</v>
      </c>
      <c r="F69" s="333">
        <f ca="1">F41</f>
        <v>18.84</v>
      </c>
      <c r="O69" s="1426" t="s">
        <v>411</v>
      </c>
      <c r="P69" s="1465" t="s">
        <v>872</v>
      </c>
      <c r="Q69" s="1418">
        <f ca="1">C39</f>
        <v>1006</v>
      </c>
      <c r="R69" s="1418" t="s">
        <v>818</v>
      </c>
    </row>
    <row r="70" spans="1:18" s="1382" customFormat="1" ht="13.5" thickBot="1">
      <c r="A70" s="953"/>
      <c r="B70" s="954"/>
      <c r="C70" s="310"/>
      <c r="D70" s="965"/>
      <c r="E70" s="949" t="s">
        <v>766</v>
      </c>
      <c r="F70" s="1053"/>
      <c r="O70" s="1426" t="s">
        <v>412</v>
      </c>
      <c r="P70" s="1465" t="s">
        <v>873</v>
      </c>
      <c r="Q70" s="1418">
        <f ca="1">C13</f>
        <v>11201</v>
      </c>
      <c r="R70" s="1418" t="s">
        <v>818</v>
      </c>
    </row>
    <row r="71" spans="1:18" s="1382" customFormat="1" ht="13.5" thickBot="1">
      <c r="A71" s="970" t="s">
        <v>396</v>
      </c>
      <c r="B71" s="971" t="s">
        <v>776</v>
      </c>
      <c r="C71" s="336">
        <f ca="1">ROUND(C68*10000/F71,0)</f>
        <v>-506</v>
      </c>
      <c r="D71" s="972" t="s">
        <v>777</v>
      </c>
      <c r="E71" s="973" t="s">
        <v>778</v>
      </c>
      <c r="F71" s="339">
        <f ca="1">F43</f>
        <v>20062.899999999998</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840</v>
      </c>
      <c r="D75" s="1382"/>
      <c r="E75" s="1382"/>
      <c r="F75" s="1382"/>
      <c r="K75" s="1400"/>
      <c r="L75" s="1382"/>
      <c r="O75" s="1416" t="s">
        <v>409</v>
      </c>
      <c r="P75" s="1417" t="s">
        <v>838</v>
      </c>
      <c r="Q75" s="1418">
        <f ca="1">Q65+Q66</f>
        <v>14629</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0.16500000000000004</v>
      </c>
    </row>
    <row r="80" spans="1:18">
      <c r="B80" s="340" t="s">
        <v>800</v>
      </c>
      <c r="C80" s="274">
        <f ca="1">ROUND(C75/C39,3)</f>
        <v>0.83499999999999996</v>
      </c>
    </row>
    <row r="81" spans="2:3">
      <c r="B81" s="270" t="s">
        <v>801</v>
      </c>
      <c r="C81" s="238"/>
    </row>
    <row r="82" spans="2:3">
      <c r="B82" s="273" t="s">
        <v>802</v>
      </c>
      <c r="C82" s="275">
        <f ca="1">1-C83</f>
        <v>0.23399999999999999</v>
      </c>
    </row>
    <row r="83" spans="2:3">
      <c r="B83" s="273" t="s">
        <v>803</v>
      </c>
      <c r="C83" s="274">
        <f ca="1">ROUND(C13/C40,3)</f>
        <v>0.76600000000000001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24" sqref="C2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20062.899999999998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5379</v>
      </c>
      <c r="C2" s="1996" t="s">
        <v>1934</v>
      </c>
      <c r="D2" s="1997" t="s">
        <v>1935</v>
      </c>
      <c r="E2" s="3418" t="s">
        <v>673</v>
      </c>
      <c r="F2" s="1997" t="s">
        <v>1936</v>
      </c>
      <c r="G2" s="1998" t="str">
        <f>IF(E2="商业",项目基本情况!B37,IF(E2="办公",项目基本情况!C37,IF(E2="住宅",项目基本情况!D37,IF(E2="工业",项目基本情况!E37,项目基本情况!F37))))</f>
        <v>十级</v>
      </c>
      <c r="H2" s="1997" t="s">
        <v>1937</v>
      </c>
      <c r="I2" s="1998" t="str">
        <f>IF(E2="商业",项目基本情况!B38,IF(E2="办公",项目基本情况!C38,IF(E2="住宅",项目基本情况!D38,IF(E2="工业",项目基本情况!E38,项目基本情况!F38))))</f>
        <v>Ⅹ-房2</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1.5418000000000001</v>
      </c>
      <c r="T2" s="3357">
        <f t="shared" ref="T2:T16" si="0">ROUND($C$5*$C$22*$C$23*$C$24*S2*$C$28,0)</f>
        <v>4431</v>
      </c>
      <c r="U2" s="1211">
        <v>5637.5</v>
      </c>
      <c r="V2" s="3357">
        <f>ROUND(T2*U2/10000,0)</f>
        <v>2498</v>
      </c>
      <c r="W2" s="1214"/>
      <c r="X2" s="1214"/>
      <c r="Y2" s="1214"/>
      <c r="Z2" s="1214"/>
      <c r="AA2" s="1214"/>
      <c r="AB2" s="1214"/>
      <c r="AC2" s="1215"/>
      <c r="AD2" s="1216"/>
      <c r="AE2" s="1216"/>
      <c r="AF2" s="1216"/>
      <c r="AG2" s="1216"/>
      <c r="AH2" s="1216"/>
      <c r="AI2" s="1216"/>
      <c r="AJ2" s="1217"/>
    </row>
    <row r="3" spans="1:36" ht="15.75">
      <c r="A3" s="203" t="s">
        <v>1939</v>
      </c>
      <c r="B3" s="204">
        <f>ROUND(B2*10000/D1,0)</f>
        <v>2681</v>
      </c>
      <c r="C3" s="1996" t="s">
        <v>1940</v>
      </c>
      <c r="D3" s="1997" t="s">
        <v>1941</v>
      </c>
      <c r="E3" s="3416" t="s">
        <v>2440</v>
      </c>
      <c r="F3" s="2001" t="s">
        <v>3454</v>
      </c>
      <c r="G3" s="751">
        <f>IF(F3="宗地容积率",'数据-汇总表'!I4,IF(F3="估价对象容积率",'数据-汇总表'!I6,'数据-汇总表'!I7))</f>
        <v>1.5</v>
      </c>
      <c r="H3" s="170" t="s">
        <v>1942</v>
      </c>
      <c r="I3" s="774">
        <v>1</v>
      </c>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1.1883999999999999</v>
      </c>
      <c r="T3" s="3357">
        <f t="shared" si="0"/>
        <v>3416</v>
      </c>
      <c r="U3" s="1211">
        <v>6456.64</v>
      </c>
      <c r="V3" s="3357">
        <f t="shared" ref="V3:V16" si="1">ROUND(T3*U3/10000,0)</f>
        <v>2206</v>
      </c>
      <c r="W3" s="1214"/>
      <c r="X3" s="1214"/>
      <c r="Y3" s="1214"/>
      <c r="Z3" s="1214"/>
      <c r="AA3" s="1214"/>
      <c r="AB3" s="1214"/>
      <c r="AC3" s="1215"/>
      <c r="AD3" s="1216"/>
      <c r="AE3" s="1216"/>
      <c r="AF3" s="1216"/>
      <c r="AG3" s="1216"/>
      <c r="AH3" s="1216"/>
      <c r="AI3" s="1216"/>
      <c r="AJ3" s="1217"/>
    </row>
    <row r="4" spans="1:36" ht="15.75">
      <c r="A4" s="3804"/>
      <c r="B4" s="3805"/>
      <c r="C4" s="3805"/>
      <c r="D4" s="3806"/>
      <c r="E4" s="3806"/>
      <c r="F4" s="3806"/>
      <c r="G4" s="3806"/>
      <c r="H4" s="3806"/>
      <c r="I4" s="3806"/>
      <c r="J4" s="3807"/>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0.96940000000000004</v>
      </c>
      <c r="T4" s="3357">
        <f t="shared" si="0"/>
        <v>2786</v>
      </c>
      <c r="U4" s="1211">
        <v>5099.4799999999996</v>
      </c>
      <c r="V4" s="3357">
        <f t="shared" si="1"/>
        <v>1421</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2">
        <f>ROUND(IF(E2="商业",C6*C7*C17+C20,(IF(E2="住宅",C6*C13*C17+C20,IF(E2="办公",C6*C12*C17+C20,C6+C20)))),0)</f>
        <v>3770</v>
      </c>
      <c r="D5" s="1337">
        <f>ROUND(C6*C17+C20,0)</f>
        <v>3770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0.82299999999999995</v>
      </c>
      <c r="T5" s="3357">
        <f t="shared" si="0"/>
        <v>2365</v>
      </c>
      <c r="U5" s="1211"/>
      <c r="V5" s="3357">
        <f t="shared" si="1"/>
        <v>0</v>
      </c>
      <c r="W5" s="1214"/>
      <c r="X5" s="1214"/>
      <c r="Y5" s="1214"/>
      <c r="Z5" s="1214"/>
      <c r="AA5" s="1214"/>
      <c r="AB5" s="1214"/>
      <c r="AC5" s="2008"/>
      <c r="AD5" s="2009"/>
      <c r="AE5" s="2009"/>
      <c r="AF5" s="2009"/>
      <c r="AG5" s="2009"/>
      <c r="AH5" s="2009"/>
      <c r="AI5" s="2009"/>
      <c r="AJ5" s="2010"/>
    </row>
    <row r="6" spans="1:36" ht="15.75" thickBot="1">
      <c r="A6" s="2012" t="s">
        <v>1948</v>
      </c>
      <c r="B6" s="2013" t="s">
        <v>1949</v>
      </c>
      <c r="C6" s="753">
        <f>SUMIF(L1:L12,G2,M1:M12)</f>
        <v>3770</v>
      </c>
      <c r="D6" s="2014"/>
      <c r="E6" s="2015"/>
      <c r="F6" s="2015"/>
      <c r="G6" s="2016"/>
      <c r="H6" s="2016"/>
      <c r="I6" s="2016"/>
      <c r="J6" s="2017"/>
      <c r="K6" s="1382"/>
      <c r="L6" s="2000" t="s">
        <v>1950</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0.74980000000000002</v>
      </c>
      <c r="T6" s="3357">
        <f t="shared" si="0"/>
        <v>2155</v>
      </c>
      <c r="U6" s="1211"/>
      <c r="V6" s="3357">
        <f t="shared" si="1"/>
        <v>0</v>
      </c>
      <c r="W6" s="1214"/>
      <c r="X6" s="1214"/>
      <c r="Y6" s="1214"/>
      <c r="Z6" s="1214"/>
      <c r="AA6" s="1214"/>
      <c r="AB6" s="1214"/>
      <c r="AC6" s="2008"/>
      <c r="AD6" s="2009"/>
      <c r="AE6" s="2009"/>
      <c r="AF6" s="2009"/>
      <c r="AG6" s="2009"/>
      <c r="AH6" s="2009"/>
      <c r="AI6" s="2009"/>
      <c r="AJ6" s="2010"/>
    </row>
    <row r="7" spans="1:36" ht="24.75" thickBot="1">
      <c r="A7" s="3300" t="s">
        <v>3240</v>
      </c>
      <c r="B7" s="2018" t="s">
        <v>1951</v>
      </c>
      <c r="C7" s="754">
        <f>IF(C8="不临65条商业街",1,ROUND(1+(1.6*E8+1.2*E9+0.8*E10+0.4*E11)*C9,4))</f>
        <v>1</v>
      </c>
      <c r="D7" s="2019" t="s">
        <v>1952</v>
      </c>
      <c r="E7" s="775"/>
      <c r="F7" s="2020"/>
      <c r="G7" s="2021"/>
      <c r="H7" s="2021"/>
      <c r="I7" s="2021"/>
      <c r="J7" s="2022"/>
      <c r="K7" s="1382"/>
      <c r="L7" s="2000" t="s">
        <v>1953</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1954</v>
      </c>
      <c r="X7" s="1212" t="str">
        <f>G2</f>
        <v>十级</v>
      </c>
      <c r="Y7" s="1212" t="s">
        <v>1955</v>
      </c>
      <c r="Z7" s="1213">
        <f>G3</f>
        <v>1.5</v>
      </c>
      <c r="AA7" s="1214"/>
      <c r="AB7" s="1214"/>
      <c r="AC7" s="1215"/>
      <c r="AD7" s="1216"/>
      <c r="AE7" s="1216"/>
      <c r="AF7" s="1216"/>
      <c r="AG7" s="1216"/>
      <c r="AH7" s="1216"/>
      <c r="AI7" s="1216"/>
      <c r="AJ7" s="1217"/>
    </row>
    <row r="8" spans="1:36" ht="25.5">
      <c r="A8" s="3295"/>
      <c r="B8" s="170" t="s">
        <v>1956</v>
      </c>
      <c r="C8" s="2023" t="s">
        <v>3383</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801" t="s">
        <v>1959</v>
      </c>
      <c r="X8" s="3802"/>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803"/>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3770</v>
      </c>
      <c r="N10" s="865">
        <f>SUMPRODUCT((因素修正幅度!B327:B357=I2)*(因素修正幅度!C3:G3=E2)*(因素修正幅度!C327:G357))</f>
        <v>0.15</v>
      </c>
      <c r="O10" s="1118"/>
      <c r="P10" s="1118"/>
      <c r="Q10" s="1118"/>
      <c r="R10" s="1210">
        <v>9</v>
      </c>
      <c r="S10" s="1211"/>
      <c r="T10" s="3357">
        <f t="shared" si="0"/>
        <v>0</v>
      </c>
      <c r="U10" s="1211"/>
      <c r="V10" s="3357">
        <f t="shared" si="1"/>
        <v>0</v>
      </c>
      <c r="W10" s="380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3245</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7" t="s">
        <v>1984</v>
      </c>
      <c r="C14" s="2038" t="s">
        <v>1985</v>
      </c>
      <c r="D14" s="1348" t="s">
        <v>1986</v>
      </c>
      <c r="E14" s="27" t="s">
        <v>1987</v>
      </c>
      <c r="F14" s="3308" t="s">
        <v>3246</v>
      </c>
      <c r="G14" s="3308" t="s">
        <v>3246</v>
      </c>
      <c r="H14" s="3308" t="s">
        <v>3246</v>
      </c>
      <c r="I14" s="3308" t="s">
        <v>3246</v>
      </c>
      <c r="J14" s="3308" t="s">
        <v>3246</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808" t="s">
        <v>3257</v>
      </c>
      <c r="B20" s="167" t="s">
        <v>1993</v>
      </c>
      <c r="C20" s="3321">
        <f>ROUND(IF(F21="与级别开发程度一致",0,(G21-E21)/C21),0)</f>
        <v>0</v>
      </c>
      <c r="D20" s="3337" t="s">
        <v>1997</v>
      </c>
      <c r="E20" s="3338"/>
      <c r="F20" s="3814" t="s">
        <v>1994</v>
      </c>
      <c r="G20" s="3815"/>
      <c r="H20" s="3322" t="s">
        <v>3384</v>
      </c>
      <c r="I20" s="3322" t="s">
        <v>3385</v>
      </c>
      <c r="J20" s="3323" t="s">
        <v>3386</v>
      </c>
      <c r="K20" s="2044" t="s">
        <v>3387</v>
      </c>
      <c r="L20" s="2044" t="s">
        <v>3388</v>
      </c>
      <c r="M20" s="2044" t="s">
        <v>3389</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809"/>
      <c r="B21" s="2161" t="s">
        <v>1996</v>
      </c>
      <c r="C21" s="2162">
        <f>IF(E3="M4科研用地",SUMPRODUCT((修正!A2:A7=E3)*(修正!B1:M1=G2)*(修正!B2:M7)),SUMPRODUCT((修正!A2:A7=E2)*(修正!B1:M1=G2)*(修正!B2:M7)))</f>
        <v>2</v>
      </c>
      <c r="D21" s="187" t="str">
        <f>IF(OR(G2="八级",G2="九级",G2="十级",G2="十一级",G2="十二级"),"五通一平","七通一平")</f>
        <v>五通一平</v>
      </c>
      <c r="E21" s="2152">
        <f>SUMPRODUCT((修正!B1:M1=G2)*(修正!B17:M17))</f>
        <v>185</v>
      </c>
      <c r="F21" s="2153" t="s">
        <v>3390</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1" t="s">
        <v>2001</v>
      </c>
      <c r="E23" s="760">
        <v>44197</v>
      </c>
      <c r="F23" s="2051" t="s">
        <v>2002</v>
      </c>
      <c r="G23" s="761">
        <f>'数据-取费表'!B2</f>
        <v>45068</v>
      </c>
      <c r="H23" s="3339" t="s">
        <v>3258</v>
      </c>
      <c r="I23" s="3340" t="str">
        <f>IF(H23="季度增幅（自定义）",SUMIF(N25:N28,E2,O25:O28),"")</f>
        <v/>
      </c>
      <c r="J23" s="3442" t="s">
        <v>3391</v>
      </c>
      <c r="K23" s="1124"/>
      <c r="L23" s="2052" t="s">
        <v>2003</v>
      </c>
      <c r="M23" s="1326">
        <f>ROUND(SUMIF(地价!B2:G2,E2,地价!B16:G16),0)</f>
        <v>350</v>
      </c>
      <c r="N23" s="2053" t="s">
        <v>2004</v>
      </c>
      <c r="O23" s="762">
        <f>ROUNDDOWN(DATEDIF(E23,G23,"M")/3,0)</f>
        <v>9</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0.71989999999999998</v>
      </c>
      <c r="D24" s="2057" t="s">
        <v>2006</v>
      </c>
      <c r="E24" s="1333">
        <f>存贷款利率!E22/100</f>
        <v>4.3499999999999997E-2</v>
      </c>
      <c r="F24" s="2057" t="s">
        <v>1998</v>
      </c>
      <c r="G24" s="767">
        <f>SUMIF(M30:Q30,E2,M33:Q33)</f>
        <v>5.5E-2</v>
      </c>
      <c r="H24" s="2057" t="s">
        <v>2007</v>
      </c>
      <c r="I24" s="768">
        <f>SUMIF('数据-取费表'!C6:C15,E2,'数据-取费表'!F6:F15)/COUNTIF('数据-取费表'!C6:C15,E2)</f>
        <v>18.84</v>
      </c>
      <c r="J24" s="769">
        <f>IF(E2="住宅",70,IF(E2="商业",40,50))</f>
        <v>40</v>
      </c>
      <c r="K24" s="1124"/>
      <c r="L24" s="2058" t="s">
        <v>2008</v>
      </c>
      <c r="M24" s="1327">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3624</v>
      </c>
      <c r="C25" s="770">
        <f>IF(B25="容积率修正",IF(G3&lt;10,D26,J26),C27)</f>
        <v>1.0725</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3" t="s">
        <v>2013</v>
      </c>
      <c r="B26" s="2067" t="s">
        <v>2014</v>
      </c>
      <c r="C26" s="3341" t="s">
        <v>3259</v>
      </c>
      <c r="D26" s="1350">
        <f>IF(E26=G26,F26,IF(G3&lt;10,ROUND(F26+(H26-F26)*(G3-E26)/(G26-E26),4),"——"))</f>
        <v>1.0725</v>
      </c>
      <c r="E26" s="751">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751">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341" t="s">
        <v>3260</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3" t="s">
        <v>2016</v>
      </c>
      <c r="B27" s="2068" t="s">
        <v>2017</v>
      </c>
      <c r="C27" s="840">
        <f>ROUND(IF(I3&lt;6,SUMPRODUCT((B106:B110=I3)*(C105:N105=G2)*(C106:N110)),SUMIF(C105:N105,G2,C112:N112)),4)</f>
        <v>1.5418000000000001</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1.0238</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5379</v>
      </c>
      <c r="D30" s="2080"/>
      <c r="E30" s="2043"/>
      <c r="F30" s="2081"/>
      <c r="G30" s="2043"/>
      <c r="H30" s="2043"/>
      <c r="I30" s="2043"/>
      <c r="J30" s="2082"/>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20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3083</v>
      </c>
      <c r="D33" s="2095">
        <f>U2+U3+U4</f>
        <v>17193.62</v>
      </c>
      <c r="E33" s="772">
        <f>ROUND(C33*D33/10000,0)</f>
        <v>5301</v>
      </c>
      <c r="F33" s="3342" t="s">
        <v>3262</v>
      </c>
      <c r="G33" s="2096"/>
      <c r="H33" s="2096"/>
      <c r="I33" s="2096"/>
      <c r="J33" s="2097"/>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771</v>
      </c>
      <c r="D34" s="2100"/>
      <c r="E34" s="772">
        <f>ROUND(IF(B25="楼层修正",SUM(V2:V16)*M40,C34*D34/10000),0)</f>
        <v>0</v>
      </c>
      <c r="F34" s="2101" t="s">
        <v>2031</v>
      </c>
      <c r="G34" s="2102"/>
      <c r="H34" s="2102"/>
      <c r="I34" s="2102"/>
      <c r="J34" s="2103"/>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3263</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812"/>
      <c r="B37" s="2110" t="s">
        <v>2035</v>
      </c>
      <c r="C37" s="175">
        <f>ROUND(D5*C22*C23*C24*C28*F37,0)</f>
        <v>1437</v>
      </c>
      <c r="D37" s="2095"/>
      <c r="E37" s="171">
        <f>ROUND(C37*D37/10000,0)</f>
        <v>0</v>
      </c>
      <c r="F37" s="171">
        <f>SUMIF(修正!A57:A68,G2,修正!B57:B68)</f>
        <v>0.5</v>
      </c>
      <c r="G37" s="171">
        <f>ROUND(IF(E2="工业",C37*$M$42,C37*$M$41),0)</f>
        <v>359</v>
      </c>
      <c r="H37" s="171">
        <f>D37</f>
        <v>0</v>
      </c>
      <c r="I37" s="171">
        <f>ROUND(G37*H37/10000,0)</f>
        <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813"/>
      <c r="B38" s="2038" t="s">
        <v>2036</v>
      </c>
      <c r="C38" s="175">
        <f>ROUND(D5*C22*C23*C24*C28*F38,0)</f>
        <v>575</v>
      </c>
      <c r="D38" s="2095"/>
      <c r="E38" s="171">
        <f t="shared" ref="E38:E42" si="4">ROUND(C38*D38/10000,0)</f>
        <v>0</v>
      </c>
      <c r="F38" s="171">
        <f>SUMIF(修正!A57:A68,G2,修正!C57:C68)</f>
        <v>0.2</v>
      </c>
      <c r="G38" s="171">
        <f>ROUND(IF(E2="工业",C38*$M$42,C38*$M$41),0)</f>
        <v>144</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813"/>
      <c r="B39" s="2038" t="s">
        <v>3261</v>
      </c>
      <c r="C39" s="175">
        <f>ROUND(D5*C22*C23*C24*C28*F39,0)</f>
        <v>575</v>
      </c>
      <c r="D39" s="2095"/>
      <c r="E39" s="171">
        <f t="shared" si="4"/>
        <v>0</v>
      </c>
      <c r="F39" s="171">
        <f>SUMIF(修正!A57:A68,G2,修正!D57:D68)</f>
        <v>0.2</v>
      </c>
      <c r="G39" s="171">
        <f>ROUND(IF(E2="工业",C39*$M$42,C39*$M$41),0)</f>
        <v>144</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575</v>
      </c>
      <c r="D40" s="2095"/>
      <c r="E40" s="171">
        <f t="shared" si="4"/>
        <v>0</v>
      </c>
      <c r="F40" s="175">
        <f>SUMIF(修正!A57:A68,G2,修正!E57:E68)</f>
        <v>0.2</v>
      </c>
      <c r="G40" s="171">
        <f>ROUND(IF(E2="工业",C40*$M$42,C40*$M$41),0)</f>
        <v>144</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545</v>
      </c>
      <c r="D41" s="2095"/>
      <c r="E41" s="171">
        <f t="shared" si="4"/>
        <v>0</v>
      </c>
      <c r="F41" s="175">
        <f>SUMIF(修正!A57:A68,G2,修正!F57:F68)</f>
        <v>0.2</v>
      </c>
      <c r="G41" s="171">
        <f>ROUND(IF(E2="工业",C41*$M$42,C41*$M$41),0)</f>
        <v>136</v>
      </c>
      <c r="H41" s="171">
        <f t="shared" si="5"/>
        <v>0</v>
      </c>
      <c r="I41" s="171">
        <f t="shared" si="6"/>
        <v>0</v>
      </c>
      <c r="J41" s="2111"/>
      <c r="L41" s="3356" t="s">
        <v>3269</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272</v>
      </c>
      <c r="D42" s="2100">
        <v>2869.28</v>
      </c>
      <c r="E42" s="187">
        <f t="shared" si="4"/>
        <v>78</v>
      </c>
      <c r="F42" s="766">
        <f>SUMIF(修正!A57:A68,G2,修正!G57:G68)</f>
        <v>0.1</v>
      </c>
      <c r="G42" s="187">
        <f>ROUND(IF(E2="工业",C42*$M$42,C42*$M$41),0)</f>
        <v>68</v>
      </c>
      <c r="H42" s="187">
        <f t="shared" si="5"/>
        <v>2869.28</v>
      </c>
      <c r="I42" s="187">
        <f t="shared" si="6"/>
        <v>20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2120</v>
      </c>
      <c r="C44" s="342">
        <f>ROUND(POWER(1+E44,H44-G44)*(POWER(1+E44,G44)-1)/(POWER(1+E44,H44)-1),4)</f>
        <v>0.68220000000000003</v>
      </c>
      <c r="D44" s="171" t="s">
        <v>1998</v>
      </c>
      <c r="E44" s="2150">
        <f>G24</f>
        <v>5.5E-2</v>
      </c>
      <c r="F44" s="171" t="s">
        <v>2007</v>
      </c>
      <c r="G44" s="183">
        <f>项目基本情况!F15</f>
        <v>18.84</v>
      </c>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3" t="s">
        <v>2042</v>
      </c>
      <c r="B48" s="2124">
        <f>1+E50</f>
        <v>1.0238</v>
      </c>
      <c r="C48" s="2125"/>
      <c r="D48" s="740"/>
      <c r="E48" s="741"/>
      <c r="F48" s="2126"/>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7" t="s">
        <v>2043</v>
      </c>
      <c r="B49" s="1349" t="s">
        <v>2044</v>
      </c>
      <c r="C49" s="1349" t="s">
        <v>2045</v>
      </c>
      <c r="D49" s="1349" t="s">
        <v>2046</v>
      </c>
      <c r="E49" s="742" t="s">
        <v>2047</v>
      </c>
      <c r="F49" s="2128" t="s">
        <v>2048</v>
      </c>
      <c r="G49" s="1349" t="s">
        <v>310</v>
      </c>
      <c r="H49" s="2129"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t="s">
        <v>3393</v>
      </c>
      <c r="D50" s="1064">
        <f t="shared" ref="D50:D58" si="7">SUMIF($J$49:$N$49,C50,J50:N50)</f>
        <v>0</v>
      </c>
      <c r="E50" s="743">
        <f>ROUND(SUM(D50:D58),4)</f>
        <v>2.3800000000000002E-2</v>
      </c>
      <c r="F50" s="1812">
        <f>IF(E2="商业",SUMIF(L1:L12,G2,N1:N12),"——")</f>
        <v>0.15</v>
      </c>
      <c r="G50" s="1062">
        <f>H50</f>
        <v>2.2499999999999999E-2</v>
      </c>
      <c r="H50" s="1065">
        <f t="shared" ref="H50:H58" si="8">IFERROR(ROUNDDOWN($F$50*I50/2,4),"——")</f>
        <v>2.2499999999999999E-2</v>
      </c>
      <c r="I50" s="3363">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t="s">
        <v>3393</v>
      </c>
      <c r="D51" s="1064">
        <f t="shared" si="7"/>
        <v>0</v>
      </c>
      <c r="E51" s="744"/>
      <c r="F51" s="1812"/>
      <c r="G51" s="1062">
        <f t="shared" ref="G51:G58" si="12">H51</f>
        <v>1.6500000000000001E-2</v>
      </c>
      <c r="H51" s="1065">
        <f t="shared" si="8"/>
        <v>1.6500000000000001E-2</v>
      </c>
      <c r="I51" s="3363">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5" t="s">
        <v>3271</v>
      </c>
      <c r="B52" s="2131">
        <f>估价对象房地状况!C19</f>
        <v>0</v>
      </c>
      <c r="C52" s="2041" t="s">
        <v>3392</v>
      </c>
      <c r="D52" s="1064">
        <f t="shared" si="7"/>
        <v>8.9999999999999993E-3</v>
      </c>
      <c r="E52" s="744"/>
      <c r="F52" s="1812"/>
      <c r="G52" s="1062">
        <f t="shared" si="12"/>
        <v>8.9999999999999993E-3</v>
      </c>
      <c r="H52" s="1065">
        <f t="shared" si="8"/>
        <v>8.9999999999999993E-3</v>
      </c>
      <c r="I52" s="3363">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7" t="s">
        <v>2053</v>
      </c>
      <c r="B53" s="2132" t="s">
        <v>2054</v>
      </c>
      <c r="C53" s="2041" t="s">
        <v>3392</v>
      </c>
      <c r="D53" s="1064">
        <f t="shared" si="7"/>
        <v>3.7000000000000002E-3</v>
      </c>
      <c r="E53" s="744"/>
      <c r="F53" s="1812"/>
      <c r="G53" s="1062">
        <f t="shared" si="12"/>
        <v>3.7000000000000002E-3</v>
      </c>
      <c r="H53" s="1065">
        <f t="shared" si="8"/>
        <v>3.7000000000000002E-3</v>
      </c>
      <c r="I53" s="3363">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3393</v>
      </c>
      <c r="D54" s="1064">
        <f t="shared" si="7"/>
        <v>0</v>
      </c>
      <c r="E54" s="744"/>
      <c r="F54" s="1812"/>
      <c r="G54" s="1062">
        <f t="shared" si="12"/>
        <v>6.0000000000000001E-3</v>
      </c>
      <c r="H54" s="1065">
        <f t="shared" si="8"/>
        <v>6.0000000000000001E-3</v>
      </c>
      <c r="I54" s="3363">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7" t="s">
        <v>2056</v>
      </c>
      <c r="B55" s="2133" t="s">
        <v>2057</v>
      </c>
      <c r="C55" s="2041" t="s">
        <v>3392</v>
      </c>
      <c r="D55" s="1064">
        <f t="shared" si="7"/>
        <v>3.7000000000000002E-3</v>
      </c>
      <c r="E55" s="744"/>
      <c r="F55" s="1812"/>
      <c r="G55" s="1062">
        <f t="shared" si="12"/>
        <v>3.7000000000000002E-3</v>
      </c>
      <c r="H55" s="1065">
        <f t="shared" si="8"/>
        <v>3.7000000000000002E-3</v>
      </c>
      <c r="I55" s="3363">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4" t="s">
        <v>2058</v>
      </c>
      <c r="B56" s="1324" t="str">
        <f>估价对象房地状况!C21</f>
        <v>估价对象所在区域公共配套设施齐备情况</v>
      </c>
      <c r="C56" s="2041" t="s">
        <v>3392</v>
      </c>
      <c r="D56" s="1064">
        <f t="shared" si="7"/>
        <v>3.7000000000000002E-3</v>
      </c>
      <c r="E56" s="744"/>
      <c r="F56" s="1812"/>
      <c r="G56" s="1062">
        <f t="shared" si="12"/>
        <v>3.7000000000000002E-3</v>
      </c>
      <c r="H56" s="1065">
        <f t="shared" si="8"/>
        <v>3.7000000000000002E-3</v>
      </c>
      <c r="I56" s="3363">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t="s">
        <v>3393</v>
      </c>
      <c r="D57" s="1064">
        <f t="shared" si="7"/>
        <v>0</v>
      </c>
      <c r="E57" s="744"/>
      <c r="F57" s="1812"/>
      <c r="G57" s="1062">
        <f t="shared" si="12"/>
        <v>6.0000000000000001E-3</v>
      </c>
      <c r="H57" s="1065">
        <f t="shared" si="8"/>
        <v>6.0000000000000001E-3</v>
      </c>
      <c r="I57" s="3363">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t="s">
        <v>3392</v>
      </c>
      <c r="D58" s="1064">
        <f t="shared" si="7"/>
        <v>3.7000000000000002E-3</v>
      </c>
      <c r="E58" s="745"/>
      <c r="F58" s="1812"/>
      <c r="G58" s="1062">
        <f t="shared" si="12"/>
        <v>3.7000000000000002E-3</v>
      </c>
      <c r="H58" s="1065">
        <f t="shared" si="8"/>
        <v>3.7000000000000002E-3</v>
      </c>
      <c r="I58" s="3364">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3" t="s">
        <v>2061</v>
      </c>
      <c r="B59" s="2124">
        <f>1+E61</f>
        <v>1</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9"/>
      <c r="C60" s="1349" t="s">
        <v>2045</v>
      </c>
      <c r="D60" s="1349" t="s">
        <v>2046</v>
      </c>
      <c r="E60" s="742" t="s">
        <v>2047</v>
      </c>
      <c r="F60" s="2128" t="s">
        <v>2062</v>
      </c>
      <c r="G60" s="1349" t="s">
        <v>310</v>
      </c>
      <c r="H60" s="2129"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c r="D61" s="1064">
        <f t="shared" ref="D61:D69" si="13">SUMIF($J$60:$N$60,C61,J61:N61)</f>
        <v>0</v>
      </c>
      <c r="E61" s="743">
        <f>ROUND(SUM(D61:D69),4)</f>
        <v>0</v>
      </c>
      <c r="F61" s="1812" t="str">
        <f>IF(E2="办公",SUMIF(L1:L12,G2,N1:N12),"——")</f>
        <v>——</v>
      </c>
      <c r="G61" s="1062"/>
      <c r="H61" s="1065" t="str">
        <f t="shared" ref="H61:H69" si="14">IFERROR(ROUNDDOWN($F$61*I61/2,4),"——")</f>
        <v>——</v>
      </c>
      <c r="I61" s="3363">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c r="D62" s="1064">
        <f t="shared" si="13"/>
        <v>0</v>
      </c>
      <c r="E62" s="744"/>
      <c r="F62" s="1812"/>
      <c r="G62" s="1062"/>
      <c r="H62" s="1065" t="str">
        <f t="shared" si="14"/>
        <v>——</v>
      </c>
      <c r="I62" s="3363">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5" t="s">
        <v>3271</v>
      </c>
      <c r="B63" s="2131">
        <f>估价对象房地状况!C19</f>
        <v>0</v>
      </c>
      <c r="C63" s="2041"/>
      <c r="D63" s="1064">
        <f t="shared" si="13"/>
        <v>0</v>
      </c>
      <c r="E63" s="744"/>
      <c r="F63" s="1812"/>
      <c r="G63" s="1062"/>
      <c r="H63" s="1065" t="str">
        <f t="shared" si="14"/>
        <v>——</v>
      </c>
      <c r="I63" s="3363">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7" t="s">
        <v>2053</v>
      </c>
      <c r="B64" s="2132" t="s">
        <v>2054</v>
      </c>
      <c r="C64" s="2041"/>
      <c r="D64" s="1064">
        <f t="shared" si="13"/>
        <v>0</v>
      </c>
      <c r="E64" s="744"/>
      <c r="F64" s="1812"/>
      <c r="G64" s="1062"/>
      <c r="H64" s="1065" t="str">
        <f t="shared" si="14"/>
        <v>——</v>
      </c>
      <c r="I64" s="3363">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4">
        <f t="shared" si="13"/>
        <v>0</v>
      </c>
      <c r="E65" s="744"/>
      <c r="F65" s="1812"/>
      <c r="G65" s="1062"/>
      <c r="H65" s="1065" t="str">
        <f t="shared" si="14"/>
        <v>——</v>
      </c>
      <c r="I65" s="3363">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7" t="s">
        <v>2056</v>
      </c>
      <c r="B66" s="2133" t="s">
        <v>2057</v>
      </c>
      <c r="C66" s="2041"/>
      <c r="D66" s="1064">
        <f t="shared" si="13"/>
        <v>0</v>
      </c>
      <c r="E66" s="744"/>
      <c r="F66" s="1812"/>
      <c r="G66" s="1062"/>
      <c r="H66" s="1065" t="str">
        <f t="shared" si="14"/>
        <v>——</v>
      </c>
      <c r="I66" s="3363">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7" t="s">
        <v>2058</v>
      </c>
      <c r="B67" s="1324" t="str">
        <f>估价对象房地状况!C21</f>
        <v>估价对象所在区域公共配套设施齐备情况</v>
      </c>
      <c r="C67" s="2041"/>
      <c r="D67" s="1064">
        <f t="shared" si="13"/>
        <v>0</v>
      </c>
      <c r="E67" s="744"/>
      <c r="F67" s="1812"/>
      <c r="G67" s="1062"/>
      <c r="H67" s="1065" t="str">
        <f t="shared" si="14"/>
        <v>——</v>
      </c>
      <c r="I67" s="3363">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7" t="s">
        <v>2059</v>
      </c>
      <c r="B68" s="1324" t="str">
        <f>估价对象房地状况!C22</f>
        <v>估价对象所在区域基础设施水平</v>
      </c>
      <c r="C68" s="2041"/>
      <c r="D68" s="1064">
        <f t="shared" si="13"/>
        <v>0</v>
      </c>
      <c r="E68" s="744"/>
      <c r="F68" s="1812"/>
      <c r="G68" s="1062"/>
      <c r="H68" s="1065" t="str">
        <f t="shared" si="14"/>
        <v>——</v>
      </c>
      <c r="I68" s="3363">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c r="D69" s="1064">
        <f t="shared" si="13"/>
        <v>0</v>
      </c>
      <c r="E69" s="745"/>
      <c r="F69" s="1812"/>
      <c r="G69" s="1062"/>
      <c r="H69" s="1065" t="str">
        <f t="shared" si="14"/>
        <v>——</v>
      </c>
      <c r="I69" s="3364">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3" t="s">
        <v>2064</v>
      </c>
      <c r="B70" s="2124">
        <f>1+E72</f>
        <v>1</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9"/>
      <c r="C71" s="1349" t="s">
        <v>2045</v>
      </c>
      <c r="D71" s="1349" t="s">
        <v>2046</v>
      </c>
      <c r="E71" s="742" t="s">
        <v>2047</v>
      </c>
      <c r="F71" s="2128" t="s">
        <v>2062</v>
      </c>
      <c r="G71" s="1349" t="s">
        <v>310</v>
      </c>
      <c r="H71" s="2129"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4">
        <f t="shared" ref="D72:D80" si="18">SUMIF($J$71:$N$71,C72,J72:N72)</f>
        <v>0</v>
      </c>
      <c r="E72" s="743">
        <f>ROUND(SUM(D72:D80),4)</f>
        <v>0</v>
      </c>
      <c r="F72" s="1812"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4">
        <f t="shared" si="18"/>
        <v>0</v>
      </c>
      <c r="E73" s="746"/>
      <c r="F73" s="1812"/>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5" t="s">
        <v>3271</v>
      </c>
      <c r="B74" s="2131">
        <f>估价对象房地状况!C19</f>
        <v>0</v>
      </c>
      <c r="C74" s="2041"/>
      <c r="D74" s="1064">
        <f t="shared" si="18"/>
        <v>0</v>
      </c>
      <c r="E74" s="746"/>
      <c r="F74" s="1812"/>
      <c r="G74" s="1062"/>
      <c r="H74" s="1065" t="str">
        <f t="shared" si="19"/>
        <v>——</v>
      </c>
      <c r="I74" s="3363">
        <v>0.1</v>
      </c>
      <c r="J74" s="1063">
        <f t="shared" si="20"/>
        <v>0</v>
      </c>
      <c r="K74" s="1063">
        <f t="shared" si="21"/>
        <v>0</v>
      </c>
      <c r="L74" s="1063">
        <v>0</v>
      </c>
      <c r="M74" s="1063">
        <f t="shared" si="22"/>
        <v>0</v>
      </c>
      <c r="N74" s="1063">
        <f t="shared" si="22"/>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4">
        <f t="shared" si="18"/>
        <v>0</v>
      </c>
      <c r="E75" s="746"/>
      <c r="F75" s="1812"/>
      <c r="G75" s="1062"/>
      <c r="H75" s="1065" t="str">
        <f t="shared" si="19"/>
        <v>——</v>
      </c>
      <c r="I75" s="3363">
        <v>0.05</v>
      </c>
      <c r="J75" s="1063">
        <f t="shared" si="20"/>
        <v>0</v>
      </c>
      <c r="K75" s="1063">
        <f t="shared" si="21"/>
        <v>0</v>
      </c>
      <c r="L75" s="1063">
        <v>0</v>
      </c>
      <c r="M75" s="1063">
        <f t="shared" si="22"/>
        <v>0</v>
      </c>
      <c r="N75" s="1063">
        <f t="shared" si="22"/>
        <v>0</v>
      </c>
      <c r="O75" s="1118"/>
      <c r="P75" s="1118"/>
      <c r="Q75" s="1994"/>
      <c r="Z75" s="1995"/>
      <c r="AA75" s="2050"/>
      <c r="AG75" s="1120"/>
      <c r="AK75" s="2050"/>
    </row>
    <row r="76" spans="1:37" ht="25.5">
      <c r="A76" s="2127" t="s">
        <v>2058</v>
      </c>
      <c r="B76" s="1324" t="str">
        <f>估价对象房地状况!C21</f>
        <v>估价对象所在区域公共配套设施齐备情况</v>
      </c>
      <c r="C76" s="2041"/>
      <c r="D76" s="1064">
        <f t="shared" si="18"/>
        <v>0</v>
      </c>
      <c r="E76" s="746"/>
      <c r="F76" s="1812"/>
      <c r="G76" s="1062"/>
      <c r="H76" s="1065" t="str">
        <f t="shared" si="19"/>
        <v>——</v>
      </c>
      <c r="I76" s="3363">
        <v>0.08</v>
      </c>
      <c r="J76" s="1063">
        <f t="shared" si="20"/>
        <v>0</v>
      </c>
      <c r="K76" s="1063">
        <f t="shared" si="21"/>
        <v>0</v>
      </c>
      <c r="L76" s="1063">
        <v>0</v>
      </c>
      <c r="M76" s="1063">
        <f t="shared" si="22"/>
        <v>0</v>
      </c>
      <c r="N76" s="1063">
        <f t="shared" si="22"/>
        <v>0</v>
      </c>
      <c r="O76" s="1118"/>
      <c r="P76" s="1118"/>
      <c r="Z76" s="1995"/>
      <c r="AA76" s="2050"/>
      <c r="AG76" s="1120"/>
      <c r="AK76" s="2050"/>
    </row>
    <row r="77" spans="1:37" ht="25.5">
      <c r="A77" s="2127" t="s">
        <v>2059</v>
      </c>
      <c r="B77" s="1324" t="str">
        <f>估价对象房地状况!C22</f>
        <v>估价对象所在区域基础设施水平</v>
      </c>
      <c r="C77" s="2041"/>
      <c r="D77" s="1064">
        <f t="shared" si="18"/>
        <v>0</v>
      </c>
      <c r="E77" s="746"/>
      <c r="F77" s="1812"/>
      <c r="G77" s="1062"/>
      <c r="H77" s="1065" t="str">
        <f t="shared" si="19"/>
        <v>——</v>
      </c>
      <c r="I77" s="3363">
        <v>0.09</v>
      </c>
      <c r="J77" s="1063">
        <f t="shared" si="20"/>
        <v>0</v>
      </c>
      <c r="K77" s="1063">
        <f t="shared" si="21"/>
        <v>0</v>
      </c>
      <c r="L77" s="1063">
        <v>0</v>
      </c>
      <c r="M77" s="1063">
        <f t="shared" si="22"/>
        <v>0</v>
      </c>
      <c r="N77" s="1063">
        <f t="shared" si="22"/>
        <v>0</v>
      </c>
      <c r="O77" s="1118"/>
      <c r="P77" s="1118"/>
      <c r="Z77" s="1995"/>
      <c r="AA77" s="2050"/>
      <c r="AG77" s="1120"/>
      <c r="AK77" s="2050"/>
    </row>
    <row r="78" spans="1:37" ht="24">
      <c r="A78" s="2127" t="s">
        <v>2056</v>
      </c>
      <c r="B78" s="2133" t="s">
        <v>2057</v>
      </c>
      <c r="C78" s="2041"/>
      <c r="D78" s="1064">
        <f t="shared" si="18"/>
        <v>0</v>
      </c>
      <c r="E78" s="746"/>
      <c r="F78" s="1812"/>
      <c r="G78" s="1062"/>
      <c r="H78" s="1065" t="str">
        <f t="shared" si="19"/>
        <v>——</v>
      </c>
      <c r="I78" s="3363">
        <v>0.05</v>
      </c>
      <c r="J78" s="1063">
        <f t="shared" si="20"/>
        <v>0</v>
      </c>
      <c r="K78" s="1063">
        <f t="shared" si="21"/>
        <v>0</v>
      </c>
      <c r="L78" s="1063">
        <v>0</v>
      </c>
      <c r="M78" s="1063">
        <f t="shared" si="22"/>
        <v>0</v>
      </c>
      <c r="N78" s="1063">
        <f t="shared" si="22"/>
        <v>0</v>
      </c>
      <c r="O78" s="1994"/>
      <c r="P78" s="1994"/>
      <c r="Z78" s="1995"/>
      <c r="AA78" s="2050"/>
      <c r="AG78" s="1120"/>
      <c r="AK78" s="2050"/>
    </row>
    <row r="79" spans="1:37" ht="25.5">
      <c r="A79" s="2127" t="s">
        <v>2060</v>
      </c>
      <c r="B79" s="2130" t="str">
        <f>估价对象房地状况!C20</f>
        <v>区域自然环境：；人文环境；综合评价环境状况一般</v>
      </c>
      <c r="C79" s="2041"/>
      <c r="D79" s="1064">
        <f t="shared" si="18"/>
        <v>0</v>
      </c>
      <c r="E79" s="746"/>
      <c r="F79" s="1812"/>
      <c r="G79" s="1062"/>
      <c r="H79" s="1065" t="str">
        <f t="shared" si="19"/>
        <v>——</v>
      </c>
      <c r="I79" s="3363">
        <v>0.12</v>
      </c>
      <c r="J79" s="1063">
        <f t="shared" si="20"/>
        <v>0</v>
      </c>
      <c r="K79" s="1063">
        <f t="shared" si="21"/>
        <v>0</v>
      </c>
      <c r="L79" s="1063">
        <v>0</v>
      </c>
      <c r="M79" s="1063">
        <f t="shared" si="22"/>
        <v>0</v>
      </c>
      <c r="N79" s="1063">
        <f t="shared" si="22"/>
        <v>0</v>
      </c>
      <c r="Z79" s="1995"/>
      <c r="AA79" s="2050"/>
      <c r="AG79" s="1120"/>
      <c r="AK79" s="2050"/>
    </row>
    <row r="80" spans="1:37" ht="24.75" thickBot="1">
      <c r="A80" s="2135" t="s">
        <v>2067</v>
      </c>
      <c r="B80" s="2139"/>
      <c r="C80" s="2041"/>
      <c r="D80" s="1064">
        <f t="shared" si="18"/>
        <v>0</v>
      </c>
      <c r="E80" s="747"/>
      <c r="F80" s="1812"/>
      <c r="G80" s="1062"/>
      <c r="H80" s="1065" t="str">
        <f t="shared" si="19"/>
        <v>——</v>
      </c>
      <c r="I80" s="3364">
        <v>0.05</v>
      </c>
      <c r="J80" s="1063">
        <f t="shared" si="20"/>
        <v>0</v>
      </c>
      <c r="K80" s="1063">
        <f t="shared" si="21"/>
        <v>0</v>
      </c>
      <c r="L80" s="1063">
        <v>0</v>
      </c>
      <c r="M80" s="1063">
        <f t="shared" si="22"/>
        <v>0</v>
      </c>
      <c r="N80" s="1063">
        <f t="shared" si="22"/>
        <v>0</v>
      </c>
      <c r="Z80" s="1995"/>
      <c r="AA80" s="2050"/>
      <c r="AG80" s="1120"/>
      <c r="AK80" s="2050"/>
    </row>
    <row r="81" spans="1:37" ht="15">
      <c r="A81" s="2123" t="s">
        <v>2068</v>
      </c>
      <c r="B81" s="2124">
        <f>1+E83</f>
        <v>1</v>
      </c>
      <c r="C81" s="740"/>
      <c r="D81" s="740"/>
      <c r="E81" s="741"/>
      <c r="F81" s="2126"/>
      <c r="G81" s="3"/>
      <c r="H81" s="3"/>
      <c r="I81" s="3"/>
      <c r="J81" s="4"/>
      <c r="K81" s="4"/>
      <c r="L81" s="4"/>
      <c r="M81" s="4"/>
      <c r="N81" s="4"/>
      <c r="Z81" s="1995"/>
      <c r="AA81" s="2050"/>
      <c r="AG81" s="1120"/>
      <c r="AK81" s="2050"/>
    </row>
    <row r="82" spans="1:37" ht="24.75">
      <c r="A82" s="2127" t="s">
        <v>2043</v>
      </c>
      <c r="B82" s="1349"/>
      <c r="C82" s="1349" t="s">
        <v>2045</v>
      </c>
      <c r="D82" s="1349" t="s">
        <v>2046</v>
      </c>
      <c r="E82" s="742" t="s">
        <v>2047</v>
      </c>
      <c r="F82" s="2128" t="s">
        <v>2062</v>
      </c>
      <c r="G82" s="1349" t="s">
        <v>310</v>
      </c>
      <c r="H82" s="2129" t="s">
        <v>2049</v>
      </c>
      <c r="I82" s="1349"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c r="D83" s="1064">
        <f t="shared" ref="D83:D90" si="23">SUMIF($J$82:$N$82,C83,J83:N83)</f>
        <v>0</v>
      </c>
      <c r="E83" s="743">
        <f>ROUND(SUM(D83:D90),4)</f>
        <v>0</v>
      </c>
      <c r="F83" s="1812"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c r="D84" s="1064">
        <f t="shared" si="23"/>
        <v>0</v>
      </c>
      <c r="E84" s="746"/>
      <c r="F84" s="1812"/>
      <c r="G84" s="1062"/>
      <c r="H84" s="1065" t="str">
        <f t="shared" si="24"/>
        <v>——</v>
      </c>
      <c r="I84" s="3363">
        <v>0.3</v>
      </c>
      <c r="J84" s="1063">
        <f t="shared" si="25"/>
        <v>0</v>
      </c>
      <c r="K84" s="1063">
        <f t="shared" si="26"/>
        <v>0</v>
      </c>
      <c r="L84" s="1063">
        <v>0</v>
      </c>
      <c r="M84" s="1063">
        <f t="shared" si="27"/>
        <v>0</v>
      </c>
      <c r="N84" s="1063">
        <f t="shared" si="27"/>
        <v>0</v>
      </c>
      <c r="Z84" s="1995"/>
      <c r="AA84" s="2050"/>
      <c r="AG84" s="1120"/>
      <c r="AK84" s="2050"/>
    </row>
    <row r="85" spans="1:37" ht="36">
      <c r="A85" s="3365" t="s">
        <v>3272</v>
      </c>
      <c r="B85" s="2131">
        <f>估价对象房地状况!G17</f>
        <v>0</v>
      </c>
      <c r="C85" s="2041"/>
      <c r="D85" s="1064">
        <f t="shared" si="23"/>
        <v>0</v>
      </c>
      <c r="E85" s="746"/>
      <c r="F85" s="1812"/>
      <c r="G85" s="1062"/>
      <c r="H85" s="1065" t="str">
        <f t="shared" si="24"/>
        <v>——</v>
      </c>
      <c r="I85" s="3363">
        <v>0.1</v>
      </c>
      <c r="J85" s="1063">
        <f t="shared" si="25"/>
        <v>0</v>
      </c>
      <c r="K85" s="1063">
        <f t="shared" si="26"/>
        <v>0</v>
      </c>
      <c r="L85" s="1063">
        <v>0</v>
      </c>
      <c r="M85" s="1063">
        <f t="shared" si="27"/>
        <v>0</v>
      </c>
      <c r="N85" s="1063">
        <f t="shared" si="27"/>
        <v>0</v>
      </c>
      <c r="Z85" s="1995"/>
      <c r="AA85" s="2050"/>
      <c r="AG85" s="1120"/>
      <c r="AK85" s="2050"/>
    </row>
    <row r="86" spans="1:37" ht="14.25">
      <c r="A86" s="2127" t="s">
        <v>2066</v>
      </c>
      <c r="B86" s="2131">
        <f>估价对象房地状况!G22</f>
        <v>0</v>
      </c>
      <c r="C86" s="2041"/>
      <c r="D86" s="1064">
        <f t="shared" si="23"/>
        <v>0</v>
      </c>
      <c r="E86" s="746"/>
      <c r="F86" s="1812"/>
      <c r="G86" s="1062"/>
      <c r="H86" s="1065" t="str">
        <f t="shared" si="24"/>
        <v>——</v>
      </c>
      <c r="I86" s="3363">
        <v>0.05</v>
      </c>
      <c r="J86" s="1063">
        <f t="shared" si="25"/>
        <v>0</v>
      </c>
      <c r="K86" s="1063">
        <f t="shared" si="26"/>
        <v>0</v>
      </c>
      <c r="L86" s="1063">
        <v>0</v>
      </c>
      <c r="M86" s="1063">
        <f t="shared" si="27"/>
        <v>0</v>
      </c>
      <c r="N86" s="1063">
        <f t="shared" si="27"/>
        <v>0</v>
      </c>
      <c r="Z86" s="1995"/>
      <c r="AA86" s="2050"/>
      <c r="AG86" s="1120"/>
      <c r="AK86" s="2050"/>
    </row>
    <row r="87" spans="1:37" ht="25.5">
      <c r="A87" s="2127" t="s">
        <v>2058</v>
      </c>
      <c r="B87" s="1324" t="str">
        <f>估价对象房地状况!G19</f>
        <v>估价对象所在区域公共配套设施齐备情况</v>
      </c>
      <c r="C87" s="2041"/>
      <c r="D87" s="1064">
        <f t="shared" si="23"/>
        <v>0</v>
      </c>
      <c r="E87" s="746"/>
      <c r="F87" s="1812"/>
      <c r="G87" s="1062"/>
      <c r="H87" s="1065" t="str">
        <f t="shared" si="24"/>
        <v>——</v>
      </c>
      <c r="I87" s="3363">
        <v>0.06</v>
      </c>
      <c r="J87" s="1063">
        <f t="shared" si="25"/>
        <v>0</v>
      </c>
      <c r="K87" s="1063">
        <f t="shared" si="26"/>
        <v>0</v>
      </c>
      <c r="L87" s="1063">
        <v>0</v>
      </c>
      <c r="M87" s="1063">
        <f t="shared" si="27"/>
        <v>0</v>
      </c>
      <c r="N87" s="1063">
        <f t="shared" si="27"/>
        <v>0</v>
      </c>
    </row>
    <row r="88" spans="1:37" ht="25.5">
      <c r="A88" s="2127" t="s">
        <v>2059</v>
      </c>
      <c r="B88" s="1324" t="str">
        <f>估价对象房地状况!G20</f>
        <v>估价对象所在区域基础设施水平</v>
      </c>
      <c r="C88" s="2041"/>
      <c r="D88" s="1064">
        <f t="shared" si="23"/>
        <v>0</v>
      </c>
      <c r="E88" s="746"/>
      <c r="F88" s="1812"/>
      <c r="G88" s="1062"/>
      <c r="H88" s="1065" t="str">
        <f t="shared" si="24"/>
        <v>——</v>
      </c>
      <c r="I88" s="3363">
        <v>0.12</v>
      </c>
      <c r="J88" s="1063">
        <f t="shared" si="25"/>
        <v>0</v>
      </c>
      <c r="K88" s="1063">
        <f t="shared" si="26"/>
        <v>0</v>
      </c>
      <c r="L88" s="1063">
        <v>0</v>
      </c>
      <c r="M88" s="1063">
        <f t="shared" si="27"/>
        <v>0</v>
      </c>
      <c r="N88" s="1063">
        <f t="shared" si="27"/>
        <v>0</v>
      </c>
    </row>
    <row r="89" spans="1:37" ht="24">
      <c r="A89" s="2127" t="s">
        <v>2056</v>
      </c>
      <c r="B89" s="2133" t="s">
        <v>2070</v>
      </c>
      <c r="C89" s="2041"/>
      <c r="D89" s="1064">
        <f t="shared" si="23"/>
        <v>0</v>
      </c>
      <c r="E89" s="746"/>
      <c r="F89" s="1812"/>
      <c r="G89" s="1062"/>
      <c r="H89" s="1065" t="str">
        <f t="shared" si="24"/>
        <v>——</v>
      </c>
      <c r="I89" s="3363">
        <v>0.06</v>
      </c>
      <c r="J89" s="1063">
        <f t="shared" si="25"/>
        <v>0</v>
      </c>
      <c r="K89" s="1063">
        <f t="shared" si="26"/>
        <v>0</v>
      </c>
      <c r="L89" s="1063">
        <v>0</v>
      </c>
      <c r="M89" s="1063">
        <f t="shared" si="27"/>
        <v>0</v>
      </c>
      <c r="N89" s="1063">
        <f t="shared" si="27"/>
        <v>0</v>
      </c>
    </row>
    <row r="90" spans="1:37" ht="39" thickBot="1">
      <c r="A90" s="2135" t="s">
        <v>2071</v>
      </c>
      <c r="B90" s="2140" t="str">
        <f>估价对象房地状况!G18</f>
        <v>该园区内是否有污染型企业，绿化情况，卫生条件，整体环境状况判断</v>
      </c>
      <c r="C90" s="2041"/>
      <c r="D90" s="1064">
        <f t="shared" si="23"/>
        <v>0</v>
      </c>
      <c r="E90" s="747"/>
      <c r="F90" s="1812"/>
      <c r="G90" s="1062"/>
      <c r="H90" s="1065" t="str">
        <f t="shared" si="24"/>
        <v>——</v>
      </c>
      <c r="I90" s="3364">
        <v>0.05</v>
      </c>
      <c r="J90" s="1063">
        <f t="shared" si="25"/>
        <v>0</v>
      </c>
      <c r="K90" s="1063">
        <f t="shared" si="26"/>
        <v>0</v>
      </c>
      <c r="L90" s="1063">
        <v>0</v>
      </c>
      <c r="M90" s="1063">
        <f t="shared" si="27"/>
        <v>0</v>
      </c>
      <c r="N90" s="1063">
        <f t="shared" si="27"/>
        <v>0</v>
      </c>
    </row>
    <row r="91" spans="1:37" ht="15">
      <c r="A91" s="3373" t="s">
        <v>2613</v>
      </c>
      <c r="B91" s="3374">
        <f>1+E93</f>
        <v>1</v>
      </c>
      <c r="C91" s="3367"/>
      <c r="D91" s="3368"/>
      <c r="E91" s="1812"/>
      <c r="F91" s="1812"/>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4"/>
      <c r="C93" s="2041"/>
      <c r="D93" s="3362">
        <f>SUMIF($J$92:$N$92,C93,J93:N93)</f>
        <v>0</v>
      </c>
      <c r="E93" s="3378">
        <f>ROUND(SUM(D93:D101),4)</f>
        <v>0</v>
      </c>
      <c r="F93" s="1812"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1"/>
      <c r="D94" s="3362">
        <f t="shared" ref="D94:D101" si="31">SUMIF($J$60:$N$60,C94,J94:N94)</f>
        <v>0</v>
      </c>
      <c r="E94" s="3379"/>
      <c r="F94" s="1812"/>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1"/>
      <c r="D95" s="3362">
        <f t="shared" si="31"/>
        <v>0</v>
      </c>
      <c r="E95" s="3379"/>
      <c r="F95" s="1812"/>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1"/>
      <c r="D96" s="3362">
        <f t="shared" si="31"/>
        <v>0</v>
      </c>
      <c r="E96" s="3379"/>
      <c r="F96" s="1812"/>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1"/>
      <c r="D97" s="3362">
        <f t="shared" si="31"/>
        <v>0</v>
      </c>
      <c r="E97" s="3379"/>
      <c r="F97" s="1812"/>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1"/>
      <c r="D98" s="3362">
        <f t="shared" si="31"/>
        <v>0</v>
      </c>
      <c r="E98" s="3379"/>
      <c r="F98" s="1812"/>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1"/>
      <c r="D99" s="3362">
        <f t="shared" si="31"/>
        <v>0</v>
      </c>
      <c r="E99" s="3379"/>
      <c r="F99" s="1812"/>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1"/>
      <c r="D100" s="3362">
        <f t="shared" si="31"/>
        <v>0</v>
      </c>
      <c r="E100" s="3379"/>
      <c r="F100" s="1812"/>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1"/>
      <c r="D101" s="3362">
        <f t="shared" si="31"/>
        <v>0</v>
      </c>
      <c r="E101" s="3380"/>
      <c r="F101" s="1812"/>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10" t="s">
        <v>3296</v>
      </c>
      <c r="B103" s="3810"/>
      <c r="C103" s="3810"/>
      <c r="D103" s="3810"/>
      <c r="E103" s="3810"/>
      <c r="F103" s="3810"/>
      <c r="G103" s="3810"/>
      <c r="H103" s="3810"/>
      <c r="I103" s="3810"/>
      <c r="J103" s="3810"/>
      <c r="K103" s="3386"/>
      <c r="L103" s="3386"/>
      <c r="M103" s="3386"/>
      <c r="N103" s="3386"/>
    </row>
    <row r="104" spans="1:14">
      <c r="A104" s="3811" t="s">
        <v>3297</v>
      </c>
      <c r="B104" s="3811" t="s">
        <v>3298</v>
      </c>
      <c r="C104" s="3387" t="s">
        <v>3299</v>
      </c>
      <c r="D104" s="3388"/>
      <c r="E104" s="3388"/>
      <c r="F104" s="3388"/>
      <c r="G104" s="3388"/>
      <c r="H104" s="3388"/>
      <c r="I104" s="3388"/>
      <c r="J104" s="3389"/>
      <c r="K104" s="3390"/>
      <c r="L104" s="3390"/>
      <c r="M104" s="3390"/>
      <c r="N104" s="3390"/>
    </row>
    <row r="105" spans="1:14">
      <c r="A105" s="3811"/>
      <c r="B105" s="3811"/>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97"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8"/>
      <c r="B111" s="3391" t="s">
        <v>3270</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799"/>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800" t="s">
        <v>3313</v>
      </c>
      <c r="B113" s="3800"/>
      <c r="C113" s="3800"/>
      <c r="D113" s="3800"/>
      <c r="E113" s="3800"/>
      <c r="F113" s="3800"/>
      <c r="G113" s="3800"/>
      <c r="H113" s="3800"/>
      <c r="I113" s="3800"/>
      <c r="J113" s="380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1.5</v>
      </c>
      <c r="C116" s="3396" t="s">
        <v>3315</v>
      </c>
      <c r="D116" s="3397">
        <f>SUMPRODUCT((A118:A122=F116)*(B117:M117=H116)*B118:M122)</f>
        <v>0.8216</v>
      </c>
      <c r="E116" s="1997" t="s">
        <v>3316</v>
      </c>
      <c r="F116" s="3398" t="str">
        <f>E2</f>
        <v>商业</v>
      </c>
      <c r="G116" s="1997" t="s">
        <v>3317</v>
      </c>
      <c r="H116" s="3398" t="str">
        <f>G2</f>
        <v>十级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0.98029999999999995</v>
      </c>
      <c r="C118" s="3384">
        <f>B118</f>
        <v>0.98029999999999995</v>
      </c>
      <c r="D118" s="3384">
        <f>ROUND(0.949-0.014*B116,4)</f>
        <v>0.92800000000000005</v>
      </c>
      <c r="E118" s="3384">
        <f>D118</f>
        <v>0.92800000000000005</v>
      </c>
      <c r="F118" s="3384">
        <f>E118</f>
        <v>0.92800000000000005</v>
      </c>
      <c r="G118" s="3384">
        <f>F118</f>
        <v>0.92800000000000005</v>
      </c>
      <c r="H118" s="3384">
        <f>G118</f>
        <v>0.92800000000000005</v>
      </c>
      <c r="I118" s="3384">
        <f>ROUND(0.8486-0.018*B116,4)</f>
        <v>0.8216</v>
      </c>
      <c r="J118" s="3384">
        <f t="shared" ref="J118:M122" si="36">I118</f>
        <v>0.8216</v>
      </c>
      <c r="K118" s="3384">
        <f t="shared" si="36"/>
        <v>0.8216</v>
      </c>
      <c r="L118" s="3384">
        <f t="shared" si="36"/>
        <v>0.8216</v>
      </c>
      <c r="M118" s="3407">
        <f t="shared" si="36"/>
        <v>0.8216</v>
      </c>
      <c r="N118" s="3394"/>
    </row>
    <row r="119" spans="1:14">
      <c r="A119" s="3406" t="s">
        <v>3331</v>
      </c>
      <c r="B119" s="3384">
        <f>ROUND(0.993-0.0112*B116,4)</f>
        <v>0.97619999999999996</v>
      </c>
      <c r="C119" s="3384">
        <f>B119</f>
        <v>0.97619999999999996</v>
      </c>
      <c r="D119" s="3384">
        <f>ROUND(0.9415-0.0142*B116,4)</f>
        <v>0.92020000000000002</v>
      </c>
      <c r="E119" s="3384">
        <f t="shared" ref="E119:H120" si="37">D119</f>
        <v>0.92020000000000002</v>
      </c>
      <c r="F119" s="3384">
        <f t="shared" si="37"/>
        <v>0.92020000000000002</v>
      </c>
      <c r="G119" s="3384">
        <f t="shared" si="37"/>
        <v>0.92020000000000002</v>
      </c>
      <c r="H119" s="3384">
        <f t="shared" si="37"/>
        <v>0.92020000000000002</v>
      </c>
      <c r="I119" s="3384">
        <f>ROUND(0.838-0.0182*B116,4)</f>
        <v>0.81069999999999998</v>
      </c>
      <c r="J119" s="3384">
        <f t="shared" si="36"/>
        <v>0.81069999999999998</v>
      </c>
      <c r="K119" s="3384">
        <f t="shared" si="36"/>
        <v>0.81069999999999998</v>
      </c>
      <c r="L119" s="3384">
        <f t="shared" si="36"/>
        <v>0.81069999999999998</v>
      </c>
      <c r="M119" s="3407">
        <f t="shared" si="36"/>
        <v>0.81069999999999998</v>
      </c>
      <c r="N119" s="3394"/>
    </row>
    <row r="120" spans="1:14">
      <c r="A120" s="3406" t="s">
        <v>3332</v>
      </c>
      <c r="B120" s="3384">
        <f>ROUND(0.9448-0.0115*B116,4)</f>
        <v>0.92759999999999998</v>
      </c>
      <c r="C120" s="3384">
        <f>B120</f>
        <v>0.92759999999999998</v>
      </c>
      <c r="D120" s="3384">
        <f>ROUND(0.937-0.0145*B116,4)</f>
        <v>0.9153</v>
      </c>
      <c r="E120" s="3384">
        <f t="shared" si="37"/>
        <v>0.9153</v>
      </c>
      <c r="F120" s="3384">
        <f t="shared" si="37"/>
        <v>0.9153</v>
      </c>
      <c r="G120" s="3384">
        <f t="shared" si="37"/>
        <v>0.9153</v>
      </c>
      <c r="H120" s="3384">
        <f t="shared" si="37"/>
        <v>0.9153</v>
      </c>
      <c r="I120" s="3384">
        <f>ROUND(0.7965-0.0185*B116,4)</f>
        <v>0.76880000000000004</v>
      </c>
      <c r="J120" s="3384">
        <f t="shared" si="36"/>
        <v>0.76880000000000004</v>
      </c>
      <c r="K120" s="3384">
        <f t="shared" si="36"/>
        <v>0.76880000000000004</v>
      </c>
      <c r="L120" s="3384">
        <f t="shared" si="36"/>
        <v>0.76880000000000004</v>
      </c>
      <c r="M120" s="3407">
        <f t="shared" si="36"/>
        <v>0.76880000000000004</v>
      </c>
      <c r="N120" s="3394"/>
    </row>
    <row r="121" spans="1:14" ht="13.5" thickBot="1">
      <c r="A121" s="3408" t="s">
        <v>3333</v>
      </c>
      <c r="B121" s="3409">
        <f>ROUND(0.7836-0.012*B116,4)</f>
        <v>0.76559999999999995</v>
      </c>
      <c r="C121" s="3409">
        <f>B121</f>
        <v>0.76559999999999995</v>
      </c>
      <c r="D121" s="3409">
        <f>ROUND(0.753-0.015*B116,4)</f>
        <v>0.73050000000000004</v>
      </c>
      <c r="E121" s="3409">
        <f>D121</f>
        <v>0.73050000000000004</v>
      </c>
      <c r="F121" s="3409">
        <f>E121</f>
        <v>0.73050000000000004</v>
      </c>
      <c r="G121" s="3409">
        <f>ROUND(0.6612-0.018*B116,4)</f>
        <v>0.63419999999999999</v>
      </c>
      <c r="H121" s="3409">
        <f>G121</f>
        <v>0.63419999999999999</v>
      </c>
      <c r="I121" s="3409">
        <f>ROUND(0.5905-0.019*B116,4)</f>
        <v>0.56200000000000006</v>
      </c>
      <c r="J121" s="3409">
        <f t="shared" si="36"/>
        <v>0.56200000000000006</v>
      </c>
      <c r="K121" s="3409">
        <f t="shared" si="36"/>
        <v>0.56200000000000006</v>
      </c>
      <c r="L121" s="3409">
        <f t="shared" si="36"/>
        <v>0.56200000000000006</v>
      </c>
      <c r="M121" s="3410">
        <f t="shared" si="36"/>
        <v>0.56200000000000006</v>
      </c>
      <c r="N121" s="3394"/>
    </row>
    <row r="122" spans="1:14">
      <c r="A122" s="3411" t="s">
        <v>2613</v>
      </c>
      <c r="B122" s="3384">
        <f>ROUND(0.9404-0.0106*B116,4)</f>
        <v>0.92449999999999999</v>
      </c>
      <c r="C122" s="3384">
        <f>B122</f>
        <v>0.92449999999999999</v>
      </c>
      <c r="D122" s="3384">
        <f>ROUND(0.8955-0.0135*B116,4)</f>
        <v>0.87529999999999997</v>
      </c>
      <c r="E122" s="3384">
        <f t="shared" ref="E122:H122" si="38">D122</f>
        <v>0.87529999999999997</v>
      </c>
      <c r="F122" s="3384">
        <f t="shared" si="38"/>
        <v>0.87529999999999997</v>
      </c>
      <c r="G122" s="3384">
        <f t="shared" si="38"/>
        <v>0.87529999999999997</v>
      </c>
      <c r="H122" s="3384">
        <f t="shared" si="38"/>
        <v>0.87529999999999997</v>
      </c>
      <c r="I122" s="3384">
        <f>ROUND(0.7632-0.0166*B116,4)</f>
        <v>0.73829999999999996</v>
      </c>
      <c r="J122" s="3384">
        <f t="shared" si="36"/>
        <v>0.73829999999999996</v>
      </c>
      <c r="K122" s="3384">
        <f t="shared" si="36"/>
        <v>0.73829999999999996</v>
      </c>
      <c r="L122" s="3384">
        <f t="shared" si="36"/>
        <v>0.73829999999999996</v>
      </c>
      <c r="M122" s="3407">
        <f t="shared" si="36"/>
        <v>0.73829999999999996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65" t="s">
        <v>694</v>
      </c>
      <c r="C6" s="1073">
        <f ca="1">ROUND(F6*F8*F7*(1-F9)/10000,0)</f>
        <v>0</v>
      </c>
      <c r="D6" s="155" t="s">
        <v>2107</v>
      </c>
      <c r="E6" s="302" t="s">
        <v>696</v>
      </c>
      <c r="F6" s="303">
        <f ca="1">INDIRECT("'数据-取费表'!u"&amp;$G$1)</f>
        <v>0</v>
      </c>
      <c r="G6" s="1382"/>
      <c r="H6" s="1068" t="s">
        <v>398</v>
      </c>
      <c r="I6" s="3765" t="s">
        <v>694</v>
      </c>
      <c r="J6" s="301">
        <f ca="1">ROUND(M6*M8*M7*(1-M9)/10000,0)</f>
        <v>0</v>
      </c>
      <c r="K6" s="155" t="s">
        <v>2106</v>
      </c>
      <c r="L6" s="302" t="s">
        <v>696</v>
      </c>
      <c r="M6" s="303">
        <f ca="1">INDIRECT("'数据-取费表'!z"&amp;$G$1)</f>
        <v>0</v>
      </c>
    </row>
    <row r="7" spans="1:37" ht="18" customHeight="1">
      <c r="A7" s="1072"/>
      <c r="B7" s="3766"/>
      <c r="C7" s="1074"/>
      <c r="D7" s="307"/>
      <c r="E7" s="3449" t="s">
        <v>697</v>
      </c>
      <c r="F7" s="303">
        <f ca="1">IF(INDIRECT("'数据-取费表'!ah"&amp;$G$1)="",INDIRECT("'数据-取费表'!k"&amp;$G$1),INDIRECT("'数据-取费表'!ah"&amp;$G$1))</f>
        <v>0</v>
      </c>
      <c r="G7" s="1382"/>
      <c r="H7" s="304"/>
      <c r="I7" s="3766"/>
      <c r="J7" s="306"/>
      <c r="K7" s="307"/>
      <c r="L7" s="302" t="s">
        <v>697</v>
      </c>
      <c r="M7" s="303">
        <f ca="1">F7</f>
        <v>0</v>
      </c>
    </row>
    <row r="8" spans="1:37" ht="18" customHeight="1">
      <c r="A8" s="304"/>
      <c r="B8" s="3766"/>
      <c r="C8" s="306"/>
      <c r="D8" s="307"/>
      <c r="E8" s="302" t="s">
        <v>698</v>
      </c>
      <c r="F8" s="303">
        <f ca="1">INDIRECT("'数据-取费表'!ai"&amp;$G$1)</f>
        <v>0</v>
      </c>
      <c r="G8" s="1382"/>
      <c r="H8" s="304"/>
      <c r="I8" s="3766"/>
      <c r="J8" s="306"/>
      <c r="K8" s="307"/>
      <c r="L8" s="302" t="s">
        <v>698</v>
      </c>
      <c r="M8" s="303">
        <f ca="1">INDIRECT("'数据-取费表'!ai"&amp;$G$1)</f>
        <v>0</v>
      </c>
    </row>
    <row r="9" spans="1:37" ht="18" customHeight="1">
      <c r="A9" s="304"/>
      <c r="B9" s="3767"/>
      <c r="C9" s="306"/>
      <c r="D9" s="307"/>
      <c r="E9" s="302" t="s">
        <v>699</v>
      </c>
      <c r="F9" s="312">
        <f ca="1">INDIRECT("'数据-取费表'!w"&amp;$G$1)</f>
        <v>0</v>
      </c>
      <c r="G9" s="1382"/>
      <c r="H9" s="304"/>
      <c r="I9" s="3767"/>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6" t="s">
        <v>705</v>
      </c>
      <c r="E13" s="3446"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3452" t="s">
        <v>708</v>
      </c>
      <c r="E14" s="3451"/>
      <c r="F14" s="319"/>
      <c r="G14" s="1382"/>
      <c r="H14" s="981" t="s">
        <v>398</v>
      </c>
      <c r="I14" s="302" t="s">
        <v>709</v>
      </c>
      <c r="J14" s="21">
        <f ca="1">C29</f>
        <v>0</v>
      </c>
      <c r="K14" s="3448"/>
      <c r="L14" s="806"/>
      <c r="M14" s="807"/>
    </row>
    <row r="15" spans="1:37" s="1395" customFormat="1" ht="18" customHeight="1" thickBot="1">
      <c r="A15" s="981" t="s">
        <v>399</v>
      </c>
      <c r="B15" s="302" t="s">
        <v>710</v>
      </c>
      <c r="C15" s="21">
        <f ca="1">ROUND(C14*F15,0)</f>
        <v>0</v>
      </c>
      <c r="D15" s="3447" t="s">
        <v>711</v>
      </c>
      <c r="E15" s="3447"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3454"/>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3">
        <f ca="1">ROUND(IF(AND(项目基本情况!B11="自然人",项目基本情况!B10="北京市"),J6*M17/(1+'数据-取费表'!C42),J18+J19+J20),2)</f>
        <v>0</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3456"/>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2425"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f ca="1">ROUND(J14*M22,2)</f>
        <v>0</v>
      </c>
      <c r="K22" s="3453"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3"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f ca="1">J5-J16</f>
        <v>0</v>
      </c>
      <c r="K25" s="1094" t="s">
        <v>753</v>
      </c>
      <c r="L25" s="1095"/>
      <c r="M25" s="1096"/>
    </row>
    <row r="26" spans="1:37">
      <c r="A26" s="981" t="s">
        <v>397</v>
      </c>
      <c r="B26" s="302" t="s">
        <v>754</v>
      </c>
      <c r="C26" s="21">
        <f ca="1">ROUND((C19+C20)*F26,0)</f>
        <v>0</v>
      </c>
      <c r="D26" s="2425"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2425" t="s">
        <v>761</v>
      </c>
      <c r="E27" s="3447"/>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3454"/>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0</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0</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3453"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ROUND(C13*F37,2)</f>
        <v>0</v>
      </c>
      <c r="D37" s="3453"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3455">
        <f ca="1">C49+C53+C55</f>
        <v>0</v>
      </c>
      <c r="D48" s="1111"/>
      <c r="E48" s="1112"/>
      <c r="F48" s="961"/>
      <c r="G48" s="721"/>
      <c r="H48" s="722"/>
      <c r="I48" s="1419" t="s">
        <v>819</v>
      </c>
      <c r="J48" s="1420" t="s">
        <v>3398</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ROUND(F49*F51*F50*(1-F52)/10000,0)</f>
        <v>0</v>
      </c>
      <c r="D49" s="1054" t="s">
        <v>2106</v>
      </c>
      <c r="E49" s="1370" t="s">
        <v>780</v>
      </c>
      <c r="F49" s="1059"/>
      <c r="G49" s="1423"/>
      <c r="H49" s="722"/>
      <c r="I49" s="1419" t="s">
        <v>823</v>
      </c>
      <c r="J49" s="1424">
        <v>2005</v>
      </c>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0.7</v>
      </c>
      <c r="R50" s="1418"/>
    </row>
    <row r="51" spans="1:18" s="1382" customFormat="1" ht="13.5" thickBot="1">
      <c r="A51" s="976"/>
      <c r="B51" s="978"/>
      <c r="C51" s="979"/>
      <c r="D51" s="952"/>
      <c r="E51" s="980" t="s">
        <v>698</v>
      </c>
      <c r="F51" s="303">
        <f ca="1">F8</f>
        <v>0</v>
      </c>
      <c r="I51" s="1430" t="s">
        <v>829</v>
      </c>
      <c r="J51" s="1431">
        <f>IF(J49="",J50,J49+J50-YEAR('数据-取费表'!B2))</f>
        <v>42</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0</v>
      </c>
      <c r="K53" s="3768" t="s">
        <v>837</v>
      </c>
      <c r="L53" s="3769"/>
      <c r="O53" s="1416" t="s">
        <v>409</v>
      </c>
      <c r="P53" s="1417" t="s">
        <v>838</v>
      </c>
      <c r="Q53" s="1418" t="e">
        <f ca="1">Q47+Q48</f>
        <v>#DIV/0!</v>
      </c>
      <c r="R53" s="1418" t="s">
        <v>410</v>
      </c>
    </row>
    <row r="54" spans="1:18" s="1382" customFormat="1" ht="13.5" thickBot="1">
      <c r="A54" s="1152"/>
      <c r="B54" s="1365" t="s">
        <v>679</v>
      </c>
      <c r="C54" s="958"/>
      <c r="D54" s="1364"/>
      <c r="E54" s="345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f ca="1">ROUND(IF(J47="钢混",J57/J50,1-(1-2%)*(J50-J57)/J50),3)</f>
        <v>0.7</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3399</v>
      </c>
      <c r="K56" s="1419" t="s">
        <v>843</v>
      </c>
      <c r="L56" s="1422" t="str">
        <f ca="1">IF(L48&lt;J51,"——",L48-J53)</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42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3335</v>
      </c>
      <c r="D1" s="1360" t="s">
        <v>43</v>
      </c>
      <c r="E1" s="1361" t="s">
        <v>678</v>
      </c>
      <c r="F1" s="1061" t="e">
        <f ca="1">J53</f>
        <v>#N/A</v>
      </c>
      <c r="G1" s="1376"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#N/A</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t="e">
        <f ca="1">C6+C10+C12</f>
        <v>#N/A</v>
      </c>
      <c r="D5" s="1362" t="s">
        <v>693</v>
      </c>
      <c r="E5" s="1070"/>
      <c r="F5" s="1071"/>
      <c r="G5" s="1382"/>
      <c r="H5" s="299">
        <v>1</v>
      </c>
      <c r="I5" s="300" t="s">
        <v>692</v>
      </c>
      <c r="J5" s="1069" t="e">
        <f ca="1">J6+J10+J12</f>
        <v>#N/A</v>
      </c>
      <c r="K5" s="1362" t="s">
        <v>693</v>
      </c>
      <c r="L5" s="1070"/>
      <c r="M5" s="1071"/>
    </row>
    <row r="6" spans="1:37" ht="18" customHeight="1">
      <c r="A6" s="1068" t="s">
        <v>398</v>
      </c>
      <c r="B6" s="3765" t="s">
        <v>694</v>
      </c>
      <c r="C6" s="1073" t="e">
        <f ca="1">ROUND(F6*F8*F7*(1-F9)/10000,0)</f>
        <v>#N/A</v>
      </c>
      <c r="D6" s="155" t="s">
        <v>2107</v>
      </c>
      <c r="E6" s="302" t="s">
        <v>696</v>
      </c>
      <c r="F6" s="303" t="e">
        <f ca="1">INDIRECT("'数据-取费表'!u"&amp;$G$1)</f>
        <v>#N/A</v>
      </c>
      <c r="G6" s="1382"/>
      <c r="H6" s="1068" t="s">
        <v>398</v>
      </c>
      <c r="I6" s="3765" t="s">
        <v>694</v>
      </c>
      <c r="J6" s="301" t="e">
        <f ca="1">ROUND(M6*M8*M7*(1-M9)/10000,0)</f>
        <v>#N/A</v>
      </c>
      <c r="K6" s="155" t="s">
        <v>2106</v>
      </c>
      <c r="L6" s="302" t="s">
        <v>696</v>
      </c>
      <c r="M6" s="303" t="e">
        <f ca="1">INDIRECT("'数据-取费表'!z"&amp;$G$1)</f>
        <v>#N/A</v>
      </c>
    </row>
    <row r="7" spans="1:37" ht="18" customHeight="1">
      <c r="A7" s="1072"/>
      <c r="B7" s="3766"/>
      <c r="C7" s="1074"/>
      <c r="D7" s="307"/>
      <c r="E7" s="3449" t="s">
        <v>697</v>
      </c>
      <c r="F7" s="303" t="e">
        <f ca="1">IF(INDIRECT("'数据-取费表'!ah"&amp;$G$1)="",INDIRECT("'数据-取费表'!k"&amp;$G$1),INDIRECT("'数据-取费表'!ah"&amp;$G$1))</f>
        <v>#N/A</v>
      </c>
      <c r="G7" s="1382"/>
      <c r="H7" s="304"/>
      <c r="I7" s="3766"/>
      <c r="J7" s="306"/>
      <c r="K7" s="307"/>
      <c r="L7" s="302" t="s">
        <v>697</v>
      </c>
      <c r="M7" s="303" t="e">
        <f ca="1">F7</f>
        <v>#N/A</v>
      </c>
    </row>
    <row r="8" spans="1:37" ht="18" customHeight="1">
      <c r="A8" s="304"/>
      <c r="B8" s="3766"/>
      <c r="C8" s="306"/>
      <c r="D8" s="307"/>
      <c r="E8" s="302" t="s">
        <v>698</v>
      </c>
      <c r="F8" s="303" t="e">
        <f ca="1">INDIRECT("'数据-取费表'!ai"&amp;$G$1)</f>
        <v>#N/A</v>
      </c>
      <c r="G8" s="1382"/>
      <c r="H8" s="304"/>
      <c r="I8" s="3766"/>
      <c r="J8" s="306"/>
      <c r="K8" s="307"/>
      <c r="L8" s="302" t="s">
        <v>698</v>
      </c>
      <c r="M8" s="303" t="e">
        <f ca="1">INDIRECT("'数据-取费表'!ai"&amp;$G$1)</f>
        <v>#N/A</v>
      </c>
    </row>
    <row r="9" spans="1:37" ht="18" customHeight="1">
      <c r="A9" s="304"/>
      <c r="B9" s="3767"/>
      <c r="C9" s="306"/>
      <c r="D9" s="307"/>
      <c r="E9" s="302" t="s">
        <v>699</v>
      </c>
      <c r="F9" s="312" t="e">
        <f ca="1">INDIRECT("'数据-取费表'!w"&amp;$G$1)</f>
        <v>#N/A</v>
      </c>
      <c r="G9" s="1382"/>
      <c r="H9" s="304"/>
      <c r="I9" s="3767"/>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2114</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3446" t="s">
        <v>705</v>
      </c>
      <c r="E13" s="3446"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INDIRECT("'数据-取费表'!m"&amp;$G$1)+INDIRECT("'数据-取费表'!t"&amp;$G$1)</f>
        <v>#N/A</v>
      </c>
      <c r="D14" s="3452" t="s">
        <v>708</v>
      </c>
      <c r="E14" s="3451"/>
      <c r="F14" s="319"/>
      <c r="G14" s="1382"/>
      <c r="H14" s="981" t="s">
        <v>398</v>
      </c>
      <c r="I14" s="302" t="s">
        <v>709</v>
      </c>
      <c r="J14" s="21" t="e">
        <f ca="1">C29</f>
        <v>#N/A</v>
      </c>
      <c r="K14" s="3448"/>
      <c r="L14" s="806"/>
      <c r="M14" s="807"/>
    </row>
    <row r="15" spans="1:37" s="1395" customFormat="1" ht="18" customHeight="1" thickBot="1">
      <c r="A15" s="981" t="s">
        <v>399</v>
      </c>
      <c r="B15" s="302" t="s">
        <v>710</v>
      </c>
      <c r="C15" s="21" t="e">
        <f ca="1">ROUND(C14*F15,0)</f>
        <v>#N/A</v>
      </c>
      <c r="D15" s="3447" t="s">
        <v>711</v>
      </c>
      <c r="E15" s="3447"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3454"/>
      <c r="M16" s="1071"/>
    </row>
    <row r="17" spans="1:37" s="1395" customFormat="1" ht="18" customHeight="1">
      <c r="A17" s="981" t="s">
        <v>681</v>
      </c>
      <c r="B17" s="302" t="s">
        <v>716</v>
      </c>
      <c r="C17" s="21" t="e">
        <f ca="1">ROUND(F17*(F43+INDIRECT("'数据-取费表'!S"&amp;$G$1))/10000,0)</f>
        <v>#N/A</v>
      </c>
      <c r="D17" s="302" t="s">
        <v>717</v>
      </c>
      <c r="E17" s="302" t="s">
        <v>718</v>
      </c>
      <c r="F17" s="23">
        <f>'数据-取费表'!B35</f>
        <v>200</v>
      </c>
      <c r="G17" s="1394"/>
      <c r="H17" s="981" t="s">
        <v>398</v>
      </c>
      <c r="I17" s="302" t="s">
        <v>719</v>
      </c>
      <c r="J17" s="2313" t="e">
        <f ca="1">ROUND(IF(AND(项目基本情况!B11="自然人",项目基本情况!B10="北京市"),J6*M17/(1+'数据-取费表'!C42),J18+J19+J20),2)</f>
        <v>#N/A</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1.4999999999999999E-2</v>
      </c>
      <c r="G18" s="1394"/>
      <c r="H18" s="981" t="s">
        <v>397</v>
      </c>
      <c r="I18" s="302" t="s">
        <v>723</v>
      </c>
      <c r="J18" s="21" t="e">
        <f ca="1">ROUND(J6*M18/(1+'数据-取费表'!C42),2)</f>
        <v>#N/A</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3456"/>
      <c r="F19" s="23"/>
      <c r="G19" s="1382"/>
      <c r="H19" s="981" t="s">
        <v>399</v>
      </c>
      <c r="I19" s="302" t="s">
        <v>727</v>
      </c>
      <c r="J19" s="21" t="e">
        <f ca="1">IF(K19="按租金收入计税",ROUND(J6*M19/(1+'数据-取费表'!C42),2),ROUND(C29*M19*0.7,2))</f>
        <v>#N/A</v>
      </c>
      <c r="K19" s="1368" t="s">
        <v>3337</v>
      </c>
      <c r="L19" s="302" t="s">
        <v>712</v>
      </c>
      <c r="M19" s="322">
        <f>IF(K19="按租金收入计税",'数据-取费表'!B51,'数据-取费表'!B50)</f>
        <v>0.12</v>
      </c>
    </row>
    <row r="20" spans="1:37" s="1395" customFormat="1" ht="18" customHeight="1">
      <c r="A20" s="981" t="s">
        <v>402</v>
      </c>
      <c r="B20" s="302" t="s">
        <v>728</v>
      </c>
      <c r="C20" s="21" t="e">
        <f ca="1">ROUND(C19*F20,0)</f>
        <v>#N/A</v>
      </c>
      <c r="D20" s="2425" t="s">
        <v>729</v>
      </c>
      <c r="E20" s="302" t="s">
        <v>712</v>
      </c>
      <c r="F20" s="322">
        <f>'数据-取费表'!B37</f>
        <v>0.02</v>
      </c>
      <c r="G20" s="1394"/>
      <c r="H20" s="981"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t="e">
        <f ca="1">ROUND(J14*M22,2)</f>
        <v>#N/A</v>
      </c>
      <c r="K22" s="3453"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t="e">
        <f ca="1">ROUND(J13*M23,2)</f>
        <v>#N/A</v>
      </c>
      <c r="K23" s="3453"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t="e">
        <f ca="1">ROUND(J5*M24,2)</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t="e">
        <f ca="1">J5-J16</f>
        <v>#N/A</v>
      </c>
      <c r="K25" s="1094" t="s">
        <v>753</v>
      </c>
      <c r="L25" s="1095"/>
      <c r="M25" s="1096"/>
    </row>
    <row r="26" spans="1:37">
      <c r="A26" s="981" t="s">
        <v>397</v>
      </c>
      <c r="B26" s="302" t="s">
        <v>754</v>
      </c>
      <c r="C26" s="21" t="e">
        <f ca="1">ROUND((C19+C20)*F26,0)</f>
        <v>#N/A</v>
      </c>
      <c r="D26" s="2425"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5" t="s">
        <v>761</v>
      </c>
      <c r="E27" s="3447"/>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3454"/>
      <c r="F30" s="1071"/>
      <c r="G30" s="1382"/>
      <c r="H30" s="2694"/>
      <c r="I30" s="1396"/>
      <c r="J30" s="1397"/>
      <c r="K30" s="2472"/>
      <c r="L30" s="2695"/>
      <c r="M30" s="2696"/>
    </row>
    <row r="31" spans="1:37" ht="18" customHeight="1">
      <c r="A31" s="981" t="s">
        <v>398</v>
      </c>
      <c r="B31" s="302" t="s">
        <v>719</v>
      </c>
      <c r="C31" s="2313" t="e">
        <f ca="1">ROUND(IF(AND(项目基本情况!B11="自然人",项目基本情况!B10="北京市"),C6*F31/(1+'数据-取费表'!C42),C32+C33+C34),2)</f>
        <v>#N/A</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t="e">
        <f ca="1">IF(项目基本情况!B11="自然人","——",ROUND(C6*F32/(1+'数据-取费表'!C42),2))</f>
        <v>#N/A</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e">
        <f ca="1">IF(项目基本情况!B11="自然人","——",ROUND(F34*F35/10000,2))</f>
        <v>#N/A</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t="e">
        <f ca="1">INDIRECT("'数据-取费表'!r"&amp;$G$1)</f>
        <v>#N/A</v>
      </c>
      <c r="G35" s="1382"/>
      <c r="H35" s="2694"/>
      <c r="I35" s="1396"/>
      <c r="J35" s="1397"/>
      <c r="K35" s="2698"/>
      <c r="L35" s="2697"/>
      <c r="M35" s="2697"/>
    </row>
    <row r="36" spans="1:18" ht="18" customHeight="1">
      <c r="A36" s="1101" t="s">
        <v>402</v>
      </c>
      <c r="B36" s="302" t="s">
        <v>738</v>
      </c>
      <c r="C36" s="21" t="e">
        <f ca="1">ROUND(C29*F36,2)</f>
        <v>#N/A</v>
      </c>
      <c r="D36" s="3453" t="s">
        <v>771</v>
      </c>
      <c r="E36" s="302" t="s">
        <v>712</v>
      </c>
      <c r="F36" s="328" t="e">
        <f ca="1">INDIRECT("'数据-取费表'!Ak"&amp;$G$1)</f>
        <v>#N/A</v>
      </c>
      <c r="G36" s="1382"/>
      <c r="H36" s="2697"/>
      <c r="I36" s="1396"/>
      <c r="J36" s="1397"/>
      <c r="K36" s="2541"/>
      <c r="L36" s="2697"/>
      <c r="M36" s="2697"/>
    </row>
    <row r="37" spans="1:18" ht="18" customHeight="1">
      <c r="A37" s="981" t="s">
        <v>437</v>
      </c>
      <c r="B37" s="302" t="s">
        <v>742</v>
      </c>
      <c r="C37" s="21" t="e">
        <f ca="1">ROUND(C13*F37,2)</f>
        <v>#N/A</v>
      </c>
      <c r="D37" s="3453" t="s">
        <v>743</v>
      </c>
      <c r="E37" s="302" t="s">
        <v>744</v>
      </c>
      <c r="F37" s="330" t="e">
        <f ca="1">INDIRECT("'数据-取费表'!Al"&amp;$G$1)</f>
        <v>#N/A</v>
      </c>
      <c r="G37" s="1382"/>
      <c r="H37" s="2697"/>
      <c r="I37" s="1396"/>
      <c r="J37" s="1397"/>
      <c r="K37" s="2541"/>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2"/>
      <c r="H38" s="2697"/>
      <c r="I38" s="1396"/>
      <c r="J38" s="1397"/>
      <c r="K38" s="2701"/>
      <c r="L38" s="2697"/>
      <c r="M38" s="2697"/>
    </row>
    <row r="39" spans="1:18" ht="24.6" customHeight="1" thickTop="1">
      <c r="A39" s="1078" t="s">
        <v>394</v>
      </c>
      <c r="B39" s="1093" t="s">
        <v>772</v>
      </c>
      <c r="C39" s="310" t="e">
        <f ca="1">C5-C30</f>
        <v>#N/A</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1"/>
      <c r="L41" s="1189"/>
      <c r="M41" s="1189"/>
    </row>
    <row r="42" spans="1:18" ht="18" customHeight="1">
      <c r="A42" s="308"/>
      <c r="B42" s="309"/>
      <c r="C42" s="310"/>
      <c r="D42" s="327"/>
      <c r="E42" s="302" t="s">
        <v>766</v>
      </c>
      <c r="F42" s="312" t="e">
        <f ca="1">INDIRECT("'数据-取费表'!v"&amp;$G$1)</f>
        <v>#N/A</v>
      </c>
      <c r="G42" s="1382"/>
      <c r="H42" s="1189"/>
      <c r="I42" s="1396"/>
      <c r="J42" s="1397"/>
      <c r="K42" s="2541"/>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3455" t="e">
        <f ca="1">C49+C53+C55</f>
        <v>#N/A</v>
      </c>
      <c r="D48" s="1111"/>
      <c r="E48" s="1112"/>
      <c r="F48" s="961"/>
      <c r="G48" s="721"/>
      <c r="H48" s="722"/>
      <c r="I48" s="1419" t="s">
        <v>819</v>
      </c>
      <c r="J48" s="1420" t="s">
        <v>3398</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ROUND(F49*F51*F50*(1-F52)/10000,0)</f>
        <v>#N/A</v>
      </c>
      <c r="D49" s="1054" t="s">
        <v>2106</v>
      </c>
      <c r="E49" s="1370" t="s">
        <v>780</v>
      </c>
      <c r="F49" s="1059"/>
      <c r="G49" s="1423"/>
      <c r="H49" s="722"/>
      <c r="I49" s="1419" t="s">
        <v>823</v>
      </c>
      <c r="J49" s="1424">
        <v>2005</v>
      </c>
      <c r="K49" s="1421" t="s">
        <v>824</v>
      </c>
      <c r="L49" s="1425"/>
      <c r="O49" s="1426" t="s">
        <v>405</v>
      </c>
      <c r="P49" s="1417" t="s">
        <v>825</v>
      </c>
      <c r="Q49" s="1418" t="e">
        <f ca="1">C29</f>
        <v>#N/A</v>
      </c>
      <c r="R49" s="1418" t="s">
        <v>818</v>
      </c>
    </row>
    <row r="50" spans="1:18" s="1382" customFormat="1" ht="13.5" thickBot="1">
      <c r="A50" s="975"/>
      <c r="B50" s="978"/>
      <c r="C50" s="1117"/>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t="e">
        <f ca="1">J53</f>
        <v>#N/A</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t="e">
        <f ca="1">IF(M47="住宅",IF(D1="——",MAX(J51,L48),MAX(J51,L48-'数据-取费表'!B24)),IF(D1="——",MIN(J51,L48),MIN(J51,L48-'数据-取费表'!B24)))</f>
        <v>#N/A</v>
      </c>
      <c r="K53" s="3768" t="s">
        <v>837</v>
      </c>
      <c r="L53" s="3769"/>
      <c r="O53" s="1416" t="s">
        <v>409</v>
      </c>
      <c r="P53" s="1417" t="s">
        <v>838</v>
      </c>
      <c r="Q53" s="1418" t="e">
        <f ca="1">Q47+Q48</f>
        <v>#N/A</v>
      </c>
      <c r="R53" s="1418" t="s">
        <v>410</v>
      </c>
    </row>
    <row r="54" spans="1:18" s="1382" customFormat="1" ht="13.5" thickBot="1">
      <c r="A54" s="1152"/>
      <c r="B54" s="1365" t="s">
        <v>679</v>
      </c>
      <c r="C54" s="958"/>
      <c r="D54" s="1364"/>
      <c r="E54" s="345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6">
        <v>2</v>
      </c>
      <c r="B56" s="957" t="s">
        <v>704</v>
      </c>
      <c r="C56" s="232" t="e">
        <f ca="1">C13</f>
        <v>#N/A</v>
      </c>
      <c r="D56" s="1445"/>
      <c r="E56" s="1446"/>
      <c r="F56" s="1438"/>
      <c r="I56" s="1447" t="s">
        <v>842</v>
      </c>
      <c r="J56" s="1448" t="s">
        <v>3399</v>
      </c>
      <c r="K56" s="1419" t="s">
        <v>843</v>
      </c>
      <c r="L56" s="1422" t="e">
        <f ca="1">IF(L48&lt;J51,"——",L48-J53)</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3" t="e">
        <f ca="1">ROUND(IF(AND(项目基本情况!B11="自然人",项目基本情况!B10="北京市"),C49*F59/(1+'数据-取费表'!C42),C60+C61+C62),0)</f>
        <v>#N/A</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IF(项目基本情况!B11="自然人","——",IF(D61="按租金收入计税",ROUND(C49*F61/(1+'数据-取费表'!C42),2),IF(D61="按房产原值计税",ROUND(C57*F61*0.7,2),INDIRECT("'数据-取费表'!Aj"&amp;$G$1))))</f>
        <v>#N/A</v>
      </c>
      <c r="D61" s="1368" t="s">
        <v>3337</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IF(项目基本情况!B11="自然人","——",ROUND(F62*F63/10000,2))</f>
        <v>#N/A</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ROUND(C57*F64,2)</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ROUND(C56*F65,2)</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ROUND(C48*F66,2)</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ROUND(C68*10000/F71,0)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20062.899999999998</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1666</v>
      </c>
      <c r="B4" s="356"/>
      <c r="C4" s="3729" t="s">
        <v>1667</v>
      </c>
      <c r="D4" s="3730"/>
      <c r="E4" s="3731" t="s">
        <v>1668</v>
      </c>
      <c r="F4" s="3732"/>
      <c r="G4" s="3729" t="s">
        <v>1669</v>
      </c>
      <c r="H4" s="3730"/>
      <c r="I4" s="3729" t="s">
        <v>1670</v>
      </c>
      <c r="J4" s="3730"/>
      <c r="K4" s="1887" t="s">
        <v>1671</v>
      </c>
      <c r="L4" s="2712"/>
      <c r="M4" s="2713"/>
      <c r="N4" s="2713"/>
      <c r="O4" s="2713"/>
      <c r="P4" s="3733" t="s">
        <v>1672</v>
      </c>
      <c r="Q4" s="3734"/>
      <c r="R4" s="3739" t="s">
        <v>1668</v>
      </c>
      <c r="S4" s="3740"/>
      <c r="T4" s="3739" t="s">
        <v>1669</v>
      </c>
      <c r="U4" s="3740"/>
      <c r="V4" s="3724" t="s">
        <v>1670</v>
      </c>
      <c r="W4" s="3724"/>
      <c r="X4" s="1353"/>
      <c r="Y4" s="3739" t="s">
        <v>1672</v>
      </c>
      <c r="Z4" s="3740"/>
      <c r="AA4" s="3726" t="s">
        <v>1668</v>
      </c>
      <c r="AB4" s="3726" t="s">
        <v>1669</v>
      </c>
      <c r="AC4" s="3726" t="s">
        <v>1670</v>
      </c>
    </row>
    <row r="5" spans="1:29" ht="15">
      <c r="A5" s="358"/>
      <c r="B5" s="359"/>
      <c r="C5" s="3752" t="s">
        <v>1673</v>
      </c>
      <c r="D5" s="3748"/>
      <c r="E5" s="3764" t="s">
        <v>1674</v>
      </c>
      <c r="F5" s="3756"/>
      <c r="G5" s="3752" t="s">
        <v>1675</v>
      </c>
      <c r="H5" s="3748"/>
      <c r="I5" s="3752" t="s">
        <v>1676</v>
      </c>
      <c r="J5" s="3748"/>
      <c r="K5" s="1888"/>
      <c r="L5" s="2712"/>
      <c r="M5" s="2713"/>
      <c r="N5" s="2713"/>
      <c r="O5" s="2713"/>
      <c r="P5" s="3735"/>
      <c r="Q5" s="3736"/>
      <c r="R5" s="3741"/>
      <c r="S5" s="3742"/>
      <c r="T5" s="3741"/>
      <c r="U5" s="3742"/>
      <c r="V5" s="3724"/>
      <c r="W5" s="3724"/>
      <c r="X5" s="1353"/>
      <c r="Y5" s="3741"/>
      <c r="Z5" s="3742"/>
      <c r="AA5" s="3727"/>
      <c r="AB5" s="3727"/>
      <c r="AC5" s="3727"/>
    </row>
    <row r="6" spans="1:29" ht="15.75" thickBot="1">
      <c r="A6" s="360"/>
      <c r="B6" s="361"/>
      <c r="C6" s="3745" t="s">
        <v>1677</v>
      </c>
      <c r="D6" s="3746"/>
      <c r="E6" s="3753" t="s">
        <v>1677</v>
      </c>
      <c r="F6" s="3754"/>
      <c r="G6" s="3745" t="s">
        <v>1677</v>
      </c>
      <c r="H6" s="3746"/>
      <c r="I6" s="3745" t="s">
        <v>1677</v>
      </c>
      <c r="J6" s="3746"/>
      <c r="K6" s="1888" t="s">
        <v>1678</v>
      </c>
      <c r="L6" s="2712"/>
      <c r="M6" s="2713"/>
      <c r="N6" s="2713"/>
      <c r="O6" s="2713"/>
      <c r="P6" s="3737"/>
      <c r="Q6" s="3738"/>
      <c r="R6" s="3741"/>
      <c r="S6" s="3742"/>
      <c r="T6" s="3743"/>
      <c r="U6" s="3744"/>
      <c r="V6" s="3724"/>
      <c r="W6" s="3724"/>
      <c r="X6" s="1353"/>
      <c r="Y6" s="3743"/>
      <c r="Z6" s="3744"/>
      <c r="AA6" s="3728"/>
      <c r="AB6" s="3728"/>
      <c r="AC6" s="3728"/>
    </row>
    <row r="7" spans="1:29" s="108" customFormat="1" ht="15.75" thickBot="1">
      <c r="A7" s="362" t="s">
        <v>1679</v>
      </c>
      <c r="B7" s="363"/>
      <c r="C7" s="364">
        <f>'数据-取费表'!B2</f>
        <v>45068</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49" t="s">
        <v>1680</v>
      </c>
      <c r="Q7" s="3751"/>
      <c r="R7" s="700" t="s">
        <v>20</v>
      </c>
      <c r="S7" s="701">
        <f t="shared" ref="S7:S15" si="0">F7</f>
        <v>0</v>
      </c>
      <c r="T7" s="700" t="s">
        <v>20</v>
      </c>
      <c r="U7" s="701">
        <f t="shared" ref="U7:U15" si="1">H7</f>
        <v>0</v>
      </c>
      <c r="V7" s="700" t="s">
        <v>20</v>
      </c>
      <c r="W7" s="701">
        <f t="shared" ref="W7:W15" si="2">J7</f>
        <v>0</v>
      </c>
      <c r="X7" s="702"/>
      <c r="Y7" s="3749" t="s">
        <v>1680</v>
      </c>
      <c r="Z7" s="3750"/>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49" t="s">
        <v>1683</v>
      </c>
      <c r="Q8" s="3750"/>
      <c r="R8" s="700" t="s">
        <v>20</v>
      </c>
      <c r="S8" s="701">
        <f t="shared" si="0"/>
        <v>100</v>
      </c>
      <c r="T8" s="700" t="s">
        <v>20</v>
      </c>
      <c r="U8" s="701">
        <f t="shared" si="1"/>
        <v>100</v>
      </c>
      <c r="V8" s="700" t="s">
        <v>20</v>
      </c>
      <c r="W8" s="701">
        <f t="shared" si="2"/>
        <v>100</v>
      </c>
      <c r="X8" s="702"/>
      <c r="Y8" s="3749" t="s">
        <v>1683</v>
      </c>
      <c r="Z8" s="375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25"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9"/>
      <c r="L10" s="2716"/>
      <c r="M10" s="2717"/>
      <c r="N10" s="2717"/>
      <c r="O10" s="2717"/>
      <c r="P10" s="3725"/>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5"/>
      <c r="Q11" s="1341" t="str">
        <f t="shared" si="6"/>
        <v>容积率</v>
      </c>
      <c r="R11" s="700" t="s">
        <v>18</v>
      </c>
      <c r="S11" s="701" t="e">
        <f t="shared" si="0"/>
        <v>#N/A</v>
      </c>
      <c r="T11" s="700" t="s">
        <v>18</v>
      </c>
      <c r="U11" s="701" t="e">
        <f t="shared" si="1"/>
        <v>#N/A</v>
      </c>
      <c r="V11" s="700" t="s">
        <v>18</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25"/>
      <c r="Q12" s="1341">
        <f t="shared" si="6"/>
        <v>111</v>
      </c>
      <c r="R12" s="700" t="s">
        <v>18</v>
      </c>
      <c r="S12" s="701">
        <f t="shared" si="0"/>
        <v>100</v>
      </c>
      <c r="T12" s="700" t="s">
        <v>18</v>
      </c>
      <c r="U12" s="701">
        <f t="shared" si="1"/>
        <v>100</v>
      </c>
      <c r="V12" s="700" t="s">
        <v>18</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25"/>
      <c r="Q13" s="1341">
        <f t="shared" si="6"/>
        <v>111</v>
      </c>
      <c r="R13" s="700" t="s">
        <v>18</v>
      </c>
      <c r="S13" s="701">
        <f t="shared" si="0"/>
        <v>100</v>
      </c>
      <c r="T13" s="700" t="s">
        <v>18</v>
      </c>
      <c r="U13" s="701">
        <f t="shared" si="1"/>
        <v>100</v>
      </c>
      <c r="V13" s="700" t="s">
        <v>18</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25"/>
      <c r="Q14" s="1341">
        <f t="shared" si="6"/>
        <v>111</v>
      </c>
      <c r="R14" s="700" t="s">
        <v>18</v>
      </c>
      <c r="S14" s="701">
        <f t="shared" si="0"/>
        <v>100</v>
      </c>
      <c r="T14" s="700" t="s">
        <v>18</v>
      </c>
      <c r="U14" s="701">
        <f t="shared" si="1"/>
        <v>100</v>
      </c>
      <c r="V14" s="700" t="s">
        <v>18</v>
      </c>
      <c r="W14" s="701">
        <f t="shared" si="2"/>
        <v>100</v>
      </c>
      <c r="X14" s="702"/>
      <c r="Y14" s="3617"/>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5" t="s">
        <v>1691</v>
      </c>
      <c r="Q15" s="1350" t="str">
        <f t="shared" si="6"/>
        <v>居住社区成熟度</v>
      </c>
      <c r="R15" s="704" t="s">
        <v>18</v>
      </c>
      <c r="S15" s="705">
        <f t="shared" si="0"/>
        <v>100</v>
      </c>
      <c r="T15" s="704" t="s">
        <v>18</v>
      </c>
      <c r="U15" s="705">
        <f t="shared" si="1"/>
        <v>100</v>
      </c>
      <c r="V15" s="704" t="s">
        <v>18</v>
      </c>
      <c r="W15" s="705">
        <f t="shared" si="2"/>
        <v>100</v>
      </c>
      <c r="X15" s="1353"/>
      <c r="Y15" s="371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6"/>
      <c r="Q16" s="1350"/>
      <c r="R16" s="704"/>
      <c r="S16" s="705"/>
      <c r="T16" s="704"/>
      <c r="U16" s="705"/>
      <c r="V16" s="704"/>
      <c r="W16" s="705"/>
      <c r="X16" s="1353"/>
      <c r="Y16" s="371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6"/>
      <c r="Q17" s="1350" t="str">
        <f>B17</f>
        <v>交通便捷度</v>
      </c>
      <c r="R17" s="704" t="s">
        <v>18</v>
      </c>
      <c r="S17" s="705">
        <f>F17</f>
        <v>100</v>
      </c>
      <c r="T17" s="704" t="s">
        <v>18</v>
      </c>
      <c r="U17" s="705">
        <f>H17</f>
        <v>100</v>
      </c>
      <c r="V17" s="704" t="s">
        <v>18</v>
      </c>
      <c r="W17" s="705">
        <f>J17</f>
        <v>100</v>
      </c>
      <c r="X17" s="1353"/>
      <c r="Y17" s="371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6"/>
      <c r="Q18" s="1350"/>
      <c r="R18" s="704"/>
      <c r="S18" s="705"/>
      <c r="T18" s="704"/>
      <c r="U18" s="705"/>
      <c r="V18" s="704"/>
      <c r="W18" s="705"/>
      <c r="X18" s="1353"/>
      <c r="Y18" s="371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6"/>
      <c r="Q19" s="1350" t="str">
        <f>B19</f>
        <v>公共配套设施</v>
      </c>
      <c r="R19" s="704" t="s">
        <v>18</v>
      </c>
      <c r="S19" s="705">
        <f>F19</f>
        <v>100</v>
      </c>
      <c r="T19" s="704" t="s">
        <v>18</v>
      </c>
      <c r="U19" s="705">
        <f>H19</f>
        <v>100</v>
      </c>
      <c r="V19" s="704" t="s">
        <v>18</v>
      </c>
      <c r="W19" s="705">
        <f>J19</f>
        <v>100</v>
      </c>
      <c r="X19" s="1353"/>
      <c r="Y19" s="371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6"/>
      <c r="Q20" s="1350"/>
      <c r="R20" s="704"/>
      <c r="S20" s="705"/>
      <c r="T20" s="704"/>
      <c r="U20" s="705"/>
      <c r="V20" s="704"/>
      <c r="W20" s="705"/>
      <c r="X20" s="1353"/>
      <c r="Y20" s="3718"/>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6"/>
      <c r="Q21" s="1350" t="str">
        <f>B21</f>
        <v>基础设施水平</v>
      </c>
      <c r="R21" s="704" t="s">
        <v>14</v>
      </c>
      <c r="S21" s="705">
        <f>F21</f>
        <v>100</v>
      </c>
      <c r="T21" s="704" t="s">
        <v>14</v>
      </c>
      <c r="U21" s="705">
        <f>H21</f>
        <v>100</v>
      </c>
      <c r="V21" s="704" t="s">
        <v>14</v>
      </c>
      <c r="W21" s="705">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16"/>
      <c r="Q22" s="1350"/>
      <c r="R22" s="704"/>
      <c r="S22" s="705"/>
      <c r="T22" s="704"/>
      <c r="U22" s="705"/>
      <c r="V22" s="704"/>
      <c r="W22" s="705"/>
      <c r="X22" s="1353"/>
      <c r="Y22" s="371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6"/>
      <c r="Q23" s="1350" t="str">
        <f>B23</f>
        <v>自然及人文环境</v>
      </c>
      <c r="R23" s="704" t="s">
        <v>18</v>
      </c>
      <c r="S23" s="705">
        <f>F23</f>
        <v>100</v>
      </c>
      <c r="T23" s="704" t="s">
        <v>18</v>
      </c>
      <c r="U23" s="705">
        <f>H23</f>
        <v>100</v>
      </c>
      <c r="V23" s="704" t="s">
        <v>18</v>
      </c>
      <c r="W23" s="705">
        <f>J23</f>
        <v>100</v>
      </c>
      <c r="X23" s="1353"/>
      <c r="Y23" s="371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6"/>
      <c r="Q24" s="1350"/>
      <c r="R24" s="704"/>
      <c r="S24" s="705"/>
      <c r="T24" s="704"/>
      <c r="U24" s="705"/>
      <c r="V24" s="704"/>
      <c r="W24" s="705"/>
      <c r="X24" s="1353"/>
      <c r="Y24" s="371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1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6"/>
      <c r="Q26" s="1350" t="str">
        <f t="shared" si="11"/>
        <v>朝向</v>
      </c>
      <c r="R26" s="704" t="s">
        <v>18</v>
      </c>
      <c r="S26" s="705">
        <f t="shared" si="12"/>
        <v>100</v>
      </c>
      <c r="T26" s="704" t="s">
        <v>18</v>
      </c>
      <c r="U26" s="705">
        <f t="shared" si="13"/>
        <v>100</v>
      </c>
      <c r="V26" s="704" t="s">
        <v>18</v>
      </c>
      <c r="W26" s="705">
        <f t="shared" si="14"/>
        <v>100</v>
      </c>
      <c r="X26" s="1353"/>
      <c r="Y26" s="371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6"/>
      <c r="Q27" s="1341">
        <f t="shared" si="11"/>
        <v>111</v>
      </c>
      <c r="R27" s="700" t="s">
        <v>18</v>
      </c>
      <c r="S27" s="701">
        <f t="shared" si="12"/>
        <v>100</v>
      </c>
      <c r="T27" s="700" t="s">
        <v>18</v>
      </c>
      <c r="U27" s="701">
        <f t="shared" si="13"/>
        <v>100</v>
      </c>
      <c r="V27" s="700" t="s">
        <v>18</v>
      </c>
      <c r="W27" s="701">
        <f t="shared" si="14"/>
        <v>100</v>
      </c>
      <c r="X27" s="702"/>
      <c r="Y27" s="371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6"/>
      <c r="Q28" s="1350">
        <f t="shared" si="11"/>
        <v>111</v>
      </c>
      <c r="R28" s="704" t="s">
        <v>18</v>
      </c>
      <c r="S28" s="705">
        <f t="shared" si="12"/>
        <v>100</v>
      </c>
      <c r="T28" s="704" t="s">
        <v>18</v>
      </c>
      <c r="U28" s="705">
        <f t="shared" si="13"/>
        <v>100</v>
      </c>
      <c r="V28" s="704" t="s">
        <v>18</v>
      </c>
      <c r="W28" s="705">
        <f t="shared" si="14"/>
        <v>100</v>
      </c>
      <c r="X28" s="1353"/>
      <c r="Y28" s="371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6"/>
      <c r="Q29" s="1350">
        <f t="shared" si="11"/>
        <v>111</v>
      </c>
      <c r="R29" s="704" t="s">
        <v>18</v>
      </c>
      <c r="S29" s="705">
        <f t="shared" si="12"/>
        <v>100</v>
      </c>
      <c r="T29" s="704" t="s">
        <v>18</v>
      </c>
      <c r="U29" s="705">
        <f t="shared" si="13"/>
        <v>100</v>
      </c>
      <c r="V29" s="704" t="s">
        <v>18</v>
      </c>
      <c r="W29" s="705">
        <f t="shared" si="14"/>
        <v>100</v>
      </c>
      <c r="X29" s="1353"/>
      <c r="Y29" s="371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6"/>
      <c r="Q30" s="1350">
        <f t="shared" si="11"/>
        <v>111</v>
      </c>
      <c r="R30" s="704" t="s">
        <v>18</v>
      </c>
      <c r="S30" s="705">
        <f t="shared" si="12"/>
        <v>100</v>
      </c>
      <c r="T30" s="704" t="s">
        <v>18</v>
      </c>
      <c r="U30" s="705">
        <f t="shared" si="13"/>
        <v>100</v>
      </c>
      <c r="V30" s="704" t="s">
        <v>18</v>
      </c>
      <c r="W30" s="705">
        <f t="shared" si="14"/>
        <v>100</v>
      </c>
      <c r="X30" s="1353"/>
      <c r="Y30" s="3718"/>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6"/>
      <c r="Q31" s="1350">
        <f t="shared" si="11"/>
        <v>111</v>
      </c>
      <c r="R31" s="704" t="s">
        <v>18</v>
      </c>
      <c r="S31" s="705">
        <f t="shared" si="12"/>
        <v>100</v>
      </c>
      <c r="T31" s="704" t="s">
        <v>18</v>
      </c>
      <c r="U31" s="705">
        <f t="shared" si="13"/>
        <v>100</v>
      </c>
      <c r="V31" s="704" t="s">
        <v>18</v>
      </c>
      <c r="W31" s="705">
        <f t="shared" si="14"/>
        <v>100</v>
      </c>
      <c r="X31" s="1353"/>
      <c r="Y31" s="371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19" t="s">
        <v>1696</v>
      </c>
      <c r="Q32" s="1350" t="str">
        <f t="shared" si="11"/>
        <v>建筑类型</v>
      </c>
      <c r="R32" s="704" t="s">
        <v>18</v>
      </c>
      <c r="S32" s="705">
        <f t="shared" si="12"/>
        <v>100</v>
      </c>
      <c r="T32" s="704" t="s">
        <v>18</v>
      </c>
      <c r="U32" s="705">
        <f t="shared" si="13"/>
        <v>100</v>
      </c>
      <c r="V32" s="704" t="s">
        <v>18</v>
      </c>
      <c r="W32" s="705">
        <f t="shared" si="14"/>
        <v>100</v>
      </c>
      <c r="X32" s="1353"/>
      <c r="Y32" s="372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20"/>
      <c r="Q33" s="706" t="str">
        <f t="shared" si="11"/>
        <v>项目建筑规模</v>
      </c>
      <c r="R33" s="707" t="s">
        <v>18</v>
      </c>
      <c r="S33" s="708" t="e">
        <f t="shared" si="12"/>
        <v>#N/A</v>
      </c>
      <c r="T33" s="707" t="s">
        <v>18</v>
      </c>
      <c r="U33" s="708" t="e">
        <f t="shared" si="13"/>
        <v>#N/A</v>
      </c>
      <c r="V33" s="707" t="s">
        <v>18</v>
      </c>
      <c r="W33" s="708" t="e">
        <f t="shared" si="14"/>
        <v>#N/A</v>
      </c>
      <c r="X33" s="709"/>
      <c r="Y33" s="3722"/>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20"/>
      <c r="Q34" s="1350" t="str">
        <f t="shared" si="11"/>
        <v>建筑结构</v>
      </c>
      <c r="R34" s="704" t="s">
        <v>18</v>
      </c>
      <c r="S34" s="705">
        <f t="shared" si="12"/>
        <v>100</v>
      </c>
      <c r="T34" s="704" t="s">
        <v>18</v>
      </c>
      <c r="U34" s="705">
        <f t="shared" si="13"/>
        <v>100</v>
      </c>
      <c r="V34" s="704" t="s">
        <v>18</v>
      </c>
      <c r="W34" s="705">
        <f t="shared" si="14"/>
        <v>100</v>
      </c>
      <c r="X34" s="1353"/>
      <c r="Y34" s="372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20"/>
      <c r="Q35" s="1350" t="str">
        <f t="shared" si="11"/>
        <v>建筑品质</v>
      </c>
      <c r="R35" s="704" t="s">
        <v>18</v>
      </c>
      <c r="S35" s="705">
        <f t="shared" si="12"/>
        <v>100</v>
      </c>
      <c r="T35" s="704" t="s">
        <v>18</v>
      </c>
      <c r="U35" s="705">
        <f t="shared" si="13"/>
        <v>100</v>
      </c>
      <c r="V35" s="704" t="s">
        <v>18</v>
      </c>
      <c r="W35" s="705">
        <f t="shared" si="14"/>
        <v>100</v>
      </c>
      <c r="X35" s="1353"/>
      <c r="Y35" s="372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20"/>
      <c r="Q36" s="1350" t="str">
        <f t="shared" si="11"/>
        <v>公共部分装修</v>
      </c>
      <c r="R36" s="704" t="s">
        <v>18</v>
      </c>
      <c r="S36" s="705">
        <f t="shared" si="12"/>
        <v>100</v>
      </c>
      <c r="T36" s="704" t="s">
        <v>18</v>
      </c>
      <c r="U36" s="705">
        <f t="shared" si="13"/>
        <v>100</v>
      </c>
      <c r="V36" s="704" t="s">
        <v>18</v>
      </c>
      <c r="W36" s="705">
        <f t="shared" si="14"/>
        <v>100</v>
      </c>
      <c r="X36" s="1353"/>
      <c r="Y36" s="372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0"/>
      <c r="Q37" s="1341" t="str">
        <f t="shared" si="11"/>
        <v>成新度</v>
      </c>
      <c r="R37" s="700" t="s">
        <v>18</v>
      </c>
      <c r="S37" s="701" t="e">
        <f t="shared" si="12"/>
        <v>#N/A</v>
      </c>
      <c r="T37" s="700" t="s">
        <v>18</v>
      </c>
      <c r="U37" s="701" t="e">
        <f t="shared" si="13"/>
        <v>#N/A</v>
      </c>
      <c r="V37" s="700" t="s">
        <v>18</v>
      </c>
      <c r="W37" s="701" t="e">
        <f t="shared" si="14"/>
        <v>#N/A</v>
      </c>
      <c r="X37" s="702"/>
      <c r="Y37" s="3722"/>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20" t="s">
        <v>1696</v>
      </c>
      <c r="Q38" s="1350" t="str">
        <f t="shared" si="11"/>
        <v>物业管理</v>
      </c>
      <c r="R38" s="704" t="s">
        <v>18</v>
      </c>
      <c r="S38" s="705">
        <f t="shared" si="12"/>
        <v>100</v>
      </c>
      <c r="T38" s="704" t="s">
        <v>18</v>
      </c>
      <c r="U38" s="705">
        <f t="shared" si="13"/>
        <v>100</v>
      </c>
      <c r="V38" s="704" t="s">
        <v>18</v>
      </c>
      <c r="W38" s="705">
        <f t="shared" si="14"/>
        <v>100</v>
      </c>
      <c r="X38" s="1353"/>
      <c r="Y38" s="372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20"/>
      <c r="Q39" s="1350" t="str">
        <f t="shared" si="11"/>
        <v>市政基础设施</v>
      </c>
      <c r="R39" s="704" t="s">
        <v>18</v>
      </c>
      <c r="S39" s="705">
        <f t="shared" si="12"/>
        <v>100</v>
      </c>
      <c r="T39" s="704" t="s">
        <v>18</v>
      </c>
      <c r="U39" s="705">
        <f t="shared" si="13"/>
        <v>100</v>
      </c>
      <c r="V39" s="704" t="s">
        <v>18</v>
      </c>
      <c r="W39" s="705">
        <f t="shared" si="14"/>
        <v>100</v>
      </c>
      <c r="X39" s="1353"/>
      <c r="Y39" s="372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20"/>
      <c r="Q40" s="1350" t="str">
        <f t="shared" si="11"/>
        <v>房型</v>
      </c>
      <c r="R40" s="704" t="s">
        <v>18</v>
      </c>
      <c r="S40" s="705">
        <f t="shared" si="12"/>
        <v>100</v>
      </c>
      <c r="T40" s="704" t="s">
        <v>18</v>
      </c>
      <c r="U40" s="705">
        <f t="shared" si="13"/>
        <v>100</v>
      </c>
      <c r="V40" s="704" t="s">
        <v>18</v>
      </c>
      <c r="W40" s="705">
        <f t="shared" si="14"/>
        <v>100</v>
      </c>
      <c r="X40" s="1353"/>
      <c r="Y40" s="372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20"/>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20"/>
      <c r="Q42" s="1350" t="str">
        <f t="shared" si="11"/>
        <v>内部装修</v>
      </c>
      <c r="R42" s="704" t="s">
        <v>18</v>
      </c>
      <c r="S42" s="705">
        <f t="shared" si="12"/>
        <v>100</v>
      </c>
      <c r="T42" s="704" t="s">
        <v>18</v>
      </c>
      <c r="U42" s="705">
        <f t="shared" si="13"/>
        <v>100</v>
      </c>
      <c r="V42" s="704" t="s">
        <v>18</v>
      </c>
      <c r="W42" s="705">
        <f t="shared" si="14"/>
        <v>100</v>
      </c>
      <c r="X42" s="1353"/>
      <c r="Y42" s="372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20"/>
      <c r="Q43" s="1350" t="str">
        <f t="shared" si="11"/>
        <v>内部装修维护情况</v>
      </c>
      <c r="R43" s="704" t="s">
        <v>18</v>
      </c>
      <c r="S43" s="705">
        <f t="shared" si="12"/>
        <v>100</v>
      </c>
      <c r="T43" s="704" t="s">
        <v>18</v>
      </c>
      <c r="U43" s="705">
        <f t="shared" si="13"/>
        <v>100</v>
      </c>
      <c r="V43" s="704" t="s">
        <v>18</v>
      </c>
      <c r="W43" s="705">
        <f t="shared" si="14"/>
        <v>100</v>
      </c>
      <c r="X43" s="1353"/>
      <c r="Y43" s="372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20"/>
      <c r="Q44" s="1341">
        <f t="shared" si="11"/>
        <v>111</v>
      </c>
      <c r="R44" s="700" t="s">
        <v>18</v>
      </c>
      <c r="S44" s="701">
        <f t="shared" si="12"/>
        <v>100</v>
      </c>
      <c r="T44" s="700" t="s">
        <v>18</v>
      </c>
      <c r="U44" s="701">
        <f t="shared" si="13"/>
        <v>100</v>
      </c>
      <c r="V44" s="700" t="s">
        <v>18</v>
      </c>
      <c r="W44" s="701">
        <f t="shared" si="14"/>
        <v>100</v>
      </c>
      <c r="X44" s="702"/>
      <c r="Y44" s="372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20"/>
      <c r="Q45" s="1350">
        <f t="shared" si="11"/>
        <v>111</v>
      </c>
      <c r="R45" s="704" t="s">
        <v>18</v>
      </c>
      <c r="S45" s="705">
        <f t="shared" si="12"/>
        <v>100</v>
      </c>
      <c r="T45" s="704" t="s">
        <v>18</v>
      </c>
      <c r="U45" s="705">
        <f t="shared" si="13"/>
        <v>100</v>
      </c>
      <c r="V45" s="704" t="s">
        <v>18</v>
      </c>
      <c r="W45" s="705">
        <f t="shared" si="14"/>
        <v>100</v>
      </c>
      <c r="X45" s="1353"/>
      <c r="Y45" s="372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21"/>
      <c r="Q46" s="1350">
        <f t="shared" si="11"/>
        <v>111</v>
      </c>
      <c r="R46" s="704" t="s">
        <v>17</v>
      </c>
      <c r="S46" s="705">
        <f t="shared" si="12"/>
        <v>100</v>
      </c>
      <c r="T46" s="704" t="s">
        <v>17</v>
      </c>
      <c r="U46" s="705">
        <f t="shared" si="13"/>
        <v>100</v>
      </c>
      <c r="V46" s="704" t="s">
        <v>17</v>
      </c>
      <c r="W46" s="705">
        <f t="shared" si="14"/>
        <v>100</v>
      </c>
      <c r="X46" s="1353"/>
      <c r="Y46" s="3723"/>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1"/>
      <c r="M47" s="2722"/>
      <c r="N47" s="2713"/>
      <c r="O47" s="2722"/>
      <c r="P47" s="3710" t="str">
        <f>A47</f>
        <v>成交单价（元/平方米）</v>
      </c>
      <c r="Q47" s="3710"/>
      <c r="R47" s="3711">
        <f>E47</f>
        <v>0</v>
      </c>
      <c r="S47" s="3711"/>
      <c r="T47" s="3711">
        <f>G47</f>
        <v>0</v>
      </c>
      <c r="U47" s="3711"/>
      <c r="V47" s="3711">
        <f>I47</f>
        <v>0</v>
      </c>
      <c r="W47" s="3711"/>
      <c r="X47" s="689"/>
      <c r="Y47" s="711"/>
      <c r="Z47" s="689"/>
      <c r="AA47" s="689"/>
      <c r="AB47" s="689"/>
      <c r="AC47" s="689"/>
    </row>
    <row r="48" spans="1:29" ht="15.75" thickBot="1">
      <c r="A48" s="437" t="s">
        <v>1709</v>
      </c>
      <c r="B48" s="438"/>
      <c r="C48" s="1159" t="e">
        <f>R49</f>
        <v>#DIV/0!</v>
      </c>
      <c r="D48" s="2314" t="s">
        <v>2136</v>
      </c>
      <c r="E48" s="1160" t="e">
        <f>R48</f>
        <v>#DIV/0!</v>
      </c>
      <c r="F48" s="2315"/>
      <c r="G48" s="1159" t="e">
        <f>T48</f>
        <v>#DIV/0!</v>
      </c>
      <c r="H48" s="2315"/>
      <c r="I48" s="1160" t="e">
        <f>V48</f>
        <v>#DIV/0!</v>
      </c>
      <c r="J48" s="2315"/>
      <c r="K48" s="2316">
        <f>F48+H48+J48</f>
        <v>0</v>
      </c>
      <c r="L48" s="2721"/>
      <c r="M48" s="2722"/>
      <c r="N48" s="2722"/>
      <c r="O48" s="2722"/>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1"/>
      <c r="M49" s="2722"/>
      <c r="N49" s="2722"/>
      <c r="O49" s="2722"/>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20062.899999999998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29" t="s">
        <v>1770</v>
      </c>
      <c r="D4" s="3730"/>
      <c r="E4" s="3731" t="s">
        <v>1771</v>
      </c>
      <c r="F4" s="3732"/>
      <c r="G4" s="3729" t="s">
        <v>1772</v>
      </c>
      <c r="H4" s="3730"/>
      <c r="I4" s="3729" t="s">
        <v>1773</v>
      </c>
      <c r="J4" s="3730"/>
      <c r="K4" s="559" t="s">
        <v>1774</v>
      </c>
      <c r="L4" s="912"/>
      <c r="M4" s="913"/>
      <c r="N4" s="913"/>
      <c r="O4" s="913"/>
      <c r="P4" s="3733" t="s">
        <v>1775</v>
      </c>
      <c r="Q4" s="3734"/>
      <c r="R4" s="3739" t="s">
        <v>1771</v>
      </c>
      <c r="S4" s="3740"/>
      <c r="T4" s="3739" t="s">
        <v>1772</v>
      </c>
      <c r="U4" s="3740"/>
      <c r="V4" s="3724" t="s">
        <v>1773</v>
      </c>
      <c r="W4" s="3724"/>
      <c r="X4" s="1353"/>
      <c r="Y4" s="3739" t="s">
        <v>1775</v>
      </c>
      <c r="Z4" s="3740"/>
      <c r="AA4" s="3726" t="s">
        <v>1771</v>
      </c>
      <c r="AB4" s="3727" t="s">
        <v>1772</v>
      </c>
      <c r="AC4" s="3726" t="s">
        <v>1773</v>
      </c>
    </row>
    <row r="5" spans="1:29" ht="15">
      <c r="A5" s="358"/>
      <c r="B5" s="359"/>
      <c r="C5" s="3752" t="s">
        <v>1673</v>
      </c>
      <c r="D5" s="3748"/>
      <c r="E5" s="3764" t="s">
        <v>1674</v>
      </c>
      <c r="F5" s="3756"/>
      <c r="G5" s="3752" t="s">
        <v>1675</v>
      </c>
      <c r="H5" s="3748"/>
      <c r="I5" s="3752" t="s">
        <v>1676</v>
      </c>
      <c r="J5" s="3748"/>
      <c r="K5" s="559"/>
      <c r="L5" s="912"/>
      <c r="M5" s="913"/>
      <c r="N5" s="913"/>
      <c r="O5" s="913"/>
      <c r="P5" s="3735"/>
      <c r="Q5" s="3736"/>
      <c r="R5" s="3741"/>
      <c r="S5" s="3742"/>
      <c r="T5" s="3741"/>
      <c r="U5" s="3742"/>
      <c r="V5" s="3724"/>
      <c r="W5" s="3724"/>
      <c r="X5" s="1353"/>
      <c r="Y5" s="3741"/>
      <c r="Z5" s="3742"/>
      <c r="AA5" s="3727"/>
      <c r="AB5" s="3727"/>
      <c r="AC5" s="3727"/>
    </row>
    <row r="6" spans="1:29" ht="15.75" thickBot="1">
      <c r="A6" s="360"/>
      <c r="B6" s="361"/>
      <c r="C6" s="3745" t="s">
        <v>1677</v>
      </c>
      <c r="D6" s="3746"/>
      <c r="E6" s="3753" t="s">
        <v>1677</v>
      </c>
      <c r="F6" s="3754"/>
      <c r="G6" s="3745" t="s">
        <v>1677</v>
      </c>
      <c r="H6" s="3746"/>
      <c r="I6" s="3745" t="s">
        <v>1677</v>
      </c>
      <c r="J6" s="3746"/>
      <c r="K6" s="559" t="s">
        <v>1678</v>
      </c>
      <c r="L6" s="912"/>
      <c r="M6" s="913"/>
      <c r="N6" s="913"/>
      <c r="O6" s="913"/>
      <c r="P6" s="3737"/>
      <c r="Q6" s="3738"/>
      <c r="R6" s="3741"/>
      <c r="S6" s="3742"/>
      <c r="T6" s="3743"/>
      <c r="U6" s="3744"/>
      <c r="V6" s="3724"/>
      <c r="W6" s="3724"/>
      <c r="X6" s="1353"/>
      <c r="Y6" s="3743"/>
      <c r="Z6" s="3744"/>
      <c r="AA6" s="3728"/>
      <c r="AB6" s="3728"/>
      <c r="AC6" s="3728"/>
    </row>
    <row r="7" spans="1:29" s="108" customFormat="1" ht="15.75" thickBot="1">
      <c r="A7" s="362" t="s">
        <v>1679</v>
      </c>
      <c r="B7" s="363"/>
      <c r="C7" s="364">
        <f>'数据-取费表'!B2</f>
        <v>45068</v>
      </c>
      <c r="D7" s="365">
        <v>100</v>
      </c>
      <c r="E7" s="366"/>
      <c r="F7" s="367">
        <f>SUMIF(52:52,YEAR(E7)&amp;"-"&amp;MONTH(E7),53:53)</f>
        <v>0</v>
      </c>
      <c r="G7" s="366"/>
      <c r="H7" s="365">
        <f>SUMIF(52:52,YEAR(G7)&amp;"-"&amp;MONTH(G7),53:53)</f>
        <v>0</v>
      </c>
      <c r="I7" s="366"/>
      <c r="J7" s="365">
        <f>SUMIF(52:52,YEAR(I7)&amp;"-"&amp;MONTH(I7),53:53)</f>
        <v>0</v>
      </c>
      <c r="K7" s="560"/>
      <c r="L7" s="914"/>
      <c r="M7" s="915"/>
      <c r="N7" s="915"/>
      <c r="O7" s="915"/>
      <c r="P7" s="3749" t="s">
        <v>1680</v>
      </c>
      <c r="Q7" s="3751"/>
      <c r="R7" s="700" t="s">
        <v>14</v>
      </c>
      <c r="S7" s="701">
        <f t="shared" ref="S7:S15" si="0">F7</f>
        <v>0</v>
      </c>
      <c r="T7" s="700" t="s">
        <v>14</v>
      </c>
      <c r="U7" s="701">
        <f t="shared" ref="U7:U15" si="1">H7</f>
        <v>0</v>
      </c>
      <c r="V7" s="700" t="s">
        <v>14</v>
      </c>
      <c r="W7" s="701">
        <f t="shared" ref="W7:W15" si="2">J7</f>
        <v>0</v>
      </c>
      <c r="X7" s="702"/>
      <c r="Y7" s="3749" t="s">
        <v>1680</v>
      </c>
      <c r="Z7" s="375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9" t="s">
        <v>1683</v>
      </c>
      <c r="Q8" s="3750"/>
      <c r="R8" s="700" t="s">
        <v>14</v>
      </c>
      <c r="S8" s="701">
        <f t="shared" si="0"/>
        <v>100</v>
      </c>
      <c r="T8" s="700" t="s">
        <v>14</v>
      </c>
      <c r="U8" s="701">
        <f t="shared" si="1"/>
        <v>100</v>
      </c>
      <c r="V8" s="700" t="s">
        <v>14</v>
      </c>
      <c r="W8" s="701">
        <f t="shared" si="2"/>
        <v>100</v>
      </c>
      <c r="X8" s="702"/>
      <c r="Y8" s="3749" t="s">
        <v>1683</v>
      </c>
      <c r="Z8" s="375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0"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1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0"/>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1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1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10"/>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7" t="s">
        <v>1691</v>
      </c>
      <c r="Q15" s="1350" t="str">
        <f t="shared" si="6"/>
        <v>产业集聚程度</v>
      </c>
      <c r="R15" s="704" t="s">
        <v>14</v>
      </c>
      <c r="S15" s="705">
        <f t="shared" si="0"/>
        <v>100</v>
      </c>
      <c r="T15" s="704" t="s">
        <v>14</v>
      </c>
      <c r="U15" s="705">
        <f t="shared" si="1"/>
        <v>100</v>
      </c>
      <c r="V15" s="704" t="s">
        <v>14</v>
      </c>
      <c r="W15" s="705">
        <f t="shared" si="2"/>
        <v>100</v>
      </c>
      <c r="X15" s="1353"/>
      <c r="Y15" s="371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18"/>
      <c r="Q16" s="1350"/>
      <c r="R16" s="704"/>
      <c r="S16" s="705"/>
      <c r="T16" s="704"/>
      <c r="U16" s="705"/>
      <c r="V16" s="704"/>
      <c r="W16" s="705"/>
      <c r="X16" s="1353"/>
      <c r="Y16" s="371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8"/>
      <c r="Q17" s="1350" t="str">
        <f>B17</f>
        <v>交通便捷度</v>
      </c>
      <c r="R17" s="704" t="s">
        <v>14</v>
      </c>
      <c r="S17" s="705">
        <f>F17</f>
        <v>100</v>
      </c>
      <c r="T17" s="704" t="s">
        <v>14</v>
      </c>
      <c r="U17" s="705">
        <f>H17</f>
        <v>100</v>
      </c>
      <c r="V17" s="704" t="s">
        <v>14</v>
      </c>
      <c r="W17" s="705">
        <f>J17</f>
        <v>100</v>
      </c>
      <c r="X17" s="1353"/>
      <c r="Y17" s="371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18"/>
      <c r="Q18" s="1350"/>
      <c r="R18" s="704"/>
      <c r="S18" s="705"/>
      <c r="T18" s="704"/>
      <c r="U18" s="705"/>
      <c r="V18" s="704"/>
      <c r="W18" s="705"/>
      <c r="X18" s="1353"/>
      <c r="Y18" s="371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8"/>
      <c r="Q19" s="1350" t="str">
        <f>B19</f>
        <v>公共配套设施</v>
      </c>
      <c r="R19" s="704" t="s">
        <v>14</v>
      </c>
      <c r="S19" s="705">
        <f>F19</f>
        <v>100</v>
      </c>
      <c r="T19" s="704" t="s">
        <v>14</v>
      </c>
      <c r="U19" s="705">
        <f>H19</f>
        <v>100</v>
      </c>
      <c r="V19" s="704" t="s">
        <v>14</v>
      </c>
      <c r="W19" s="705">
        <f>J19</f>
        <v>100</v>
      </c>
      <c r="X19" s="1353"/>
      <c r="Y19" s="371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18"/>
      <c r="Q20" s="1350"/>
      <c r="R20" s="704"/>
      <c r="S20" s="705"/>
      <c r="T20" s="704"/>
      <c r="U20" s="705"/>
      <c r="V20" s="704"/>
      <c r="W20" s="705"/>
      <c r="X20" s="1353"/>
      <c r="Y20" s="3718"/>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8"/>
      <c r="Q21" s="1350" t="str">
        <f>B21</f>
        <v>基础设施水平</v>
      </c>
      <c r="R21" s="704" t="s">
        <v>14</v>
      </c>
      <c r="S21" s="705">
        <f>F21</f>
        <v>100</v>
      </c>
      <c r="T21" s="704" t="s">
        <v>14</v>
      </c>
      <c r="U21" s="705">
        <f>H21</f>
        <v>100</v>
      </c>
      <c r="V21" s="704" t="s">
        <v>14</v>
      </c>
      <c r="W21" s="705">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18"/>
      <c r="Q22" s="1350"/>
      <c r="R22" s="704"/>
      <c r="S22" s="705"/>
      <c r="T22" s="704"/>
      <c r="U22" s="705"/>
      <c r="V22" s="704"/>
      <c r="W22" s="705"/>
      <c r="X22" s="1353"/>
      <c r="Y22" s="371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8"/>
      <c r="Q23" s="1350" t="str">
        <f>B23</f>
        <v>环境质量</v>
      </c>
      <c r="R23" s="704" t="s">
        <v>14</v>
      </c>
      <c r="S23" s="705">
        <f>F23</f>
        <v>100</v>
      </c>
      <c r="T23" s="704" t="s">
        <v>14</v>
      </c>
      <c r="U23" s="705">
        <f>H23</f>
        <v>100</v>
      </c>
      <c r="V23" s="704" t="s">
        <v>14</v>
      </c>
      <c r="W23" s="705">
        <f>J23</f>
        <v>100</v>
      </c>
      <c r="X23" s="1353"/>
      <c r="Y23" s="371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18"/>
      <c r="Q24" s="1350"/>
      <c r="R24" s="704"/>
      <c r="S24" s="705"/>
      <c r="T24" s="704"/>
      <c r="U24" s="705"/>
      <c r="V24" s="704"/>
      <c r="W24" s="705"/>
      <c r="X24" s="1353"/>
      <c r="Y24" s="371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8"/>
      <c r="Q25" s="1350">
        <f>B25</f>
        <v>111</v>
      </c>
      <c r="R25" s="704" t="s">
        <v>14</v>
      </c>
      <c r="S25" s="705">
        <f>F25</f>
        <v>100</v>
      </c>
      <c r="T25" s="704" t="s">
        <v>14</v>
      </c>
      <c r="U25" s="705">
        <f>H25</f>
        <v>100</v>
      </c>
      <c r="V25" s="704" t="s">
        <v>14</v>
      </c>
      <c r="W25" s="705">
        <f>J25</f>
        <v>100</v>
      </c>
      <c r="X25" s="1353"/>
      <c r="Y25" s="371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8"/>
      <c r="Q26" s="1350">
        <f t="shared" ref="Q26:Q40" si="11">B26</f>
        <v>111</v>
      </c>
      <c r="R26" s="704" t="s">
        <v>14</v>
      </c>
      <c r="S26" s="705">
        <f>F26</f>
        <v>100</v>
      </c>
      <c r="T26" s="704" t="s">
        <v>14</v>
      </c>
      <c r="U26" s="705">
        <f>H26</f>
        <v>100</v>
      </c>
      <c r="V26" s="704" t="s">
        <v>14</v>
      </c>
      <c r="W26" s="705">
        <f>J26</f>
        <v>100</v>
      </c>
      <c r="X26" s="1353"/>
      <c r="Y26" s="371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8"/>
      <c r="Q27" s="1341">
        <f t="shared" si="11"/>
        <v>111</v>
      </c>
      <c r="R27" s="700" t="s">
        <v>14</v>
      </c>
      <c r="S27" s="701">
        <f>F27</f>
        <v>100</v>
      </c>
      <c r="T27" s="700" t="s">
        <v>14</v>
      </c>
      <c r="U27" s="701">
        <f>H27</f>
        <v>100</v>
      </c>
      <c r="V27" s="700" t="s">
        <v>14</v>
      </c>
      <c r="W27" s="701">
        <f>J27</f>
        <v>100</v>
      </c>
      <c r="X27" s="702"/>
      <c r="Y27" s="3718"/>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8"/>
      <c r="Q28" s="1350">
        <f t="shared" si="11"/>
        <v>111</v>
      </c>
      <c r="R28" s="704" t="s">
        <v>14</v>
      </c>
      <c r="S28" s="705">
        <f t="shared" ref="S28:S40" si="12">F28</f>
        <v>100</v>
      </c>
      <c r="T28" s="704" t="s">
        <v>14</v>
      </c>
      <c r="U28" s="705">
        <f t="shared" ref="U28:U40" si="13">H28</f>
        <v>100</v>
      </c>
      <c r="V28" s="704" t="s">
        <v>14</v>
      </c>
      <c r="W28" s="705">
        <f t="shared" ref="W28:W40" si="14">J28</f>
        <v>100</v>
      </c>
      <c r="X28" s="1353"/>
      <c r="Y28" s="3718"/>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63" t="s">
        <v>1696</v>
      </c>
      <c r="Q29" s="1350" t="str">
        <f t="shared" si="11"/>
        <v>建筑类型</v>
      </c>
      <c r="R29" s="704" t="s">
        <v>14</v>
      </c>
      <c r="S29" s="705">
        <f t="shared" si="12"/>
        <v>100</v>
      </c>
      <c r="T29" s="704" t="s">
        <v>14</v>
      </c>
      <c r="U29" s="705">
        <f t="shared" si="13"/>
        <v>100</v>
      </c>
      <c r="V29" s="704" t="s">
        <v>14</v>
      </c>
      <c r="W29" s="705">
        <f t="shared" si="14"/>
        <v>100</v>
      </c>
      <c r="X29" s="1353"/>
      <c r="Y29" s="372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50" t="str">
        <f t="shared" si="11"/>
        <v>建筑结构</v>
      </c>
      <c r="R31" s="704" t="s">
        <v>14</v>
      </c>
      <c r="S31" s="705">
        <f t="shared" si="12"/>
        <v>100</v>
      </c>
      <c r="T31" s="704" t="s">
        <v>14</v>
      </c>
      <c r="U31" s="705">
        <f t="shared" si="13"/>
        <v>100</v>
      </c>
      <c r="V31" s="704" t="s">
        <v>14</v>
      </c>
      <c r="W31" s="705">
        <f t="shared" si="14"/>
        <v>100</v>
      </c>
      <c r="X31" s="1353"/>
      <c r="Y31" s="372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50" t="str">
        <f t="shared" si="11"/>
        <v>公共部分装修</v>
      </c>
      <c r="R32" s="704" t="s">
        <v>14</v>
      </c>
      <c r="S32" s="705">
        <f t="shared" si="12"/>
        <v>100</v>
      </c>
      <c r="T32" s="704" t="s">
        <v>14</v>
      </c>
      <c r="U32" s="705">
        <f t="shared" si="13"/>
        <v>100</v>
      </c>
      <c r="V32" s="704" t="s">
        <v>14</v>
      </c>
      <c r="W32" s="705">
        <f t="shared" si="14"/>
        <v>100</v>
      </c>
      <c r="X32" s="1353"/>
      <c r="Y32" s="372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50" t="str">
        <f t="shared" si="11"/>
        <v>成新度</v>
      </c>
      <c r="R33" s="704" t="s">
        <v>14</v>
      </c>
      <c r="S33" s="705" t="e">
        <f t="shared" si="12"/>
        <v>#N/A</v>
      </c>
      <c r="T33" s="704" t="s">
        <v>14</v>
      </c>
      <c r="U33" s="705" t="e">
        <f t="shared" si="13"/>
        <v>#N/A</v>
      </c>
      <c r="V33" s="704" t="s">
        <v>14</v>
      </c>
      <c r="W33" s="705" t="e">
        <f t="shared" si="14"/>
        <v>#N/A</v>
      </c>
      <c r="X33" s="1353"/>
      <c r="Y33" s="372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1"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1696</v>
      </c>
      <c r="Q35" s="1350" t="str">
        <f t="shared" si="11"/>
        <v>市政基础设施</v>
      </c>
      <c r="R35" s="704" t="s">
        <v>14</v>
      </c>
      <c r="S35" s="705">
        <f t="shared" si="12"/>
        <v>100</v>
      </c>
      <c r="T35" s="704" t="s">
        <v>14</v>
      </c>
      <c r="U35" s="705">
        <f t="shared" si="13"/>
        <v>100</v>
      </c>
      <c r="V35" s="704" t="s">
        <v>14</v>
      </c>
      <c r="W35" s="705">
        <f t="shared" si="14"/>
        <v>100</v>
      </c>
      <c r="X35" s="1353"/>
      <c r="Y35" s="372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50" t="str">
        <f t="shared" si="11"/>
        <v>内部装修</v>
      </c>
      <c r="R36" s="704" t="s">
        <v>14</v>
      </c>
      <c r="S36" s="705">
        <f t="shared" si="12"/>
        <v>100</v>
      </c>
      <c r="T36" s="704" t="s">
        <v>14</v>
      </c>
      <c r="U36" s="705">
        <f t="shared" si="13"/>
        <v>100</v>
      </c>
      <c r="V36" s="704" t="s">
        <v>14</v>
      </c>
      <c r="W36" s="705">
        <f t="shared" si="14"/>
        <v>100</v>
      </c>
      <c r="X36" s="1353"/>
      <c r="Y36" s="372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50" t="str">
        <f t="shared" si="11"/>
        <v>内部装修状况</v>
      </c>
      <c r="R37" s="704" t="s">
        <v>14</v>
      </c>
      <c r="S37" s="705">
        <f t="shared" si="12"/>
        <v>100</v>
      </c>
      <c r="T37" s="704" t="s">
        <v>14</v>
      </c>
      <c r="U37" s="705">
        <f t="shared" si="13"/>
        <v>100</v>
      </c>
      <c r="V37" s="704" t="s">
        <v>14</v>
      </c>
      <c r="W37" s="705">
        <f t="shared" si="14"/>
        <v>100</v>
      </c>
      <c r="X37" s="1353"/>
      <c r="Y37" s="372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50">
        <f t="shared" si="11"/>
        <v>111</v>
      </c>
      <c r="R39" s="704" t="s">
        <v>14</v>
      </c>
      <c r="S39" s="705">
        <f t="shared" si="12"/>
        <v>100</v>
      </c>
      <c r="T39" s="704" t="s">
        <v>14</v>
      </c>
      <c r="U39" s="705">
        <f t="shared" si="13"/>
        <v>100</v>
      </c>
      <c r="V39" s="704" t="s">
        <v>14</v>
      </c>
      <c r="W39" s="705">
        <f t="shared" si="14"/>
        <v>100</v>
      </c>
      <c r="X39" s="1353"/>
      <c r="Y39" s="372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3"/>
      <c r="Q40" s="1350">
        <f t="shared" si="11"/>
        <v>111</v>
      </c>
      <c r="R40" s="704" t="s">
        <v>14</v>
      </c>
      <c r="S40" s="705">
        <f t="shared" si="12"/>
        <v>100</v>
      </c>
      <c r="T40" s="704" t="s">
        <v>14</v>
      </c>
      <c r="U40" s="705">
        <f t="shared" si="13"/>
        <v>100</v>
      </c>
      <c r="V40" s="704" t="s">
        <v>14</v>
      </c>
      <c r="W40" s="705">
        <f t="shared" si="14"/>
        <v>100</v>
      </c>
      <c r="X40" s="1353"/>
      <c r="Y40" s="3723"/>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710" t="str">
        <f>A41</f>
        <v>成交单价（元/平方米）</v>
      </c>
      <c r="Q41" s="3710"/>
      <c r="R41" s="3711">
        <f>E41</f>
        <v>0</v>
      </c>
      <c r="S41" s="3711"/>
      <c r="T41" s="3711">
        <f>G41</f>
        <v>0</v>
      </c>
      <c r="U41" s="3711"/>
      <c r="V41" s="3711">
        <f>I41</f>
        <v>0</v>
      </c>
      <c r="W41" s="3711"/>
      <c r="X41" s="689"/>
      <c r="Y41" s="711"/>
      <c r="Z41" s="689"/>
      <c r="AA41" s="689"/>
      <c r="AB41" s="689"/>
      <c r="AC41" s="689"/>
    </row>
    <row r="42" spans="1:29" ht="15.75" thickBot="1">
      <c r="A42" s="437" t="s">
        <v>1793</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3" priority="20" stopIfTrue="1" operator="containsText" text="超过">
      <formula>NOT(ISERROR(SEARCH("超过",F46)))</formula>
    </cfRule>
  </conditionalFormatting>
  <conditionalFormatting sqref="H48">
    <cfRule type="containsText" dxfId="92" priority="19" stopIfTrue="1" operator="containsText" text="超过">
      <formula>NOT(ISERROR(SEARCH("超过",H48)))</formula>
    </cfRule>
  </conditionalFormatting>
  <conditionalFormatting sqref="F48">
    <cfRule type="containsText" dxfId="91" priority="18" stopIfTrue="1" operator="containsText" text="超过">
      <formula>NOT(ISERROR(SEARCH("超过",F48)))</formula>
    </cfRule>
  </conditionalFormatting>
  <conditionalFormatting sqref="F47 H47">
    <cfRule type="containsText" dxfId="90" priority="17" stopIfTrue="1" operator="containsText" text="超过">
      <formula>NOT(ISERROR(SEARCH("超过",F47)))</formula>
    </cfRule>
  </conditionalFormatting>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G48">
    <cfRule type="expression" dxfId="86" priority="13" stopIfTrue="1">
      <formula>$H$48="超过30%"</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J46">
    <cfRule type="containsText" dxfId="83" priority="10" stopIfTrue="1" operator="containsText" text="超过">
      <formula>NOT(ISERROR(SEARCH("超过",J46)))</formula>
    </cfRule>
  </conditionalFormatting>
  <conditionalFormatting sqref="J48">
    <cfRule type="containsText" dxfId="82" priority="9" stopIfTrue="1" operator="containsText" text="超过">
      <formula>NOT(ISERROR(SEARCH("超过",J48)))</formula>
    </cfRule>
  </conditionalFormatting>
  <conditionalFormatting sqref="J47">
    <cfRule type="containsText" dxfId="81" priority="8" stopIfTrue="1" operator="containsText" text="超过">
      <formula>NOT(ISERROR(SEARCH("超过",J47)))</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F7:F40 H7:H40 J7:J40">
    <cfRule type="cellIs" dxfId="7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29" t="s">
        <v>1770</v>
      </c>
      <c r="D4" s="3730"/>
      <c r="E4" s="3731" t="s">
        <v>1771</v>
      </c>
      <c r="F4" s="3732"/>
      <c r="G4" s="3729" t="s">
        <v>1772</v>
      </c>
      <c r="H4" s="3730"/>
      <c r="I4" s="3729" t="s">
        <v>1773</v>
      </c>
      <c r="J4" s="3730"/>
      <c r="K4" s="559" t="s">
        <v>1774</v>
      </c>
      <c r="L4" s="2712"/>
      <c r="M4" s="2713"/>
      <c r="N4" s="2713"/>
      <c r="O4" s="2713"/>
      <c r="P4" s="3733" t="s">
        <v>1775</v>
      </c>
      <c r="Q4" s="3734"/>
      <c r="R4" s="3739" t="s">
        <v>1771</v>
      </c>
      <c r="S4" s="3740"/>
      <c r="T4" s="3739" t="s">
        <v>1772</v>
      </c>
      <c r="U4" s="3740"/>
      <c r="V4" s="3724" t="s">
        <v>1773</v>
      </c>
      <c r="W4" s="3724"/>
      <c r="X4" s="1353"/>
      <c r="Y4" s="3739" t="s">
        <v>1775</v>
      </c>
      <c r="Z4" s="3740"/>
      <c r="AA4" s="3726" t="s">
        <v>1771</v>
      </c>
      <c r="AB4" s="3727" t="s">
        <v>1772</v>
      </c>
      <c r="AC4" s="3726" t="s">
        <v>1773</v>
      </c>
    </row>
    <row r="5" spans="1:29" ht="15">
      <c r="A5" s="358"/>
      <c r="B5" s="359"/>
      <c r="C5" s="3752" t="s">
        <v>1673</v>
      </c>
      <c r="D5" s="3748"/>
      <c r="E5" s="3764" t="s">
        <v>1674</v>
      </c>
      <c r="F5" s="3756"/>
      <c r="G5" s="3752" t="s">
        <v>1675</v>
      </c>
      <c r="H5" s="3748"/>
      <c r="I5" s="3752" t="s">
        <v>1676</v>
      </c>
      <c r="J5" s="3748"/>
      <c r="K5" s="559"/>
      <c r="L5" s="2712"/>
      <c r="M5" s="2713"/>
      <c r="N5" s="2713"/>
      <c r="O5" s="2713"/>
      <c r="P5" s="3735"/>
      <c r="Q5" s="3736"/>
      <c r="R5" s="3741"/>
      <c r="S5" s="3742"/>
      <c r="T5" s="3741"/>
      <c r="U5" s="3742"/>
      <c r="V5" s="3724"/>
      <c r="W5" s="3724"/>
      <c r="X5" s="1353"/>
      <c r="Y5" s="3741"/>
      <c r="Z5" s="3742"/>
      <c r="AA5" s="3727"/>
      <c r="AB5" s="3727"/>
      <c r="AC5" s="3727"/>
    </row>
    <row r="6" spans="1:29" ht="15.75" thickBot="1">
      <c r="A6" s="360"/>
      <c r="B6" s="361"/>
      <c r="C6" s="3745" t="s">
        <v>1677</v>
      </c>
      <c r="D6" s="3746"/>
      <c r="E6" s="3753" t="s">
        <v>1677</v>
      </c>
      <c r="F6" s="3754"/>
      <c r="G6" s="3745" t="s">
        <v>1677</v>
      </c>
      <c r="H6" s="3746"/>
      <c r="I6" s="3745" t="s">
        <v>1677</v>
      </c>
      <c r="J6" s="3746"/>
      <c r="K6" s="559" t="s">
        <v>1678</v>
      </c>
      <c r="L6" s="2712"/>
      <c r="M6" s="2713"/>
      <c r="N6" s="2713"/>
      <c r="O6" s="2713"/>
      <c r="P6" s="3737"/>
      <c r="Q6" s="3738"/>
      <c r="R6" s="3741"/>
      <c r="S6" s="3742"/>
      <c r="T6" s="3743"/>
      <c r="U6" s="3744"/>
      <c r="V6" s="3724"/>
      <c r="W6" s="3724"/>
      <c r="X6" s="1353"/>
      <c r="Y6" s="3743"/>
      <c r="Z6" s="3744"/>
      <c r="AA6" s="3728"/>
      <c r="AB6" s="3728"/>
      <c r="AC6" s="3728"/>
    </row>
    <row r="7" spans="1:29" s="108" customFormat="1" ht="15.75" thickBot="1">
      <c r="A7" s="362" t="s">
        <v>1679</v>
      </c>
      <c r="B7" s="363"/>
      <c r="C7" s="364">
        <f>'数据-取费表'!B2</f>
        <v>45068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49" t="s">
        <v>1680</v>
      </c>
      <c r="Q7" s="3751"/>
      <c r="R7" s="700" t="s">
        <v>14</v>
      </c>
      <c r="S7" s="701">
        <f t="shared" ref="S7:S14" si="0">F7</f>
        <v>0</v>
      </c>
      <c r="T7" s="700" t="s">
        <v>14</v>
      </c>
      <c r="U7" s="701">
        <f t="shared" ref="U7:U14" si="1">H7</f>
        <v>0</v>
      </c>
      <c r="V7" s="700" t="s">
        <v>14</v>
      </c>
      <c r="W7" s="701">
        <f t="shared" ref="W7:W14" si="2">J7</f>
        <v>0</v>
      </c>
      <c r="X7" s="702"/>
      <c r="Y7" s="3749" t="s">
        <v>1680</v>
      </c>
      <c r="Z7" s="375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49" t="s">
        <v>1683</v>
      </c>
      <c r="Q8" s="3750"/>
      <c r="R8" s="700" t="s">
        <v>14</v>
      </c>
      <c r="S8" s="701">
        <f t="shared" si="0"/>
        <v>100</v>
      </c>
      <c r="T8" s="700" t="s">
        <v>14</v>
      </c>
      <c r="U8" s="701">
        <f t="shared" si="1"/>
        <v>100</v>
      </c>
      <c r="V8" s="700" t="s">
        <v>14</v>
      </c>
      <c r="W8" s="701">
        <f t="shared" si="2"/>
        <v>100</v>
      </c>
      <c r="X8" s="702"/>
      <c r="Y8" s="3749" t="s">
        <v>1683</v>
      </c>
      <c r="Z8" s="3750"/>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0" t="s">
        <v>1686</v>
      </c>
      <c r="Q9" s="1341"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6"/>
      <c r="M10" s="2717"/>
      <c r="N10" s="2717"/>
      <c r="O10" s="2717"/>
      <c r="P10" s="371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0"/>
      <c r="Q11" s="1341">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7" t="s">
        <v>1691</v>
      </c>
      <c r="Q14" s="1350" t="str">
        <f t="shared" si="6"/>
        <v>交通便捷度</v>
      </c>
      <c r="R14" s="704" t="s">
        <v>14</v>
      </c>
      <c r="S14" s="705">
        <f t="shared" si="0"/>
        <v>100</v>
      </c>
      <c r="T14" s="704" t="s">
        <v>14</v>
      </c>
      <c r="U14" s="705">
        <f t="shared" si="1"/>
        <v>100</v>
      </c>
      <c r="V14" s="704" t="s">
        <v>14</v>
      </c>
      <c r="W14" s="705">
        <f t="shared" si="2"/>
        <v>100</v>
      </c>
      <c r="X14" s="1353"/>
      <c r="Y14" s="371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18"/>
      <c r="Q15" s="1350"/>
      <c r="R15" s="704"/>
      <c r="S15" s="705"/>
      <c r="T15" s="704"/>
      <c r="U15" s="705"/>
      <c r="V15" s="704"/>
      <c r="W15" s="705"/>
      <c r="X15" s="1353"/>
      <c r="Y15" s="371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8"/>
      <c r="Q16" s="1350" t="str">
        <f>B16</f>
        <v>公共配套设施</v>
      </c>
      <c r="R16" s="704" t="s">
        <v>14</v>
      </c>
      <c r="S16" s="705">
        <f>F16</f>
        <v>100</v>
      </c>
      <c r="T16" s="704" t="s">
        <v>14</v>
      </c>
      <c r="U16" s="705">
        <f>H16</f>
        <v>100</v>
      </c>
      <c r="V16" s="704" t="s">
        <v>14</v>
      </c>
      <c r="W16" s="705">
        <f>J16</f>
        <v>100</v>
      </c>
      <c r="X16" s="1353"/>
      <c r="Y16" s="371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18"/>
      <c r="Q17" s="1350"/>
      <c r="R17" s="704"/>
      <c r="S17" s="705"/>
      <c r="T17" s="704"/>
      <c r="U17" s="705"/>
      <c r="V17" s="704"/>
      <c r="W17" s="705"/>
      <c r="X17" s="1353"/>
      <c r="Y17" s="371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8"/>
      <c r="Q18" s="1350" t="str">
        <f>B18</f>
        <v>基础设施水平</v>
      </c>
      <c r="R18" s="704" t="s">
        <v>14</v>
      </c>
      <c r="S18" s="705">
        <f>F18</f>
        <v>100</v>
      </c>
      <c r="T18" s="704" t="s">
        <v>14</v>
      </c>
      <c r="U18" s="705">
        <f>H18</f>
        <v>100</v>
      </c>
      <c r="V18" s="704" t="s">
        <v>14</v>
      </c>
      <c r="W18" s="705">
        <f>J18</f>
        <v>100</v>
      </c>
      <c r="X18" s="1353"/>
      <c r="Y18" s="371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9"/>
      <c r="M19" s="2713"/>
      <c r="N19" s="2713"/>
      <c r="O19" s="2713"/>
      <c r="P19" s="3718"/>
      <c r="Q19" s="1350"/>
      <c r="R19" s="704"/>
      <c r="S19" s="705"/>
      <c r="T19" s="704"/>
      <c r="U19" s="705"/>
      <c r="V19" s="704"/>
      <c r="W19" s="705"/>
      <c r="X19" s="1353"/>
      <c r="Y19" s="371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8"/>
      <c r="Q20" s="1350" t="str">
        <f>B20</f>
        <v>自然及人文环境</v>
      </c>
      <c r="R20" s="704" t="s">
        <v>14</v>
      </c>
      <c r="S20" s="705">
        <f>F20</f>
        <v>100</v>
      </c>
      <c r="T20" s="704" t="s">
        <v>14</v>
      </c>
      <c r="U20" s="705">
        <f>H20</f>
        <v>100</v>
      </c>
      <c r="V20" s="704" t="s">
        <v>14</v>
      </c>
      <c r="W20" s="705">
        <f>J20</f>
        <v>100</v>
      </c>
      <c r="X20" s="1353"/>
      <c r="Y20" s="371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18"/>
      <c r="Q21" s="1350"/>
      <c r="R21" s="704"/>
      <c r="S21" s="705"/>
      <c r="T21" s="704"/>
      <c r="U21" s="705"/>
      <c r="V21" s="704"/>
      <c r="W21" s="705"/>
      <c r="X21" s="1353"/>
      <c r="Y21" s="371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8"/>
      <c r="Q22" s="1350" t="str">
        <f>B22</f>
        <v>楼层</v>
      </c>
      <c r="R22" s="704" t="s">
        <v>14</v>
      </c>
      <c r="S22" s="705">
        <f>F22</f>
        <v>100</v>
      </c>
      <c r="T22" s="704" t="s">
        <v>14</v>
      </c>
      <c r="U22" s="705">
        <f>H22</f>
        <v>100</v>
      </c>
      <c r="V22" s="704" t="s">
        <v>14</v>
      </c>
      <c r="W22" s="705">
        <f>J22</f>
        <v>100</v>
      </c>
      <c r="X22" s="1353"/>
      <c r="Y22" s="371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8"/>
      <c r="Q23" s="1350">
        <f>B23</f>
        <v>111</v>
      </c>
      <c r="R23" s="704" t="s">
        <v>14</v>
      </c>
      <c r="S23" s="705">
        <f>F23</f>
        <v>100</v>
      </c>
      <c r="T23" s="704" t="s">
        <v>14</v>
      </c>
      <c r="U23" s="705">
        <f>H23</f>
        <v>100</v>
      </c>
      <c r="V23" s="704" t="s">
        <v>14</v>
      </c>
      <c r="W23" s="705">
        <f>J23</f>
        <v>100</v>
      </c>
      <c r="X23" s="1353"/>
      <c r="Y23" s="371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8"/>
      <c r="Q24" s="1350">
        <f t="shared" ref="Q24:Q36" si="11">B24</f>
        <v>111</v>
      </c>
      <c r="R24" s="704" t="s">
        <v>14</v>
      </c>
      <c r="S24" s="705">
        <f>F24</f>
        <v>100</v>
      </c>
      <c r="T24" s="704" t="s">
        <v>14</v>
      </c>
      <c r="U24" s="705">
        <f>H24</f>
        <v>100</v>
      </c>
      <c r="V24" s="704" t="s">
        <v>14</v>
      </c>
      <c r="W24" s="705">
        <f>J24</f>
        <v>100</v>
      </c>
      <c r="X24" s="1353"/>
      <c r="Y24" s="371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8"/>
      <c r="Q25" s="1341">
        <f t="shared" si="11"/>
        <v>111</v>
      </c>
      <c r="R25" s="700" t="s">
        <v>14</v>
      </c>
      <c r="S25" s="701">
        <f>F25</f>
        <v>100</v>
      </c>
      <c r="T25" s="700" t="s">
        <v>14</v>
      </c>
      <c r="U25" s="701">
        <f>H25</f>
        <v>100</v>
      </c>
      <c r="V25" s="700" t="s">
        <v>14</v>
      </c>
      <c r="W25" s="701">
        <f>J25</f>
        <v>100</v>
      </c>
      <c r="X25" s="702"/>
      <c r="Y25" s="3718"/>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3"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2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2"/>
      <c r="Q28" s="1350" t="str">
        <f t="shared" si="11"/>
        <v>公共部分装修</v>
      </c>
      <c r="R28" s="704" t="s">
        <v>14</v>
      </c>
      <c r="S28" s="705">
        <f t="shared" si="12"/>
        <v>100</v>
      </c>
      <c r="T28" s="704" t="s">
        <v>14</v>
      </c>
      <c r="U28" s="705">
        <f t="shared" si="13"/>
        <v>100</v>
      </c>
      <c r="V28" s="704" t="s">
        <v>14</v>
      </c>
      <c r="W28" s="705">
        <f t="shared" si="14"/>
        <v>100</v>
      </c>
      <c r="X28" s="1353"/>
      <c r="Y28" s="372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2"/>
      <c r="Q29" s="1350" t="str">
        <f t="shared" si="11"/>
        <v>成新率</v>
      </c>
      <c r="R29" s="704" t="s">
        <v>14</v>
      </c>
      <c r="S29" s="705" t="e">
        <f t="shared" si="12"/>
        <v>#N/A</v>
      </c>
      <c r="T29" s="704" t="s">
        <v>14</v>
      </c>
      <c r="U29" s="705" t="e">
        <f t="shared" si="13"/>
        <v>#N/A</v>
      </c>
      <c r="V29" s="704" t="s">
        <v>14</v>
      </c>
      <c r="W29" s="705" t="e">
        <f t="shared" si="14"/>
        <v>#N/A</v>
      </c>
      <c r="X29" s="1353"/>
      <c r="Y29" s="372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2"/>
      <c r="Q30" s="1350" t="str">
        <f t="shared" si="11"/>
        <v>物业等级</v>
      </c>
      <c r="R30" s="704" t="s">
        <v>14</v>
      </c>
      <c r="S30" s="705">
        <f t="shared" si="12"/>
        <v>100</v>
      </c>
      <c r="T30" s="704" t="s">
        <v>14</v>
      </c>
      <c r="U30" s="705">
        <f t="shared" si="13"/>
        <v>100</v>
      </c>
      <c r="V30" s="704" t="s">
        <v>14</v>
      </c>
      <c r="W30" s="705">
        <f t="shared" si="14"/>
        <v>100</v>
      </c>
      <c r="X30" s="1353"/>
      <c r="Y30" s="372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2"/>
      <c r="Q31" s="1341" t="str">
        <f t="shared" si="11"/>
        <v>停车位面积</v>
      </c>
      <c r="R31" s="700" t="s">
        <v>14</v>
      </c>
      <c r="S31" s="701" t="e">
        <f t="shared" si="12"/>
        <v>#N/A</v>
      </c>
      <c r="T31" s="700" t="s">
        <v>14</v>
      </c>
      <c r="U31" s="701" t="e">
        <f t="shared" si="13"/>
        <v>#N/A</v>
      </c>
      <c r="V31" s="700" t="s">
        <v>14</v>
      </c>
      <c r="W31" s="701" t="e">
        <f t="shared" si="14"/>
        <v>#N/A</v>
      </c>
      <c r="X31" s="702"/>
      <c r="Y31" s="3722"/>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2" t="s">
        <v>1696</v>
      </c>
      <c r="Q32" s="1350" t="str">
        <f t="shared" si="11"/>
        <v>车位类型</v>
      </c>
      <c r="R32" s="704" t="s">
        <v>14</v>
      </c>
      <c r="S32" s="705">
        <f t="shared" si="12"/>
        <v>100</v>
      </c>
      <c r="T32" s="704" t="s">
        <v>14</v>
      </c>
      <c r="U32" s="705">
        <f t="shared" si="13"/>
        <v>100</v>
      </c>
      <c r="V32" s="704" t="s">
        <v>14</v>
      </c>
      <c r="W32" s="705">
        <f t="shared" si="14"/>
        <v>100</v>
      </c>
      <c r="X32" s="1353"/>
      <c r="Y32" s="372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2"/>
      <c r="Q33" s="1350" t="str">
        <f t="shared" si="11"/>
        <v>是否直接入户</v>
      </c>
      <c r="R33" s="704" t="s">
        <v>14</v>
      </c>
      <c r="S33" s="705">
        <f t="shared" si="12"/>
        <v>100</v>
      </c>
      <c r="T33" s="704" t="s">
        <v>14</v>
      </c>
      <c r="U33" s="705">
        <f t="shared" si="13"/>
        <v>100</v>
      </c>
      <c r="V33" s="704" t="s">
        <v>14</v>
      </c>
      <c r="W33" s="705">
        <f t="shared" si="14"/>
        <v>100</v>
      </c>
      <c r="X33" s="1353"/>
      <c r="Y33" s="372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2"/>
      <c r="Q34" s="1350">
        <f t="shared" si="11"/>
        <v>111</v>
      </c>
      <c r="R34" s="704" t="s">
        <v>14</v>
      </c>
      <c r="S34" s="705">
        <f t="shared" si="12"/>
        <v>100</v>
      </c>
      <c r="T34" s="704" t="s">
        <v>14</v>
      </c>
      <c r="U34" s="705">
        <f t="shared" si="13"/>
        <v>100</v>
      </c>
      <c r="V34" s="704" t="s">
        <v>14</v>
      </c>
      <c r="W34" s="705">
        <f t="shared" si="14"/>
        <v>100</v>
      </c>
      <c r="X34" s="1353"/>
      <c r="Y34" s="372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2"/>
      <c r="Q36" s="1350">
        <f t="shared" si="11"/>
        <v>111</v>
      </c>
      <c r="R36" s="704" t="s">
        <v>14</v>
      </c>
      <c r="S36" s="705">
        <f t="shared" si="12"/>
        <v>100</v>
      </c>
      <c r="T36" s="704" t="s">
        <v>14</v>
      </c>
      <c r="U36" s="705">
        <f t="shared" si="13"/>
        <v>100</v>
      </c>
      <c r="V36" s="704" t="s">
        <v>14</v>
      </c>
      <c r="W36" s="705">
        <f t="shared" si="14"/>
        <v>100</v>
      </c>
      <c r="X36" s="1353"/>
      <c r="Y36" s="3722"/>
      <c r="Z36" s="1354">
        <f t="shared" si="15"/>
        <v>111</v>
      </c>
      <c r="AA36" s="1351">
        <f t="shared" si="3"/>
        <v>1</v>
      </c>
      <c r="AB36" s="1351">
        <f t="shared" si="4"/>
        <v>1</v>
      </c>
      <c r="AC36" s="1351">
        <f t="shared" si="5"/>
        <v>1</v>
      </c>
    </row>
    <row r="37" spans="1:29" ht="15">
      <c r="A37" s="430" t="s">
        <v>1844</v>
      </c>
      <c r="B37" s="1970" t="s">
        <v>3355</v>
      </c>
      <c r="C37" s="1153" t="s">
        <v>0</v>
      </c>
      <c r="D37" s="1154"/>
      <c r="E37" s="1155"/>
      <c r="F37" s="1156"/>
      <c r="G37" s="1157"/>
      <c r="H37" s="1158"/>
      <c r="I37" s="1155"/>
      <c r="J37" s="1158"/>
      <c r="K37" s="568"/>
      <c r="L37" s="2721"/>
      <c r="M37" s="2722"/>
      <c r="N37" s="2713"/>
      <c r="O37" s="2722"/>
      <c r="P37" s="3710" t="str">
        <f>A37</f>
        <v>成交单价</v>
      </c>
      <c r="Q37" s="3710"/>
      <c r="R37" s="3711">
        <f>E37</f>
        <v>0</v>
      </c>
      <c r="S37" s="3711"/>
      <c r="T37" s="3711">
        <f>G37</f>
        <v>0</v>
      </c>
      <c r="U37" s="3711"/>
      <c r="V37" s="3711">
        <f>I37</f>
        <v>0</v>
      </c>
      <c r="W37" s="3711"/>
      <c r="X37" s="689"/>
      <c r="Y37" s="711"/>
      <c r="Z37" s="689"/>
      <c r="AA37" s="689"/>
      <c r="AB37" s="689"/>
      <c r="AC37" s="689"/>
    </row>
    <row r="38" spans="1:29" ht="15.75" thickBot="1">
      <c r="A38" s="437" t="s">
        <v>1845</v>
      </c>
      <c r="B38" s="438" t="str">
        <f>B37</f>
        <v>元/平方米</v>
      </c>
      <c r="C38" s="1159" t="e">
        <f>R39</f>
        <v>#DIV/0!</v>
      </c>
      <c r="D38" s="2314" t="s">
        <v>2136</v>
      </c>
      <c r="E38" s="1160" t="e">
        <f>R38</f>
        <v>#DIV/0!</v>
      </c>
      <c r="F38" s="2315"/>
      <c r="G38" s="1159" t="e">
        <f>T38</f>
        <v>#DIV/0!</v>
      </c>
      <c r="H38" s="2315"/>
      <c r="I38" s="1160" t="e">
        <f>V38</f>
        <v>#DIV/0!</v>
      </c>
      <c r="J38" s="2315"/>
      <c r="K38" s="2317">
        <f>F38+H38+J38</f>
        <v>0</v>
      </c>
      <c r="L38" s="2721"/>
      <c r="M38" s="2722"/>
      <c r="N38" s="2722"/>
      <c r="O38" s="2722"/>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12" t="str">
        <f>A39</f>
        <v>估价对象XX用房的比较价值（楼面单价，元/平方米）</v>
      </c>
      <c r="Q39" s="3713"/>
      <c r="R39" s="3816" t="e">
        <f>IF(F1="售价",ROUND(IF(D38="简单平均",AVERAGE(R38:W38),R38*F38+T38*H38+V38*J38),0),ROUND(IF(D38="简单平均",AVERAGE(R38:V38),R38*F38+T38*H38+V38*J38),1))</f>
        <v>#DIV/0!</v>
      </c>
      <c r="S39" s="3816"/>
      <c r="T39" s="3816"/>
      <c r="U39" s="3816"/>
      <c r="V39" s="3816"/>
      <c r="W39" s="3816"/>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0"/>
      <c r="O54" s="2750"/>
      <c r="P54" s="2758"/>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49"/>
      <c r="O55" s="2749"/>
      <c r="P55" s="2758"/>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0"/>
      <c r="O56" s="2750"/>
      <c r="P56" s="2758"/>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49"/>
      <c r="O57" s="2749"/>
      <c r="P57" s="2758"/>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0"/>
      <c r="O58" s="2750"/>
      <c r="P58" s="2758"/>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49"/>
      <c r="O71" s="2749"/>
      <c r="P71" s="2758"/>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8"/>
      <c r="O73" s="2748"/>
      <c r="P73" s="2758"/>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8"/>
      <c r="O81" s="2748"/>
      <c r="P81" s="2758"/>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49"/>
      <c r="O86" s="2749"/>
      <c r="P86" s="2758"/>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49"/>
      <c r="O88" s="2749"/>
      <c r="P88" s="2758"/>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0"/>
      <c r="O97" s="2750"/>
      <c r="P97" s="2763"/>
      <c r="Q97" s="2764"/>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0"/>
      <c r="O98" s="2750"/>
      <c r="P98" s="2758"/>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0"/>
      <c r="O102" s="2750"/>
      <c r="P102" s="2758"/>
      <c r="Q102" s="2736"/>
      <c r="R102" s="2722"/>
      <c r="S102" s="2722"/>
      <c r="T102" s="2722"/>
      <c r="U102" s="2722"/>
      <c r="V102" s="2722"/>
      <c r="W102" s="2722"/>
      <c r="X102" s="2722"/>
      <c r="Y102" s="2722"/>
      <c r="Z102" s="2722"/>
      <c r="AA102" s="2722"/>
      <c r="AB102" s="2722"/>
      <c r="AC102" s="2722"/>
    </row>
    <row r="103" spans="1:29" ht="15"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3" priority="18" stopIfTrue="1" operator="containsText" text="超过">
      <formula>NOT(ISERROR(SEARCH("超过",F42)))</formula>
    </cfRule>
  </conditionalFormatting>
  <conditionalFormatting sqref="J44">
    <cfRule type="containsText" dxfId="72" priority="17" stopIfTrue="1" operator="containsText" text="超过">
      <formula>NOT(ISERROR(SEARCH("超过",J44)))</formula>
    </cfRule>
  </conditionalFormatting>
  <conditionalFormatting sqref="H44">
    <cfRule type="containsText" dxfId="71" priority="16" stopIfTrue="1" operator="containsText" text="超过">
      <formula>NOT(ISERROR(SEARCH("超过",H44)))</formula>
    </cfRule>
  </conditionalFormatting>
  <conditionalFormatting sqref="F44">
    <cfRule type="containsText" dxfId="70" priority="15" stopIfTrue="1" operator="containsText" text="超过">
      <formula>NOT(ISERROR(SEARCH("超过",F44)))</formula>
    </cfRule>
  </conditionalFormatting>
  <conditionalFormatting sqref="F43 H43 J43">
    <cfRule type="containsText" dxfId="69" priority="14" stopIfTrue="1" operator="containsText" text="超过">
      <formula>NOT(ISERROR(SEARCH("超过",F43)))</formula>
    </cfRule>
  </conditionalFormatting>
  <conditionalFormatting sqref="E42">
    <cfRule type="expression" dxfId="68" priority="13" stopIfTrue="1">
      <formula>$F$42="超过30%"</formula>
    </cfRule>
  </conditionalFormatting>
  <conditionalFormatting sqref="G44">
    <cfRule type="expression" dxfId="67" priority="12" stopIfTrue="1">
      <formula>$H$54+$H$44="超过30%"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F7:F36 H7:H36 J7:J36">
    <cfRule type="cellIs" dxfId="5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29" t="s">
        <v>1770</v>
      </c>
      <c r="D4" s="3730"/>
      <c r="E4" s="3731" t="s">
        <v>1771</v>
      </c>
      <c r="F4" s="3732"/>
      <c r="G4" s="3729" t="s">
        <v>1772</v>
      </c>
      <c r="H4" s="3730"/>
      <c r="I4" s="3729" t="s">
        <v>1773</v>
      </c>
      <c r="J4" s="3730"/>
      <c r="K4" s="559" t="s">
        <v>1774</v>
      </c>
      <c r="L4" s="2712"/>
      <c r="M4" s="2713"/>
      <c r="N4" s="2713"/>
      <c r="O4" s="2713"/>
      <c r="P4" s="3733" t="s">
        <v>1775</v>
      </c>
      <c r="Q4" s="3734"/>
      <c r="R4" s="3739" t="s">
        <v>1771</v>
      </c>
      <c r="S4" s="3740"/>
      <c r="T4" s="3739" t="s">
        <v>1772</v>
      </c>
      <c r="U4" s="3740"/>
      <c r="V4" s="3724" t="s">
        <v>1773</v>
      </c>
      <c r="W4" s="3724"/>
      <c r="X4" s="1353"/>
      <c r="Y4" s="3739" t="s">
        <v>1775</v>
      </c>
      <c r="Z4" s="3740"/>
      <c r="AA4" s="3726" t="s">
        <v>1771</v>
      </c>
      <c r="AB4" s="3727" t="s">
        <v>1772</v>
      </c>
      <c r="AC4" s="3726" t="s">
        <v>1773</v>
      </c>
    </row>
    <row r="5" spans="1:29" ht="15">
      <c r="A5" s="358"/>
      <c r="B5" s="359"/>
      <c r="C5" s="3752" t="s">
        <v>1673</v>
      </c>
      <c r="D5" s="3748"/>
      <c r="E5" s="3764" t="s">
        <v>1674</v>
      </c>
      <c r="F5" s="3756"/>
      <c r="G5" s="3752" t="s">
        <v>1675</v>
      </c>
      <c r="H5" s="3748"/>
      <c r="I5" s="3752" t="s">
        <v>1676</v>
      </c>
      <c r="J5" s="3748"/>
      <c r="K5" s="559"/>
      <c r="L5" s="2712"/>
      <c r="M5" s="2713"/>
      <c r="N5" s="2713"/>
      <c r="O5" s="2713"/>
      <c r="P5" s="3735"/>
      <c r="Q5" s="3736"/>
      <c r="R5" s="3741"/>
      <c r="S5" s="3742"/>
      <c r="T5" s="3741"/>
      <c r="U5" s="3742"/>
      <c r="V5" s="3724"/>
      <c r="W5" s="3724"/>
      <c r="X5" s="1353"/>
      <c r="Y5" s="3741"/>
      <c r="Z5" s="3742"/>
      <c r="AA5" s="3727"/>
      <c r="AB5" s="3727"/>
      <c r="AC5" s="3727"/>
    </row>
    <row r="6" spans="1:29" ht="15.75" thickBot="1">
      <c r="A6" s="360"/>
      <c r="B6" s="361"/>
      <c r="C6" s="3745" t="s">
        <v>1677</v>
      </c>
      <c r="D6" s="3746"/>
      <c r="E6" s="3753" t="s">
        <v>1677</v>
      </c>
      <c r="F6" s="3754"/>
      <c r="G6" s="3745" t="s">
        <v>1677</v>
      </c>
      <c r="H6" s="3746"/>
      <c r="I6" s="3745" t="s">
        <v>1677</v>
      </c>
      <c r="J6" s="3746"/>
      <c r="K6" s="559" t="s">
        <v>1678</v>
      </c>
      <c r="L6" s="2712"/>
      <c r="M6" s="2713"/>
      <c r="N6" s="2713"/>
      <c r="O6" s="2713"/>
      <c r="P6" s="3737"/>
      <c r="Q6" s="3738"/>
      <c r="R6" s="3741"/>
      <c r="S6" s="3742"/>
      <c r="T6" s="3743"/>
      <c r="U6" s="3744"/>
      <c r="V6" s="3724"/>
      <c r="W6" s="3724"/>
      <c r="X6" s="1353"/>
      <c r="Y6" s="3743"/>
      <c r="Z6" s="3744"/>
      <c r="AA6" s="3728"/>
      <c r="AB6" s="3728"/>
      <c r="AC6" s="3728"/>
    </row>
    <row r="7" spans="1:29" s="108" customFormat="1" ht="15.75" thickBot="1">
      <c r="A7" s="362" t="s">
        <v>1679</v>
      </c>
      <c r="B7" s="363"/>
      <c r="C7" s="364">
        <f>'数据-取费表'!B2</f>
        <v>45068</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49" t="s">
        <v>1680</v>
      </c>
      <c r="Q7" s="3751"/>
      <c r="R7" s="700" t="s">
        <v>14</v>
      </c>
      <c r="S7" s="701">
        <f t="shared" ref="S7:S14" si="0">F7</f>
        <v>0</v>
      </c>
      <c r="T7" s="700" t="s">
        <v>14</v>
      </c>
      <c r="U7" s="701">
        <f t="shared" ref="U7:U14" si="1">H7</f>
        <v>0</v>
      </c>
      <c r="V7" s="700" t="s">
        <v>14</v>
      </c>
      <c r="W7" s="701">
        <f t="shared" ref="W7:W14" si="2">J7</f>
        <v>0</v>
      </c>
      <c r="X7" s="702"/>
      <c r="Y7" s="3749" t="s">
        <v>1680</v>
      </c>
      <c r="Z7" s="375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49" t="s">
        <v>1683</v>
      </c>
      <c r="Q8" s="3750"/>
      <c r="R8" s="700" t="s">
        <v>14</v>
      </c>
      <c r="S8" s="701">
        <f t="shared" si="0"/>
        <v>100</v>
      </c>
      <c r="T8" s="700" t="s">
        <v>14</v>
      </c>
      <c r="U8" s="701">
        <f t="shared" si="1"/>
        <v>100</v>
      </c>
      <c r="V8" s="700" t="s">
        <v>14</v>
      </c>
      <c r="W8" s="701">
        <f t="shared" si="2"/>
        <v>100</v>
      </c>
      <c r="X8" s="702"/>
      <c r="Y8" s="3749" t="s">
        <v>1683</v>
      </c>
      <c r="Z8" s="375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8"/>
      <c r="P9" s="3710" t="s">
        <v>1686</v>
      </c>
      <c r="Q9" s="1341"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6"/>
      <c r="M10" s="2717"/>
      <c r="N10" s="2717"/>
      <c r="O10" s="2769"/>
      <c r="P10" s="3710"/>
      <c r="Q10" s="1341"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0"/>
      <c r="P11" s="3710"/>
      <c r="Q11" s="1341">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8"/>
      <c r="P12" s="371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0"/>
      <c r="P13" s="371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0"/>
      <c r="P14" s="3717" t="s">
        <v>1691</v>
      </c>
      <c r="Q14" s="1350" t="str">
        <f t="shared" si="6"/>
        <v>交通便捷度</v>
      </c>
      <c r="R14" s="704" t="s">
        <v>14</v>
      </c>
      <c r="S14" s="705">
        <f t="shared" si="0"/>
        <v>100</v>
      </c>
      <c r="T14" s="704" t="s">
        <v>14</v>
      </c>
      <c r="U14" s="705">
        <f t="shared" si="1"/>
        <v>100</v>
      </c>
      <c r="V14" s="704" t="s">
        <v>14</v>
      </c>
      <c r="W14" s="705">
        <f t="shared" si="2"/>
        <v>100</v>
      </c>
      <c r="X14" s="1353"/>
      <c r="Y14" s="371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0"/>
      <c r="P15" s="3718"/>
      <c r="Q15" s="1350"/>
      <c r="R15" s="704"/>
      <c r="S15" s="705"/>
      <c r="T15" s="704"/>
      <c r="U15" s="705"/>
      <c r="V15" s="704"/>
      <c r="W15" s="705"/>
      <c r="X15" s="1353"/>
      <c r="Y15" s="371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0"/>
      <c r="P16" s="3718"/>
      <c r="Q16" s="1350" t="str">
        <f>B16</f>
        <v>公共配套设施</v>
      </c>
      <c r="R16" s="704" t="s">
        <v>14</v>
      </c>
      <c r="S16" s="705">
        <f>F16</f>
        <v>100</v>
      </c>
      <c r="T16" s="704" t="s">
        <v>14</v>
      </c>
      <c r="U16" s="705">
        <f>H16</f>
        <v>100</v>
      </c>
      <c r="V16" s="704" t="s">
        <v>14</v>
      </c>
      <c r="W16" s="705">
        <f>J16</f>
        <v>100</v>
      </c>
      <c r="X16" s="1353"/>
      <c r="Y16" s="371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0"/>
      <c r="P17" s="3718"/>
      <c r="Q17" s="1350"/>
      <c r="R17" s="704"/>
      <c r="S17" s="705"/>
      <c r="T17" s="704"/>
      <c r="U17" s="705"/>
      <c r="V17" s="704"/>
      <c r="W17" s="705"/>
      <c r="X17" s="1353"/>
      <c r="Y17" s="3718"/>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0"/>
      <c r="P18" s="3718"/>
      <c r="Q18" s="1350" t="str">
        <f>B18</f>
        <v>基础设施水平</v>
      </c>
      <c r="R18" s="704" t="s">
        <v>14</v>
      </c>
      <c r="S18" s="705">
        <f>F18</f>
        <v>100</v>
      </c>
      <c r="T18" s="704" t="s">
        <v>14</v>
      </c>
      <c r="U18" s="705">
        <f>H18</f>
        <v>100</v>
      </c>
      <c r="V18" s="704" t="s">
        <v>14</v>
      </c>
      <c r="W18" s="705">
        <f>J18</f>
        <v>100</v>
      </c>
      <c r="X18" s="1353"/>
      <c r="Y18" s="371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0"/>
      <c r="P19" s="3718"/>
      <c r="Q19" s="1350"/>
      <c r="R19" s="704"/>
      <c r="S19" s="705"/>
      <c r="T19" s="704"/>
      <c r="U19" s="705"/>
      <c r="V19" s="704"/>
      <c r="W19" s="705"/>
      <c r="X19" s="1353"/>
      <c r="Y19" s="371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0"/>
      <c r="P20" s="3718"/>
      <c r="Q20" s="1350" t="str">
        <f>B20</f>
        <v>自然及人文环境</v>
      </c>
      <c r="R20" s="704" t="s">
        <v>14</v>
      </c>
      <c r="S20" s="705">
        <f>F20</f>
        <v>100</v>
      </c>
      <c r="T20" s="704" t="s">
        <v>14</v>
      </c>
      <c r="U20" s="705">
        <f>H20</f>
        <v>100</v>
      </c>
      <c r="V20" s="704" t="s">
        <v>14</v>
      </c>
      <c r="W20" s="705">
        <f>J20</f>
        <v>100</v>
      </c>
      <c r="X20" s="1353"/>
      <c r="Y20" s="371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0"/>
      <c r="P21" s="3718"/>
      <c r="Q21" s="1350"/>
      <c r="R21" s="704"/>
      <c r="S21" s="705"/>
      <c r="T21" s="704"/>
      <c r="U21" s="705"/>
      <c r="V21" s="704"/>
      <c r="W21" s="705"/>
      <c r="X21" s="1353"/>
      <c r="Y21" s="371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0"/>
      <c r="P22" s="3718"/>
      <c r="Q22" s="1350" t="str">
        <f>B22</f>
        <v>楼层</v>
      </c>
      <c r="R22" s="704" t="s">
        <v>14</v>
      </c>
      <c r="S22" s="705">
        <f>F22</f>
        <v>100</v>
      </c>
      <c r="T22" s="704" t="s">
        <v>14</v>
      </c>
      <c r="U22" s="705">
        <f>H22</f>
        <v>100</v>
      </c>
      <c r="V22" s="704" t="s">
        <v>14</v>
      </c>
      <c r="W22" s="705">
        <f>J22</f>
        <v>100</v>
      </c>
      <c r="X22" s="1353"/>
      <c r="Y22" s="371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0"/>
      <c r="P23" s="3718"/>
      <c r="Q23" s="1350">
        <f>B23</f>
        <v>111</v>
      </c>
      <c r="R23" s="704" t="s">
        <v>14</v>
      </c>
      <c r="S23" s="705">
        <f>F23</f>
        <v>100</v>
      </c>
      <c r="T23" s="704" t="s">
        <v>14</v>
      </c>
      <c r="U23" s="705">
        <f>H23</f>
        <v>100</v>
      </c>
      <c r="V23" s="704" t="s">
        <v>14</v>
      </c>
      <c r="W23" s="705">
        <f>J23</f>
        <v>100</v>
      </c>
      <c r="X23" s="1353"/>
      <c r="Y23" s="371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0"/>
      <c r="P24" s="3718"/>
      <c r="Q24" s="1350">
        <f t="shared" ref="Q24:Q34" si="11">B24</f>
        <v>111</v>
      </c>
      <c r="R24" s="704" t="s">
        <v>14</v>
      </c>
      <c r="S24" s="705">
        <f>F24</f>
        <v>100</v>
      </c>
      <c r="T24" s="704" t="s">
        <v>14</v>
      </c>
      <c r="U24" s="705">
        <f>H24</f>
        <v>100</v>
      </c>
      <c r="V24" s="704" t="s">
        <v>14</v>
      </c>
      <c r="W24" s="705">
        <f>J24</f>
        <v>100</v>
      </c>
      <c r="X24" s="1353"/>
      <c r="Y24" s="3718"/>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8"/>
      <c r="P25" s="3718"/>
      <c r="Q25" s="1341">
        <f t="shared" si="11"/>
        <v>111</v>
      </c>
      <c r="R25" s="700" t="s">
        <v>14</v>
      </c>
      <c r="S25" s="701">
        <f>F25</f>
        <v>100</v>
      </c>
      <c r="T25" s="700" t="s">
        <v>14</v>
      </c>
      <c r="U25" s="701">
        <f>H25</f>
        <v>100</v>
      </c>
      <c r="V25" s="700" t="s">
        <v>14</v>
      </c>
      <c r="W25" s="701">
        <f>J25</f>
        <v>100</v>
      </c>
      <c r="X25" s="702"/>
      <c r="Y25" s="3718"/>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0"/>
      <c r="P26" s="3763"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2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1"/>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0"/>
      <c r="P28" s="3722"/>
      <c r="Q28" s="1350" t="str">
        <f t="shared" si="11"/>
        <v>物业等级</v>
      </c>
      <c r="R28" s="704" t="s">
        <v>14</v>
      </c>
      <c r="S28" s="705">
        <f t="shared" si="12"/>
        <v>100</v>
      </c>
      <c r="T28" s="704" t="s">
        <v>14</v>
      </c>
      <c r="U28" s="705">
        <f t="shared" si="13"/>
        <v>100</v>
      </c>
      <c r="V28" s="704" t="s">
        <v>14</v>
      </c>
      <c r="W28" s="705">
        <f t="shared" si="14"/>
        <v>100</v>
      </c>
      <c r="X28" s="1353"/>
      <c r="Y28" s="372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0"/>
      <c r="P29" s="3722"/>
      <c r="Q29" s="1350" t="str">
        <f t="shared" si="11"/>
        <v>有无电梯</v>
      </c>
      <c r="R29" s="704" t="s">
        <v>14</v>
      </c>
      <c r="S29" s="705">
        <f t="shared" si="12"/>
        <v>100</v>
      </c>
      <c r="T29" s="704" t="s">
        <v>14</v>
      </c>
      <c r="U29" s="705">
        <f t="shared" si="13"/>
        <v>100</v>
      </c>
      <c r="V29" s="704" t="s">
        <v>14</v>
      </c>
      <c r="W29" s="705">
        <f t="shared" si="14"/>
        <v>100</v>
      </c>
      <c r="X29" s="1353"/>
      <c r="Y29" s="372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0"/>
      <c r="P30" s="3722"/>
      <c r="Q30" s="1350" t="str">
        <f t="shared" si="11"/>
        <v>建筑面积</v>
      </c>
      <c r="R30" s="704" t="s">
        <v>14</v>
      </c>
      <c r="S30" s="705" t="e">
        <f t="shared" si="12"/>
        <v>#N/A</v>
      </c>
      <c r="T30" s="704" t="s">
        <v>14</v>
      </c>
      <c r="U30" s="705" t="e">
        <f t="shared" si="13"/>
        <v>#N/A</v>
      </c>
      <c r="V30" s="704" t="s">
        <v>14</v>
      </c>
      <c r="W30" s="705" t="e">
        <f t="shared" si="14"/>
        <v>#N/A</v>
      </c>
      <c r="X30" s="1353"/>
      <c r="Y30" s="372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8"/>
      <c r="P31" s="3722"/>
      <c r="Q31" s="1341"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0"/>
      <c r="P32" s="3722" t="s">
        <v>1696</v>
      </c>
      <c r="Q32" s="1350">
        <f t="shared" si="11"/>
        <v>111</v>
      </c>
      <c r="R32" s="704" t="s">
        <v>14</v>
      </c>
      <c r="S32" s="705">
        <f t="shared" si="12"/>
        <v>100</v>
      </c>
      <c r="T32" s="704" t="s">
        <v>14</v>
      </c>
      <c r="U32" s="705">
        <f t="shared" si="13"/>
        <v>100</v>
      </c>
      <c r="V32" s="704" t="s">
        <v>14</v>
      </c>
      <c r="W32" s="705">
        <f t="shared" si="14"/>
        <v>100</v>
      </c>
      <c r="X32" s="1353"/>
      <c r="Y32" s="372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0"/>
      <c r="P33" s="3722"/>
      <c r="Q33" s="1350">
        <f t="shared" si="11"/>
        <v>111</v>
      </c>
      <c r="R33" s="704" t="s">
        <v>14</v>
      </c>
      <c r="S33" s="705">
        <f t="shared" si="12"/>
        <v>100</v>
      </c>
      <c r="T33" s="704" t="s">
        <v>14</v>
      </c>
      <c r="U33" s="705">
        <f t="shared" si="13"/>
        <v>100</v>
      </c>
      <c r="V33" s="704" t="s">
        <v>14</v>
      </c>
      <c r="W33" s="705">
        <f t="shared" si="14"/>
        <v>100</v>
      </c>
      <c r="X33" s="1353"/>
      <c r="Y33" s="3722"/>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0"/>
      <c r="P34" s="3722"/>
      <c r="Q34" s="1350">
        <f t="shared" si="11"/>
        <v>111</v>
      </c>
      <c r="R34" s="704" t="s">
        <v>14</v>
      </c>
      <c r="S34" s="705">
        <f t="shared" si="12"/>
        <v>100</v>
      </c>
      <c r="T34" s="704" t="s">
        <v>14</v>
      </c>
      <c r="U34" s="705">
        <f t="shared" si="13"/>
        <v>100</v>
      </c>
      <c r="V34" s="704" t="s">
        <v>14</v>
      </c>
      <c r="W34" s="705">
        <f t="shared" si="14"/>
        <v>100</v>
      </c>
      <c r="X34" s="1353"/>
      <c r="Y34" s="3722"/>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1"/>
      <c r="M35" s="2722"/>
      <c r="N35" s="2713"/>
      <c r="O35" s="2722"/>
      <c r="P35" s="3710" t="str">
        <f>A35</f>
        <v>成交单价（元/平方米）</v>
      </c>
      <c r="Q35" s="3710"/>
      <c r="R35" s="3711">
        <f>E35</f>
        <v>0</v>
      </c>
      <c r="S35" s="3711"/>
      <c r="T35" s="3711">
        <f>G35</f>
        <v>0</v>
      </c>
      <c r="U35" s="3711"/>
      <c r="V35" s="3711">
        <f>I35</f>
        <v>0</v>
      </c>
      <c r="W35" s="3711"/>
      <c r="X35" s="689"/>
      <c r="Y35" s="711"/>
      <c r="Z35" s="689"/>
      <c r="AA35" s="689"/>
      <c r="AB35" s="689"/>
      <c r="AC35" s="689"/>
    </row>
    <row r="36" spans="1:30" ht="15.75" thickBot="1">
      <c r="A36" s="437" t="s">
        <v>1793</v>
      </c>
      <c r="B36" s="438"/>
      <c r="C36" s="1159" t="e">
        <f>R37</f>
        <v>#DIV/0!</v>
      </c>
      <c r="D36" s="2314" t="s">
        <v>2136</v>
      </c>
      <c r="E36" s="1160" t="e">
        <f>R36</f>
        <v>#DIV/0!</v>
      </c>
      <c r="F36" s="2315"/>
      <c r="G36" s="1159" t="e">
        <f>T36</f>
        <v>#DIV/0!</v>
      </c>
      <c r="H36" s="2315"/>
      <c r="I36" s="1160" t="e">
        <f>V36</f>
        <v>#DIV/0!</v>
      </c>
      <c r="J36" s="2315"/>
      <c r="K36" s="2317">
        <f>F36+H36+J36</f>
        <v>0</v>
      </c>
      <c r="L36" s="2721"/>
      <c r="M36" s="2722"/>
      <c r="N36" s="2713"/>
      <c r="O36" s="2722"/>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12" t="str">
        <f>A37</f>
        <v>估价对象XX用房的比较价值（楼面单价，元/平方米）</v>
      </c>
      <c r="Q37" s="3713"/>
      <c r="R37" s="3816" t="e">
        <f>IF(F1="售价",ROUND(IF(D36="简单平均",AVERAGE(R36:W36),R36*F36+T36*H36+V36*J36),0),ROUND(IF(D36="简单平均",AVERAGE(R36:V36),R36*F36+T36*H36+V36*J36),1))</f>
        <v>#DIV/0!</v>
      </c>
      <c r="S37" s="3816"/>
      <c r="T37" s="3816"/>
      <c r="U37" s="3816"/>
      <c r="V37" s="3816"/>
      <c r="W37" s="3816"/>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0"/>
      <c r="O52" s="2750"/>
      <c r="P52" s="2774"/>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49"/>
      <c r="O53" s="2749"/>
      <c r="P53" s="2774"/>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0"/>
      <c r="O54" s="2750"/>
      <c r="P54" s="2774"/>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49"/>
      <c r="O55" s="2749"/>
      <c r="P55" s="2774"/>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0"/>
      <c r="O56" s="2750"/>
      <c r="P56" s="2774"/>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20"/>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49"/>
      <c r="O69" s="2749"/>
      <c r="P69" s="2774"/>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0"/>
      <c r="O70" s="2750"/>
      <c r="P70" s="2774"/>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8"/>
      <c r="O71" s="2748"/>
      <c r="P71" s="2774"/>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8"/>
      <c r="O80" s="2748"/>
      <c r="P80" s="2774"/>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49"/>
      <c r="O84" s="2749"/>
      <c r="P84" s="2774"/>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49"/>
      <c r="O87" s="2749"/>
      <c r="P87" s="2774"/>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0"/>
      <c r="O88" s="2750"/>
      <c r="P88" s="2774"/>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0"/>
      <c r="O92" s="2750"/>
      <c r="P92" s="2774"/>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49"/>
      <c r="O93" s="2749"/>
      <c r="P93" s="2774"/>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0"/>
      <c r="O94" s="2750"/>
      <c r="P94" s="2774"/>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0"/>
      <c r="O95" s="2750"/>
      <c r="P95" s="2777"/>
      <c r="Q95" s="2764"/>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0"/>
      <c r="O96" s="2750"/>
      <c r="P96" s="2774"/>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29" t="s">
        <v>1770</v>
      </c>
      <c r="D4" s="3730"/>
      <c r="E4" s="3731" t="s">
        <v>1771</v>
      </c>
      <c r="F4" s="3732"/>
      <c r="G4" s="3729" t="s">
        <v>1772</v>
      </c>
      <c r="H4" s="3730"/>
      <c r="I4" s="3729" t="s">
        <v>1773</v>
      </c>
      <c r="J4" s="3730"/>
      <c r="K4" s="559" t="s">
        <v>1774</v>
      </c>
      <c r="L4" s="2712"/>
      <c r="M4" s="2713"/>
      <c r="N4" s="2713"/>
      <c r="O4" s="2713"/>
      <c r="P4" s="3733" t="s">
        <v>1775</v>
      </c>
      <c r="Q4" s="3734"/>
      <c r="R4" s="3739" t="s">
        <v>1771</v>
      </c>
      <c r="S4" s="3740"/>
      <c r="T4" s="3739" t="s">
        <v>1772</v>
      </c>
      <c r="U4" s="3740"/>
      <c r="V4" s="3724" t="s">
        <v>1773</v>
      </c>
      <c r="W4" s="3724"/>
      <c r="X4" s="1353"/>
      <c r="Y4" s="3739" t="s">
        <v>1775</v>
      </c>
      <c r="Z4" s="3740"/>
      <c r="AA4" s="3726" t="s">
        <v>1771</v>
      </c>
      <c r="AB4" s="3727" t="s">
        <v>1772</v>
      </c>
      <c r="AC4" s="3726" t="s">
        <v>1773</v>
      </c>
    </row>
    <row r="5" spans="1:29" ht="15">
      <c r="A5" s="358"/>
      <c r="B5" s="359"/>
      <c r="C5" s="3752" t="s">
        <v>1673</v>
      </c>
      <c r="D5" s="3748"/>
      <c r="E5" s="3764" t="s">
        <v>1674</v>
      </c>
      <c r="F5" s="3756"/>
      <c r="G5" s="3752" t="s">
        <v>1675</v>
      </c>
      <c r="H5" s="3748"/>
      <c r="I5" s="3752" t="s">
        <v>1676</v>
      </c>
      <c r="J5" s="3748"/>
      <c r="K5" s="559"/>
      <c r="L5" s="2712"/>
      <c r="M5" s="2713"/>
      <c r="N5" s="2713"/>
      <c r="O5" s="2713"/>
      <c r="P5" s="3735"/>
      <c r="Q5" s="3736"/>
      <c r="R5" s="3741"/>
      <c r="S5" s="3742"/>
      <c r="T5" s="3741"/>
      <c r="U5" s="3742"/>
      <c r="V5" s="3724"/>
      <c r="W5" s="3724"/>
      <c r="X5" s="1353"/>
      <c r="Y5" s="3741"/>
      <c r="Z5" s="3742"/>
      <c r="AA5" s="3727"/>
      <c r="AB5" s="3727"/>
      <c r="AC5" s="3727"/>
    </row>
    <row r="6" spans="1:29" ht="15.75" thickBot="1">
      <c r="A6" s="360"/>
      <c r="B6" s="361"/>
      <c r="C6" s="3817" t="s">
        <v>1918</v>
      </c>
      <c r="D6" s="3818"/>
      <c r="E6" s="3819" t="s">
        <v>1918</v>
      </c>
      <c r="F6" s="3820"/>
      <c r="G6" s="3817" t="s">
        <v>1918</v>
      </c>
      <c r="H6" s="3818"/>
      <c r="I6" s="3817" t="s">
        <v>1918</v>
      </c>
      <c r="J6" s="3818"/>
      <c r="K6" s="559" t="s">
        <v>1678</v>
      </c>
      <c r="L6" s="2712"/>
      <c r="M6" s="2713"/>
      <c r="N6" s="2713"/>
      <c r="O6" s="2713"/>
      <c r="P6" s="3737"/>
      <c r="Q6" s="3738"/>
      <c r="R6" s="3741"/>
      <c r="S6" s="3742"/>
      <c r="T6" s="3743"/>
      <c r="U6" s="3744"/>
      <c r="V6" s="3724"/>
      <c r="W6" s="3724"/>
      <c r="X6" s="1353"/>
      <c r="Y6" s="3743"/>
      <c r="Z6" s="3744"/>
      <c r="AA6" s="3728"/>
      <c r="AB6" s="3728"/>
      <c r="AC6" s="3728"/>
    </row>
    <row r="7" spans="1:29" s="108" customFormat="1" ht="15.75" thickBot="1">
      <c r="A7" s="362" t="s">
        <v>1679</v>
      </c>
      <c r="B7" s="363"/>
      <c r="C7" s="364">
        <f>'数据-取费表'!B2</f>
        <v>45068</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49" t="s">
        <v>1680</v>
      </c>
      <c r="Q7" s="3751"/>
      <c r="R7" s="700" t="s">
        <v>14</v>
      </c>
      <c r="S7" s="701">
        <f t="shared" ref="S7:S15" si="0">F7</f>
        <v>0</v>
      </c>
      <c r="T7" s="700" t="s">
        <v>14</v>
      </c>
      <c r="U7" s="701">
        <f t="shared" ref="U7:U15" si="1">H7</f>
        <v>0</v>
      </c>
      <c r="V7" s="700" t="s">
        <v>14</v>
      </c>
      <c r="W7" s="701">
        <f t="shared" ref="W7:W15" si="2">J7</f>
        <v>0</v>
      </c>
      <c r="X7" s="702"/>
      <c r="Y7" s="3749" t="s">
        <v>1680</v>
      </c>
      <c r="Z7" s="375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49" t="s">
        <v>1683</v>
      </c>
      <c r="Q8" s="3750"/>
      <c r="R8" s="700" t="s">
        <v>14</v>
      </c>
      <c r="S8" s="701">
        <f t="shared" si="0"/>
        <v>0</v>
      </c>
      <c r="T8" s="700" t="s">
        <v>14</v>
      </c>
      <c r="U8" s="701">
        <f t="shared" si="1"/>
        <v>0</v>
      </c>
      <c r="V8" s="700" t="s">
        <v>14</v>
      </c>
      <c r="W8" s="701">
        <f t="shared" si="2"/>
        <v>0</v>
      </c>
      <c r="X8" s="702"/>
      <c r="Y8" s="3749" t="s">
        <v>1683</v>
      </c>
      <c r="Z8" s="3750"/>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8"/>
      <c r="P9" s="3710" t="s">
        <v>1686</v>
      </c>
      <c r="Q9" s="1341"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6"/>
      <c r="M10" s="2717"/>
      <c r="N10" s="2717"/>
      <c r="O10" s="2769"/>
      <c r="P10" s="3710"/>
      <c r="Q10" s="1341" t="str">
        <f t="shared" si="6"/>
        <v>土地使用年限（年）</v>
      </c>
      <c r="R10" s="700" t="s">
        <v>14</v>
      </c>
      <c r="S10" s="701">
        <f t="shared" si="0"/>
        <v>143</v>
      </c>
      <c r="T10" s="700" t="s">
        <v>14</v>
      </c>
      <c r="U10" s="701">
        <f t="shared" si="1"/>
        <v>143</v>
      </c>
      <c r="V10" s="700" t="s">
        <v>14</v>
      </c>
      <c r="W10" s="701">
        <f t="shared" si="2"/>
        <v>143</v>
      </c>
      <c r="X10" s="702"/>
      <c r="Y10" s="3617"/>
      <c r="Z10" s="52" t="str">
        <f t="shared" si="7"/>
        <v>土地使用年限（年）</v>
      </c>
      <c r="AA10" s="703">
        <f t="shared" si="3"/>
        <v>0.69930069930069927</v>
      </c>
      <c r="AB10" s="703">
        <f t="shared" si="4"/>
        <v>0.69930069930069927</v>
      </c>
      <c r="AC10" s="703">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0"/>
      <c r="P11" s="3710"/>
      <c r="Q11" s="1341"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8"/>
      <c r="P12" s="3710"/>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0"/>
      <c r="P13" s="3710"/>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0"/>
      <c r="P14" s="3710"/>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0"/>
      <c r="P15" s="3717" t="s">
        <v>1691</v>
      </c>
      <c r="Q15" s="1350" t="str">
        <f t="shared" si="6"/>
        <v>产业集聚程度</v>
      </c>
      <c r="R15" s="704" t="s">
        <v>14</v>
      </c>
      <c r="S15" s="705">
        <f t="shared" si="0"/>
        <v>100</v>
      </c>
      <c r="T15" s="704" t="s">
        <v>14</v>
      </c>
      <c r="U15" s="705">
        <f t="shared" si="1"/>
        <v>100</v>
      </c>
      <c r="V15" s="704" t="s">
        <v>14</v>
      </c>
      <c r="W15" s="705">
        <f t="shared" si="2"/>
        <v>100</v>
      </c>
      <c r="X15" s="1353"/>
      <c r="Y15" s="371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0"/>
      <c r="P16" s="3718"/>
      <c r="Q16" s="1350"/>
      <c r="R16" s="704"/>
      <c r="S16" s="705"/>
      <c r="T16" s="704"/>
      <c r="U16" s="705"/>
      <c r="V16" s="704"/>
      <c r="W16" s="705"/>
      <c r="X16" s="1353"/>
      <c r="Y16" s="371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0"/>
      <c r="P17" s="3718"/>
      <c r="Q17" s="1350" t="str">
        <f>B17</f>
        <v>交通便捷度</v>
      </c>
      <c r="R17" s="704" t="s">
        <v>14</v>
      </c>
      <c r="S17" s="705">
        <f>F17</f>
        <v>100</v>
      </c>
      <c r="T17" s="704" t="s">
        <v>14</v>
      </c>
      <c r="U17" s="705">
        <f>H17</f>
        <v>100</v>
      </c>
      <c r="V17" s="704" t="s">
        <v>14</v>
      </c>
      <c r="W17" s="705">
        <f>J17</f>
        <v>100</v>
      </c>
      <c r="X17" s="1353"/>
      <c r="Y17" s="371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0"/>
      <c r="P18" s="3718"/>
      <c r="Q18" s="1350"/>
      <c r="R18" s="704"/>
      <c r="S18" s="705"/>
      <c r="T18" s="704"/>
      <c r="U18" s="705"/>
      <c r="V18" s="704"/>
      <c r="W18" s="705"/>
      <c r="X18" s="1353"/>
      <c r="Y18" s="371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0"/>
      <c r="P19" s="3718"/>
      <c r="Q19" s="1350" t="str">
        <f t="shared" ref="Q19:Q33" si="8">B19</f>
        <v>区域土地利用方向</v>
      </c>
      <c r="R19" s="704" t="s">
        <v>14</v>
      </c>
      <c r="S19" s="705">
        <f>F19</f>
        <v>100</v>
      </c>
      <c r="T19" s="704" t="s">
        <v>14</v>
      </c>
      <c r="U19" s="705">
        <f>H19</f>
        <v>100</v>
      </c>
      <c r="V19" s="704" t="s">
        <v>14</v>
      </c>
      <c r="W19" s="705">
        <f>J19</f>
        <v>100</v>
      </c>
      <c r="X19" s="1353"/>
      <c r="Y19" s="371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9"/>
      <c r="M20" s="2713"/>
      <c r="N20" s="2713"/>
      <c r="O20" s="2770"/>
      <c r="P20" s="3718"/>
      <c r="Q20" s="1350"/>
      <c r="R20" s="704"/>
      <c r="S20" s="705"/>
      <c r="T20" s="704"/>
      <c r="U20" s="705"/>
      <c r="V20" s="704"/>
      <c r="W20" s="705"/>
      <c r="X20" s="1353"/>
      <c r="Y20" s="3718"/>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0"/>
      <c r="P21" s="3718"/>
      <c r="Q21" s="1350" t="str">
        <f t="shared" si="8"/>
        <v>环境状况</v>
      </c>
      <c r="R21" s="704" t="s">
        <v>14</v>
      </c>
      <c r="S21" s="705">
        <f>F21</f>
        <v>100</v>
      </c>
      <c r="T21" s="704" t="s">
        <v>14</v>
      </c>
      <c r="U21" s="705">
        <f>H21</f>
        <v>100</v>
      </c>
      <c r="V21" s="704" t="s">
        <v>14</v>
      </c>
      <c r="W21" s="705">
        <f>J21</f>
        <v>100</v>
      </c>
      <c r="X21" s="1353"/>
      <c r="Y21" s="371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0"/>
      <c r="P22" s="3718"/>
      <c r="Q22" s="1350"/>
      <c r="R22" s="704"/>
      <c r="S22" s="705"/>
      <c r="T22" s="704"/>
      <c r="U22" s="705"/>
      <c r="V22" s="704"/>
      <c r="W22" s="705"/>
      <c r="X22" s="1353"/>
      <c r="Y22" s="371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8"/>
      <c r="P23" s="3718"/>
      <c r="Q23" s="1341" t="str">
        <f t="shared" si="8"/>
        <v>公共配套设施</v>
      </c>
      <c r="R23" s="700" t="s">
        <v>14</v>
      </c>
      <c r="S23" s="701">
        <f>F23</f>
        <v>100</v>
      </c>
      <c r="T23" s="700" t="s">
        <v>14</v>
      </c>
      <c r="U23" s="701">
        <f>H23</f>
        <v>100</v>
      </c>
      <c r="V23" s="700" t="s">
        <v>14</v>
      </c>
      <c r="W23" s="701">
        <f>J23</f>
        <v>100</v>
      </c>
      <c r="X23" s="702"/>
      <c r="Y23" s="3718"/>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4"/>
      <c r="M24" s="2715"/>
      <c r="N24" s="2715"/>
      <c r="O24" s="2768"/>
      <c r="P24" s="3718"/>
      <c r="Q24" s="1341"/>
      <c r="R24" s="700"/>
      <c r="S24" s="701"/>
      <c r="T24" s="700"/>
      <c r="U24" s="701"/>
      <c r="V24" s="700"/>
      <c r="W24" s="701"/>
      <c r="X24" s="702"/>
      <c r="Y24" s="3718"/>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8"/>
      <c r="P25" s="3718"/>
      <c r="Q25" s="1341" t="str">
        <f t="shared" ref="Q25" si="9">B25</f>
        <v>基础设施水平</v>
      </c>
      <c r="R25" s="700" t="s">
        <v>14</v>
      </c>
      <c r="S25" s="701">
        <f>F25</f>
        <v>100</v>
      </c>
      <c r="T25" s="700" t="s">
        <v>14</v>
      </c>
      <c r="U25" s="701">
        <f>H25</f>
        <v>100</v>
      </c>
      <c r="V25" s="700" t="s">
        <v>14</v>
      </c>
      <c r="W25" s="701">
        <f>J25</f>
        <v>100</v>
      </c>
      <c r="X25" s="702"/>
      <c r="Y25" s="3718"/>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4"/>
      <c r="M26" s="2715"/>
      <c r="N26" s="2715"/>
      <c r="O26" s="2768"/>
      <c r="P26" s="3718"/>
      <c r="Q26" s="1341"/>
      <c r="R26" s="700"/>
      <c r="S26" s="701"/>
      <c r="T26" s="700"/>
      <c r="U26" s="701"/>
      <c r="V26" s="700"/>
      <c r="W26" s="701"/>
      <c r="X26" s="702"/>
      <c r="Y26" s="3718"/>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0"/>
      <c r="P27" s="3718"/>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18"/>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0"/>
      <c r="P28" s="3718"/>
      <c r="Q28" s="1350" t="str">
        <f t="shared" si="8"/>
        <v>毗邻道路的类型与等级</v>
      </c>
      <c r="R28" s="704" t="s">
        <v>14</v>
      </c>
      <c r="S28" s="705">
        <f t="shared" si="10"/>
        <v>100</v>
      </c>
      <c r="T28" s="704" t="s">
        <v>14</v>
      </c>
      <c r="U28" s="705">
        <f t="shared" si="11"/>
        <v>100</v>
      </c>
      <c r="V28" s="704" t="s">
        <v>14</v>
      </c>
      <c r="W28" s="705">
        <f t="shared" si="12"/>
        <v>100</v>
      </c>
      <c r="X28" s="1353"/>
      <c r="Y28" s="371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0"/>
      <c r="P29" s="3718"/>
      <c r="Q29" s="1350"/>
      <c r="R29" s="704"/>
      <c r="S29" s="705"/>
      <c r="T29" s="704"/>
      <c r="U29" s="705"/>
      <c r="V29" s="704"/>
      <c r="W29" s="705"/>
      <c r="X29" s="1353"/>
      <c r="Y29" s="3718"/>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0"/>
      <c r="P30" s="3718"/>
      <c r="Q30" s="1350" t="str">
        <f t="shared" si="8"/>
        <v>土地级别</v>
      </c>
      <c r="R30" s="704" t="s">
        <v>14</v>
      </c>
      <c r="S30" s="705">
        <f t="shared" si="10"/>
        <v>100</v>
      </c>
      <c r="T30" s="704" t="s">
        <v>14</v>
      </c>
      <c r="U30" s="705">
        <f t="shared" si="11"/>
        <v>100</v>
      </c>
      <c r="V30" s="704" t="s">
        <v>14</v>
      </c>
      <c r="W30" s="705">
        <f t="shared" si="12"/>
        <v>100</v>
      </c>
      <c r="X30" s="1353"/>
      <c r="Y30" s="3718"/>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0"/>
      <c r="P31" s="3718"/>
      <c r="Q31" s="1350">
        <f t="shared" si="8"/>
        <v>111</v>
      </c>
      <c r="R31" s="704" t="s">
        <v>14</v>
      </c>
      <c r="S31" s="705">
        <f t="shared" si="10"/>
        <v>100</v>
      </c>
      <c r="T31" s="704" t="s">
        <v>14</v>
      </c>
      <c r="U31" s="705">
        <f t="shared" si="11"/>
        <v>100</v>
      </c>
      <c r="V31" s="704" t="s">
        <v>14</v>
      </c>
      <c r="W31" s="705">
        <f t="shared" si="12"/>
        <v>100</v>
      </c>
      <c r="X31" s="1353"/>
      <c r="Y31" s="3718"/>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0"/>
      <c r="P32" s="3763" t="s">
        <v>1696</v>
      </c>
      <c r="Q32" s="1350">
        <f t="shared" si="8"/>
        <v>111</v>
      </c>
      <c r="R32" s="704" t="s">
        <v>14</v>
      </c>
      <c r="S32" s="705">
        <f t="shared" si="10"/>
        <v>100</v>
      </c>
      <c r="T32" s="704" t="s">
        <v>14</v>
      </c>
      <c r="U32" s="705">
        <f t="shared" si="11"/>
        <v>100</v>
      </c>
      <c r="V32" s="704" t="s">
        <v>14</v>
      </c>
      <c r="W32" s="705">
        <f t="shared" si="12"/>
        <v>100</v>
      </c>
      <c r="X32" s="1353"/>
      <c r="Y32" s="3722"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1"/>
      <c r="P33" s="3722"/>
      <c r="Q33" s="1350">
        <f t="shared" si="8"/>
        <v>111</v>
      </c>
      <c r="R33" s="707" t="s">
        <v>14</v>
      </c>
      <c r="S33" s="708">
        <f t="shared" si="10"/>
        <v>100</v>
      </c>
      <c r="T33" s="707" t="s">
        <v>14</v>
      </c>
      <c r="U33" s="708">
        <f t="shared" si="11"/>
        <v>100</v>
      </c>
      <c r="V33" s="707" t="s">
        <v>14</v>
      </c>
      <c r="W33" s="708">
        <f t="shared" si="12"/>
        <v>100</v>
      </c>
      <c r="X33" s="709"/>
      <c r="Y33" s="3722"/>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0"/>
      <c r="P34" s="3722"/>
      <c r="Q34" s="1350" t="str">
        <f>B34</f>
        <v>宗地面积</v>
      </c>
      <c r="R34" s="704" t="s">
        <v>14</v>
      </c>
      <c r="S34" s="705" t="e">
        <f t="shared" si="10"/>
        <v>#N/A</v>
      </c>
      <c r="T34" s="704" t="s">
        <v>14</v>
      </c>
      <c r="U34" s="705" t="e">
        <f t="shared" si="11"/>
        <v>#N/A</v>
      </c>
      <c r="V34" s="704" t="s">
        <v>14</v>
      </c>
      <c r="W34" s="705" t="e">
        <f t="shared" si="12"/>
        <v>#N/A</v>
      </c>
      <c r="X34" s="1353"/>
      <c r="Y34" s="372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0"/>
      <c r="P35" s="3722"/>
      <c r="Q35" s="1350" t="str">
        <f t="shared" ref="Q35:Q40" si="14">B35</f>
        <v>宗地形状</v>
      </c>
      <c r="R35" s="704" t="s">
        <v>14</v>
      </c>
      <c r="S35" s="705">
        <f t="shared" si="10"/>
        <v>100</v>
      </c>
      <c r="T35" s="704" t="s">
        <v>14</v>
      </c>
      <c r="U35" s="705">
        <f t="shared" si="11"/>
        <v>100</v>
      </c>
      <c r="V35" s="704" t="s">
        <v>14</v>
      </c>
      <c r="W35" s="705">
        <f t="shared" si="12"/>
        <v>100</v>
      </c>
      <c r="X35" s="1353"/>
      <c r="Y35" s="3722"/>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8"/>
      <c r="P36" s="3722"/>
      <c r="Q36" s="1350"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0"/>
      <c r="P37" s="3722" t="s">
        <v>1696</v>
      </c>
      <c r="Q37" s="1350" t="str">
        <f t="shared" si="14"/>
        <v>工程地质条件</v>
      </c>
      <c r="R37" s="704" t="s">
        <v>14</v>
      </c>
      <c r="S37" s="705">
        <f t="shared" si="10"/>
        <v>100</v>
      </c>
      <c r="T37" s="704" t="s">
        <v>14</v>
      </c>
      <c r="U37" s="705">
        <f t="shared" si="11"/>
        <v>100</v>
      </c>
      <c r="V37" s="704" t="s">
        <v>14</v>
      </c>
      <c r="W37" s="705">
        <f t="shared" si="12"/>
        <v>100</v>
      </c>
      <c r="X37" s="1353"/>
      <c r="Y37" s="3722"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0"/>
      <c r="P38" s="3722"/>
      <c r="Q38" s="1350">
        <f t="shared" si="14"/>
        <v>111</v>
      </c>
      <c r="R38" s="704" t="s">
        <v>14</v>
      </c>
      <c r="S38" s="705">
        <f t="shared" si="10"/>
        <v>100</v>
      </c>
      <c r="T38" s="704" t="s">
        <v>14</v>
      </c>
      <c r="U38" s="705">
        <f t="shared" si="11"/>
        <v>100</v>
      </c>
      <c r="V38" s="704" t="s">
        <v>14</v>
      </c>
      <c r="W38" s="705">
        <f t="shared" si="12"/>
        <v>100</v>
      </c>
      <c r="X38" s="1353"/>
      <c r="Y38" s="3722"/>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0"/>
      <c r="P39" s="3722"/>
      <c r="Q39" s="1350">
        <f t="shared" si="14"/>
        <v>111</v>
      </c>
      <c r="R39" s="704" t="s">
        <v>14</v>
      </c>
      <c r="S39" s="705">
        <f t="shared" si="10"/>
        <v>100</v>
      </c>
      <c r="T39" s="704" t="s">
        <v>14</v>
      </c>
      <c r="U39" s="705">
        <f t="shared" si="11"/>
        <v>100</v>
      </c>
      <c r="V39" s="704" t="s">
        <v>14</v>
      </c>
      <c r="W39" s="705">
        <f t="shared" si="12"/>
        <v>100</v>
      </c>
      <c r="X39" s="1353"/>
      <c r="Y39" s="3722"/>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1"/>
      <c r="P40" s="3722"/>
      <c r="Q40" s="1350">
        <f t="shared" si="14"/>
        <v>111</v>
      </c>
      <c r="R40" s="707" t="s">
        <v>14</v>
      </c>
      <c r="S40" s="708">
        <f t="shared" si="10"/>
        <v>100</v>
      </c>
      <c r="T40" s="707" t="s">
        <v>14</v>
      </c>
      <c r="U40" s="708">
        <f t="shared" si="11"/>
        <v>100</v>
      </c>
      <c r="V40" s="707" t="s">
        <v>14</v>
      </c>
      <c r="W40" s="708">
        <f t="shared" si="12"/>
        <v>100</v>
      </c>
      <c r="X40" s="709"/>
      <c r="Y40" s="3722"/>
      <c r="Z40" s="710">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3"/>
      <c r="L41" s="2721"/>
      <c r="M41" s="2713"/>
      <c r="N41" s="2713"/>
      <c r="O41" s="2722"/>
      <c r="P41" s="3710" t="str">
        <f>A41</f>
        <v>成交单价</v>
      </c>
      <c r="Q41" s="3710"/>
      <c r="R41" s="3724">
        <f>E41</f>
        <v>0</v>
      </c>
      <c r="S41" s="3724"/>
      <c r="T41" s="3724">
        <f>G41</f>
        <v>0</v>
      </c>
      <c r="U41" s="3724"/>
      <c r="V41" s="3724">
        <f>I41</f>
        <v>0</v>
      </c>
      <c r="W41" s="3724"/>
      <c r="X41" s="689"/>
      <c r="Y41" s="711"/>
      <c r="Z41" s="689"/>
      <c r="AA41" s="689"/>
      <c r="AB41" s="689"/>
      <c r="AC41" s="689"/>
    </row>
    <row r="42" spans="1:31" ht="15.75" thickBot="1">
      <c r="A42" s="437" t="s">
        <v>1793</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710" t="str">
        <f>A42</f>
        <v>比较价值（元/平方米）</v>
      </c>
      <c r="Q42" s="3710"/>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12" t="str">
        <f>A43</f>
        <v>估价对象XX用房的比较价值（楼面单价，元/平方米）</v>
      </c>
      <c r="Q43" s="3713"/>
      <c r="R43" s="3761" t="e">
        <f>ROUND(IF(D42="简单平均",AVERAGE(R42:W42),R42*F42+T42*H42+V42*J42),0)</f>
        <v>#DIV/0!</v>
      </c>
      <c r="S43" s="3761"/>
      <c r="T43" s="3761"/>
      <c r="U43" s="3761"/>
      <c r="V43" s="3761"/>
      <c r="W43" s="3761"/>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729" t="s">
        <v>1886</v>
      </c>
      <c r="H50" s="3762"/>
      <c r="I50" s="1354" t="s">
        <v>1922</v>
      </c>
      <c r="J50" s="1354">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3">
        <v>1</v>
      </c>
      <c r="E51" s="638">
        <f>'数据-汇总表'!E8+'数据-汇总表'!E9</f>
        <v>17193.62</v>
      </c>
      <c r="F51" s="639" t="e">
        <f t="shared" ref="F51:F60" si="15">ROUND(B51*E51/10000,0)</f>
        <v>#DIV/0!</v>
      </c>
      <c r="G51" s="3725"/>
      <c r="H51" s="3710"/>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0.5</v>
      </c>
      <c r="D52" s="944">
        <v>0.25</v>
      </c>
      <c r="E52" s="642"/>
      <c r="F52" s="639" t="e">
        <f t="shared" si="15"/>
        <v>#DIV/0!</v>
      </c>
      <c r="G52" s="3002" t="s">
        <v>1891</v>
      </c>
      <c r="H52" s="886" t="str">
        <f>项目基本情况!B37</f>
        <v>十级</v>
      </c>
      <c r="I52" s="772">
        <f>SUMIF(修正!A57:A68,H52,修正!B57:B68)</f>
        <v>0.5</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0.2</v>
      </c>
      <c r="D53" s="944">
        <v>0.25</v>
      </c>
      <c r="E53" s="642"/>
      <c r="F53" s="639" t="e">
        <f t="shared" si="15"/>
        <v>#DIV/0!</v>
      </c>
      <c r="G53" s="3003"/>
      <c r="H53" s="886" t="str">
        <f>项目基本情况!B37</f>
        <v>十级</v>
      </c>
      <c r="I53" s="772">
        <f>SUMIF(修正!A57:A68,H53,修正!C57:C68)</f>
        <v>0.2</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v>
      </c>
      <c r="D54" s="944">
        <v>0.25</v>
      </c>
      <c r="E54" s="642"/>
      <c r="F54" s="639" t="e">
        <f t="shared" si="15"/>
        <v>#DIV/0!</v>
      </c>
      <c r="G54" s="3003"/>
      <c r="H54" s="886" t="str">
        <f>项目基本情况!B37</f>
        <v>十级</v>
      </c>
      <c r="I54" s="772">
        <f>SUMIF(修正!A57:A68,H54,修正!D57:D68)</f>
        <v>0.2</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v>
      </c>
      <c r="D56" s="944">
        <v>0.25</v>
      </c>
      <c r="E56" s="217">
        <f>'数据-汇总表'!E11</f>
        <v>0</v>
      </c>
      <c r="F56" s="639" t="e">
        <f t="shared" si="15"/>
        <v>#DIV/0!</v>
      </c>
      <c r="G56" s="1984" t="s">
        <v>1895</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v>
      </c>
      <c r="D59" s="944">
        <v>0.25</v>
      </c>
      <c r="E59" s="217">
        <f>'数据-汇总表'!E14</f>
        <v>2869.28</v>
      </c>
      <c r="F59" s="639" t="e">
        <f t="shared" si="15"/>
        <v>#DIV/0!</v>
      </c>
      <c r="G59" s="1984" t="s">
        <v>1891</v>
      </c>
      <c r="H59" s="886" t="str">
        <f>项目基本情况!B37</f>
        <v>十级</v>
      </c>
      <c r="I59" s="772">
        <f>SUMIF(修正!A57:A68,H59,修正!G57:G68)</f>
        <v>0.1</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v>
      </c>
      <c r="D60" s="944">
        <v>0.25</v>
      </c>
      <c r="E60" s="217">
        <f>'数据-汇总表'!E15</f>
        <v>0</v>
      </c>
      <c r="F60" s="639" t="e">
        <f t="shared" si="15"/>
        <v>#DIV/0!</v>
      </c>
      <c r="G60" s="1985" t="s">
        <v>1895</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10405.33</v>
      </c>
      <c r="F61" s="645"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8"/>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0"/>
      <c r="O71" s="2750"/>
      <c r="P71" s="2774"/>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49"/>
      <c r="O72" s="2749"/>
      <c r="P72" s="2774"/>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0"/>
      <c r="O73" s="2750"/>
      <c r="P73" s="2774"/>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49"/>
      <c r="O75" s="2749"/>
      <c r="P75" s="2774"/>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20"/>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49"/>
      <c r="O97" s="2749"/>
      <c r="P97" s="2774"/>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49"/>
      <c r="O99" s="2749"/>
      <c r="P99" s="2774"/>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2"/>
      <c r="C2" s="3532"/>
      <c r="D2" s="3532"/>
      <c r="E2" s="3532"/>
    </row>
    <row r="3" spans="1:5" ht="18">
      <c r="A3" s="3533" t="str">
        <f>IF(项目基本情况!B9="房地产市场价值","估价结果一览表（市场价值不需“结果表-1”）","估价结果一览表")</f>
        <v>估价结果一览表</v>
      </c>
      <c r="B3" s="3533"/>
      <c r="C3" s="3533"/>
      <c r="D3" s="3533"/>
      <c r="E3" s="3533"/>
    </row>
    <row r="4" spans="1:5" ht="19.5" thickBot="1">
      <c r="A4" s="1491"/>
      <c r="B4" s="3531" t="s">
        <v>917</v>
      </c>
      <c r="C4" s="3531"/>
      <c r="D4" s="3531"/>
      <c r="E4" s="1491"/>
    </row>
    <row r="5" spans="1:5" ht="16.5" thickTop="1">
      <c r="A5" s="1489"/>
      <c r="B5" s="3529" t="s">
        <v>909</v>
      </c>
      <c r="C5" s="1492" t="s">
        <v>910</v>
      </c>
      <c r="D5" s="849">
        <f ca="1">结果表!H101</f>
        <v>24240</v>
      </c>
      <c r="E5" s="1489"/>
    </row>
    <row r="6" spans="1:5" ht="15.75">
      <c r="A6" s="1489"/>
      <c r="B6" s="3529"/>
      <c r="C6" s="1492" t="s">
        <v>911</v>
      </c>
      <c r="D6" s="849" t="str">
        <f ca="1">NUMBERSTRING(INT(D5*10000),2)&amp;"元整"</f>
        <v>贰亿肆仟贰佰肆拾万元整</v>
      </c>
      <c r="E6" s="1489"/>
    </row>
    <row r="7" spans="1:5" ht="15.75">
      <c r="A7" s="1489"/>
      <c r="B7" s="3534"/>
      <c r="C7" s="1493" t="s">
        <v>912</v>
      </c>
      <c r="D7" s="850">
        <f ca="1">结果表!H102</f>
        <v>12082</v>
      </c>
      <c r="E7" s="1489"/>
    </row>
    <row r="8" spans="1:5" ht="15.75">
      <c r="A8" s="1489"/>
      <c r="B8" s="3535" t="str">
        <f>结果表!E103</f>
        <v>2.估价师知悉的法定优先受偿款</v>
      </c>
      <c r="C8" s="1494" t="s">
        <v>913</v>
      </c>
      <c r="D8" s="850">
        <f>结果表!H103</f>
        <v>0</v>
      </c>
      <c r="E8" s="1489"/>
    </row>
    <row r="9" spans="1:5" ht="15.75">
      <c r="A9" s="1489"/>
      <c r="B9" s="3537"/>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28" t="str">
        <f>结果表!E107</f>
        <v>3.房地产抵押价值</v>
      </c>
      <c r="C13" s="1497" t="s">
        <v>910</v>
      </c>
      <c r="D13" s="852">
        <f ca="1">结果表!H107</f>
        <v>24240</v>
      </c>
      <c r="E13" s="1489"/>
    </row>
    <row r="14" spans="1:5" ht="15.75">
      <c r="A14" s="1489"/>
      <c r="B14" s="3529"/>
      <c r="C14" s="1492" t="s">
        <v>911</v>
      </c>
      <c r="D14" s="849" t="str">
        <f ca="1">NUMBERSTRING(INT(D13*10000),2)&amp;"元整"</f>
        <v>贰亿肆仟贰佰肆拾万元整</v>
      </c>
      <c r="E14" s="1489"/>
    </row>
    <row r="15" spans="1:5" ht="15">
      <c r="A15" s="1489"/>
      <c r="B15" s="3534"/>
      <c r="C15" s="1493" t="s">
        <v>921</v>
      </c>
      <c r="D15" s="858">
        <f ca="1">结果表!H108</f>
        <v>12082</v>
      </c>
      <c r="E15" s="1489"/>
    </row>
    <row r="16" spans="1:5" ht="15">
      <c r="A16" s="1489"/>
      <c r="B16" s="3535" t="str">
        <f>结果表!E109</f>
        <v>——</v>
      </c>
      <c r="C16" s="1497" t="s">
        <v>922</v>
      </c>
      <c r="D16" s="1498" t="str">
        <f>结果表!H109</f>
        <v>——</v>
      </c>
      <c r="E16" s="1489"/>
    </row>
    <row r="17" spans="1:5" ht="15.75">
      <c r="A17" s="1489"/>
      <c r="B17" s="3536"/>
      <c r="C17" s="1492" t="s">
        <v>923</v>
      </c>
      <c r="D17" s="849" t="e">
        <f>NUMBERSTRING(INT(D16*10000),2)&amp;"元整"</f>
        <v>#VALUE!</v>
      </c>
      <c r="E17" s="1489"/>
    </row>
    <row r="18" spans="1:5" ht="15">
      <c r="A18" s="1489"/>
      <c r="B18" s="3537"/>
      <c r="C18" s="1493" t="s">
        <v>912</v>
      </c>
      <c r="D18" s="858" t="str">
        <f>结果表!H110</f>
        <v>——</v>
      </c>
      <c r="E18" s="1489"/>
    </row>
    <row r="19" spans="1:5" ht="15.75">
      <c r="A19" s="1489"/>
      <c r="B19" s="3528" t="str">
        <f>结果表!E111</f>
        <v>——</v>
      </c>
      <c r="C19" s="1497" t="s">
        <v>910</v>
      </c>
      <c r="D19" s="850" t="str">
        <f>结果表!H111</f>
        <v>——</v>
      </c>
      <c r="E19" s="1489"/>
    </row>
    <row r="20" spans="1:5" ht="15.75">
      <c r="A20" s="1489"/>
      <c r="B20" s="3529"/>
      <c r="C20" s="1492" t="s">
        <v>923</v>
      </c>
      <c r="D20" s="849" t="e">
        <f>NUMBERSTRING(INT(D19*10000),2)&amp;"元整"</f>
        <v>#VALUE!</v>
      </c>
      <c r="E20" s="1489"/>
    </row>
    <row r="21" spans="1:5" ht="15.75" thickBot="1">
      <c r="A21" s="1489"/>
      <c r="B21" s="3530"/>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4"/>
      <c r="C1" s="2144"/>
      <c r="D1" s="2144"/>
      <c r="E1" s="2144"/>
      <c r="F1" s="2789"/>
      <c r="G1" s="2789"/>
      <c r="H1" s="2789"/>
      <c r="I1" s="2789"/>
      <c r="J1" s="2789"/>
      <c r="K1" s="2789"/>
      <c r="L1" s="2789"/>
      <c r="M1" s="2789"/>
      <c r="N1" s="2789"/>
      <c r="O1" s="2789"/>
      <c r="P1" s="2789"/>
    </row>
    <row r="2" spans="1:16" ht="15.75">
      <c r="A2" s="2142" t="s">
        <v>2072</v>
      </c>
      <c r="B2" s="2599">
        <f ca="1">SUMIF(B6:B13,"&lt;&gt;#ref!",B6:B13)</f>
        <v>5379</v>
      </c>
      <c r="C2" s="2142" t="s">
        <v>2073</v>
      </c>
      <c r="D2" s="2142" t="s">
        <v>2074</v>
      </c>
      <c r="E2" s="2609">
        <f ca="1">SUMIF(E6:E13,"&lt;&gt;#ref!",E6:E13)</f>
        <v>20062.899999999998</v>
      </c>
      <c r="F2" s="2789"/>
      <c r="G2" s="2789"/>
      <c r="H2" s="2789"/>
      <c r="I2" s="2789"/>
      <c r="J2" s="2789"/>
      <c r="K2" s="2789"/>
      <c r="L2" s="2789"/>
      <c r="M2" s="2789"/>
      <c r="N2" s="2789"/>
      <c r="O2" s="2789"/>
      <c r="P2" s="2789"/>
    </row>
    <row r="3" spans="1:16" ht="15.75">
      <c r="A3" s="2142" t="s">
        <v>2075</v>
      </c>
      <c r="B3" s="2599">
        <f ca="1">ROUND(B2*10000/E2,0)</f>
        <v>2681</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2076</v>
      </c>
      <c r="B5" s="2607" t="s">
        <v>2077</v>
      </c>
      <c r="C5" s="2143"/>
      <c r="D5" s="2789"/>
      <c r="E5" s="2608" t="s">
        <v>2078</v>
      </c>
      <c r="F5" s="2789"/>
      <c r="G5" s="2789"/>
      <c r="H5" s="2789"/>
      <c r="I5" s="2789"/>
      <c r="J5" s="2789"/>
      <c r="K5" s="2789"/>
      <c r="L5" s="2789"/>
      <c r="M5" s="2789"/>
      <c r="N5" s="2789"/>
      <c r="O5" s="2789"/>
      <c r="P5" s="2789"/>
    </row>
    <row r="6" spans="1:16" ht="15.75">
      <c r="A6" s="2606" t="s">
        <v>2079</v>
      </c>
      <c r="B6" s="2599">
        <f ca="1">SUMIF(INDIRECT("'"&amp;A6&amp;"'"&amp;"!A:A"),"总价",INDIRECT("'"&amp;A6&amp;"'"&amp;"!B:B"))</f>
        <v>5379</v>
      </c>
      <c r="C6" s="2142" t="s">
        <v>2073</v>
      </c>
      <c r="D6" s="2789"/>
      <c r="E6" s="2609">
        <f ca="1">SUMIF(INDIRECT("'"&amp;A6&amp;"'"&amp;"!C:C"),"建筑面积",INDIRECT("'"&amp;A6&amp;"'"&amp;"!D:D"))</f>
        <v>20062.899999999998</v>
      </c>
      <c r="F6" s="2789"/>
      <c r="G6" s="2789"/>
      <c r="H6" s="2789"/>
      <c r="I6" s="2789"/>
      <c r="J6" s="2789"/>
      <c r="K6" s="2789"/>
      <c r="L6" s="2789"/>
      <c r="M6" s="2789"/>
      <c r="N6" s="2789"/>
      <c r="O6" s="2789"/>
      <c r="P6" s="2789"/>
    </row>
    <row r="7" spans="1:16" ht="15.75">
      <c r="A7" s="2606"/>
      <c r="B7" s="2599" t="e">
        <f ca="1">SUMIF(INDIRECT("'"&amp;A7&amp;"'"&amp;"!A:A"),"总价",INDIRECT("'"&amp;A7&amp;"'"&amp;"!B:B"))</f>
        <v>#REF!</v>
      </c>
      <c r="C7" s="2142" t="s">
        <v>2073</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2073</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2073</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2073</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2073</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2073</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2073</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830" t="s">
        <v>2608</v>
      </c>
      <c r="B20" s="3825" t="s">
        <v>2629</v>
      </c>
      <c r="C20" s="3099" t="s">
        <v>2440</v>
      </c>
      <c r="D20" s="3100"/>
      <c r="E20" s="3101">
        <v>1</v>
      </c>
      <c r="F20" s="3102" t="s">
        <v>2441</v>
      </c>
      <c r="G20" s="3102"/>
    </row>
    <row r="21" spans="1:13" ht="19.5" customHeight="1">
      <c r="A21" s="3831"/>
      <c r="B21" s="3824"/>
      <c r="C21" s="3103" t="s">
        <v>2442</v>
      </c>
      <c r="D21" s="3104"/>
      <c r="E21" s="3105">
        <v>1</v>
      </c>
      <c r="F21" s="3102" t="s">
        <v>2443</v>
      </c>
      <c r="G21" s="3102"/>
    </row>
    <row r="22" spans="1:13" ht="19.5" customHeight="1">
      <c r="A22" s="3831"/>
      <c r="B22" s="3824"/>
      <c r="C22" s="3103" t="s">
        <v>2444</v>
      </c>
      <c r="D22" s="3104"/>
      <c r="E22" s="3105">
        <v>0.9</v>
      </c>
      <c r="F22" s="3102" t="s">
        <v>2445</v>
      </c>
      <c r="G22" s="3102"/>
    </row>
    <row r="23" spans="1:13" ht="19.5" customHeight="1">
      <c r="A23" s="3831"/>
      <c r="B23" s="3824"/>
      <c r="C23" s="3103" t="s">
        <v>2446</v>
      </c>
      <c r="D23" s="3104"/>
      <c r="E23" s="3105">
        <v>0.9</v>
      </c>
      <c r="F23" s="3102" t="s">
        <v>2447</v>
      </c>
      <c r="G23" s="3102"/>
    </row>
    <row r="24" spans="1:13" ht="19.5" customHeight="1">
      <c r="A24" s="3831"/>
      <c r="B24" s="3824"/>
      <c r="C24" s="3103" t="s">
        <v>2448</v>
      </c>
      <c r="D24" s="3104"/>
      <c r="E24" s="3105">
        <v>0.8</v>
      </c>
      <c r="F24" s="3102" t="s">
        <v>2449</v>
      </c>
      <c r="G24" s="3102"/>
    </row>
    <row r="25" spans="1:13" ht="19.5" customHeight="1" thickBot="1">
      <c r="A25" s="3832"/>
      <c r="B25" s="3826"/>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827" t="s">
        <v>2632</v>
      </c>
      <c r="B27" s="3825" t="s">
        <v>2613</v>
      </c>
      <c r="C27" s="3099" t="s">
        <v>2453</v>
      </c>
      <c r="D27" s="3100"/>
      <c r="E27" s="3101">
        <v>1</v>
      </c>
      <c r="F27" s="3102" t="s">
        <v>2454</v>
      </c>
      <c r="G27" s="3102"/>
    </row>
    <row r="28" spans="1:13" ht="19.5" customHeight="1">
      <c r="A28" s="3828"/>
      <c r="B28" s="3824"/>
      <c r="C28" s="3103" t="s">
        <v>2455</v>
      </c>
      <c r="D28" s="3104"/>
      <c r="E28" s="3105">
        <v>1</v>
      </c>
      <c r="F28" s="3102" t="s">
        <v>2456</v>
      </c>
      <c r="G28" s="3102"/>
    </row>
    <row r="29" spans="1:13" ht="19.5" customHeight="1">
      <c r="A29" s="3828"/>
      <c r="B29" s="3824"/>
      <c r="C29" s="3103" t="s">
        <v>2457</v>
      </c>
      <c r="D29" s="3104"/>
      <c r="E29" s="3105">
        <v>0.8</v>
      </c>
      <c r="F29" s="3102" t="s">
        <v>2458</v>
      </c>
      <c r="G29" s="3102"/>
    </row>
    <row r="30" spans="1:13" ht="19.5" customHeight="1">
      <c r="A30" s="3828"/>
      <c r="B30" s="3824"/>
      <c r="C30" s="3103" t="s">
        <v>2459</v>
      </c>
      <c r="D30" s="3104"/>
      <c r="E30" s="3105">
        <v>0.8</v>
      </c>
      <c r="F30" s="3102" t="s">
        <v>2460</v>
      </c>
      <c r="G30" s="3102"/>
    </row>
    <row r="31" spans="1:13" ht="19.5" customHeight="1">
      <c r="A31" s="3828"/>
      <c r="B31" s="3824"/>
      <c r="C31" s="3103" t="s">
        <v>2461</v>
      </c>
      <c r="D31" s="3104"/>
      <c r="E31" s="3105">
        <v>0.8</v>
      </c>
      <c r="F31" s="3102" t="s">
        <v>2462</v>
      </c>
      <c r="G31" s="3102"/>
    </row>
    <row r="32" spans="1:13" ht="19.5" customHeight="1">
      <c r="A32" s="3828"/>
      <c r="B32" s="3824"/>
      <c r="C32" s="3103" t="s">
        <v>2463</v>
      </c>
      <c r="D32" s="3104"/>
      <c r="E32" s="3105">
        <v>0.7</v>
      </c>
      <c r="F32" s="3102" t="s">
        <v>2464</v>
      </c>
      <c r="G32" s="3102"/>
    </row>
    <row r="33" spans="1:7" ht="19.5" customHeight="1">
      <c r="A33" s="3828"/>
      <c r="B33" s="3824"/>
      <c r="C33" s="3103" t="s">
        <v>2465</v>
      </c>
      <c r="D33" s="3104"/>
      <c r="E33" s="3105">
        <v>0.8</v>
      </c>
      <c r="F33" s="3102" t="s">
        <v>2466</v>
      </c>
      <c r="G33" s="3102"/>
    </row>
    <row r="34" spans="1:7" ht="19.5" customHeight="1">
      <c r="A34" s="3828"/>
      <c r="B34" s="3824"/>
      <c r="C34" s="3103" t="s">
        <v>2467</v>
      </c>
      <c r="D34" s="3104"/>
      <c r="E34" s="3105">
        <v>0.6</v>
      </c>
      <c r="F34" s="3102" t="s">
        <v>2468</v>
      </c>
      <c r="G34" s="3102"/>
    </row>
    <row r="35" spans="1:7" ht="19.5" customHeight="1">
      <c r="A35" s="3828"/>
      <c r="B35" s="3824"/>
      <c r="C35" s="3103" t="s">
        <v>2469</v>
      </c>
      <c r="D35" s="3104"/>
      <c r="E35" s="3105">
        <v>0.2</v>
      </c>
      <c r="F35" s="3102" t="s">
        <v>2470</v>
      </c>
      <c r="G35" s="3102"/>
    </row>
    <row r="36" spans="1:7" ht="19.5" customHeight="1">
      <c r="A36" s="3828"/>
      <c r="B36" s="3824"/>
      <c r="C36" s="3103" t="s">
        <v>2471</v>
      </c>
      <c r="D36" s="3104"/>
      <c r="E36" s="3105">
        <v>0.2</v>
      </c>
      <c r="F36" s="3102" t="s">
        <v>2472</v>
      </c>
      <c r="G36" s="3102"/>
    </row>
    <row r="37" spans="1:7" ht="19.5" customHeight="1">
      <c r="A37" s="3828"/>
      <c r="B37" s="3822" t="s">
        <v>2633</v>
      </c>
      <c r="C37" s="3103" t="s">
        <v>2473</v>
      </c>
      <c r="D37" s="3104"/>
      <c r="E37" s="3105">
        <v>0.6</v>
      </c>
      <c r="F37" s="3102" t="s">
        <v>2474</v>
      </c>
      <c r="G37" s="3102"/>
    </row>
    <row r="38" spans="1:7" ht="19.5" customHeight="1">
      <c r="A38" s="3828"/>
      <c r="B38" s="3824"/>
      <c r="C38" s="3103" t="s">
        <v>2475</v>
      </c>
      <c r="D38" s="3104"/>
      <c r="E38" s="3105">
        <v>0.6</v>
      </c>
      <c r="F38" s="3102" t="s">
        <v>2476</v>
      </c>
      <c r="G38" s="3102"/>
    </row>
    <row r="39" spans="1:7" ht="19.5" customHeight="1" thickBot="1">
      <c r="A39" s="3829"/>
      <c r="B39" s="3826"/>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830" t="s">
        <v>2611</v>
      </c>
      <c r="B41" s="3825" t="s">
        <v>2635</v>
      </c>
      <c r="C41" s="3099" t="s">
        <v>2480</v>
      </c>
      <c r="D41" s="3100"/>
      <c r="E41" s="3101">
        <v>1</v>
      </c>
      <c r="F41" s="3102" t="s">
        <v>2481</v>
      </c>
      <c r="G41" s="3102"/>
    </row>
    <row r="42" spans="1:7" ht="19.5" customHeight="1">
      <c r="A42" s="3831"/>
      <c r="B42" s="3824"/>
      <c r="C42" s="3103" t="s">
        <v>2482</v>
      </c>
      <c r="D42" s="3104"/>
      <c r="E42" s="3105">
        <v>1</v>
      </c>
      <c r="F42" s="3102" t="s">
        <v>2483</v>
      </c>
      <c r="G42" s="3102"/>
    </row>
    <row r="43" spans="1:7" ht="19.5" customHeight="1">
      <c r="A43" s="3831"/>
      <c r="B43" s="3823"/>
      <c r="C43" s="3103" t="s">
        <v>2484</v>
      </c>
      <c r="D43" s="3104"/>
      <c r="E43" s="3105">
        <v>1.5</v>
      </c>
      <c r="F43" s="3102" t="s">
        <v>2485</v>
      </c>
      <c r="G43" s="3102"/>
    </row>
    <row r="44" spans="1:7" ht="19.5" customHeight="1">
      <c r="A44" s="3831"/>
      <c r="B44" s="3114" t="s">
        <v>2636</v>
      </c>
      <c r="C44" s="3103" t="s">
        <v>2637</v>
      </c>
      <c r="D44" s="3104"/>
      <c r="E44" s="3105">
        <v>2</v>
      </c>
      <c r="F44" s="3102" t="s">
        <v>2486</v>
      </c>
      <c r="G44" s="3102"/>
    </row>
    <row r="45" spans="1:7" ht="19.5" customHeight="1">
      <c r="A45" s="3831"/>
      <c r="B45" s="3822" t="s">
        <v>2638</v>
      </c>
      <c r="C45" s="3103" t="s">
        <v>2487</v>
      </c>
      <c r="D45" s="3104"/>
      <c r="E45" s="3105">
        <v>1</v>
      </c>
      <c r="F45" s="3102" t="s">
        <v>2488</v>
      </c>
      <c r="G45" s="3102"/>
    </row>
    <row r="46" spans="1:7" ht="19.5" customHeight="1">
      <c r="A46" s="3831"/>
      <c r="B46" s="3824"/>
      <c r="C46" s="3103" t="s">
        <v>2489</v>
      </c>
      <c r="D46" s="3104"/>
      <c r="E46" s="3105">
        <v>1</v>
      </c>
      <c r="F46" s="3102" t="s">
        <v>2490</v>
      </c>
      <c r="G46" s="3102"/>
    </row>
    <row r="47" spans="1:7" ht="19.5" customHeight="1">
      <c r="A47" s="3831"/>
      <c r="B47" s="3824"/>
      <c r="C47" s="3103" t="s">
        <v>2491</v>
      </c>
      <c r="D47" s="3104"/>
      <c r="E47" s="3105">
        <v>1</v>
      </c>
      <c r="F47" s="3102" t="s">
        <v>2492</v>
      </c>
      <c r="G47" s="3102"/>
    </row>
    <row r="48" spans="1:7" ht="19.5" customHeight="1">
      <c r="A48" s="3831"/>
      <c r="B48" s="3824"/>
      <c r="C48" s="3103" t="s">
        <v>2493</v>
      </c>
      <c r="D48" s="3104"/>
      <c r="E48" s="3105">
        <v>1</v>
      </c>
      <c r="F48" s="3102" t="s">
        <v>2494</v>
      </c>
      <c r="G48" s="3102"/>
    </row>
    <row r="49" spans="1:7" ht="19.5" customHeight="1">
      <c r="A49" s="3831"/>
      <c r="B49" s="3824"/>
      <c r="C49" s="3103" t="s">
        <v>2495</v>
      </c>
      <c r="D49" s="3104"/>
      <c r="E49" s="3105">
        <v>1</v>
      </c>
      <c r="F49" s="3102" t="s">
        <v>2496</v>
      </c>
      <c r="G49" s="3102"/>
    </row>
    <row r="50" spans="1:7" ht="19.5" customHeight="1">
      <c r="A50" s="3831"/>
      <c r="B50" s="3824"/>
      <c r="C50" s="3103" t="s">
        <v>2497</v>
      </c>
      <c r="D50" s="3104"/>
      <c r="E50" s="3105">
        <v>1</v>
      </c>
      <c r="F50" s="3102" t="s">
        <v>2498</v>
      </c>
      <c r="G50" s="3102"/>
    </row>
    <row r="51" spans="1:7" ht="19.5" customHeight="1" thickBot="1">
      <c r="A51" s="3832"/>
      <c r="B51" s="3826"/>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822" t="s">
        <v>2652</v>
      </c>
      <c r="C73" s="3088" t="s">
        <v>2653</v>
      </c>
      <c r="D73" s="3088" t="s">
        <v>2654</v>
      </c>
      <c r="E73" s="3114">
        <v>0.2</v>
      </c>
      <c r="F73" s="3114">
        <v>25</v>
      </c>
    </row>
    <row r="74" spans="1:7" ht="24">
      <c r="A74" s="3114">
        <v>2</v>
      </c>
      <c r="B74" s="3824"/>
      <c r="C74" s="3088" t="s">
        <v>2655</v>
      </c>
      <c r="D74" s="3088" t="s">
        <v>2656</v>
      </c>
      <c r="E74" s="3114">
        <v>0.2</v>
      </c>
      <c r="F74" s="3114">
        <v>25</v>
      </c>
    </row>
    <row r="75" spans="1:7" ht="24">
      <c r="A75" s="3114">
        <v>3</v>
      </c>
      <c r="B75" s="3824"/>
      <c r="C75" s="3088" t="s">
        <v>2657</v>
      </c>
      <c r="D75" s="3088" t="s">
        <v>2658</v>
      </c>
      <c r="E75" s="3114">
        <v>0.2</v>
      </c>
      <c r="F75" s="3114">
        <v>25</v>
      </c>
    </row>
    <row r="76" spans="1:7" ht="13.5">
      <c r="A76" s="3114">
        <v>4</v>
      </c>
      <c r="B76" s="3824"/>
      <c r="C76" s="3088" t="s">
        <v>2659</v>
      </c>
      <c r="D76" s="3088" t="s">
        <v>2660</v>
      </c>
      <c r="E76" s="3114">
        <v>0.15</v>
      </c>
      <c r="F76" s="3114">
        <v>20</v>
      </c>
    </row>
    <row r="77" spans="1:7" ht="24">
      <c r="A77" s="3114">
        <v>5</v>
      </c>
      <c r="B77" s="3824"/>
      <c r="C77" s="3088" t="s">
        <v>2661</v>
      </c>
      <c r="D77" s="3088" t="s">
        <v>2662</v>
      </c>
      <c r="E77" s="3114">
        <v>0.15</v>
      </c>
      <c r="F77" s="3114">
        <v>20</v>
      </c>
    </row>
    <row r="78" spans="1:7" ht="24">
      <c r="A78" s="3114">
        <v>6</v>
      </c>
      <c r="B78" s="3824"/>
      <c r="C78" s="3088" t="s">
        <v>2663</v>
      </c>
      <c r="D78" s="3088" t="s">
        <v>2664</v>
      </c>
      <c r="E78" s="3114">
        <v>0.15</v>
      </c>
      <c r="F78" s="3114">
        <v>20</v>
      </c>
    </row>
    <row r="79" spans="1:7" ht="24">
      <c r="A79" s="3114">
        <v>7</v>
      </c>
      <c r="B79" s="3824"/>
      <c r="C79" s="3088" t="s">
        <v>2665</v>
      </c>
      <c r="D79" s="3088" t="s">
        <v>2666</v>
      </c>
      <c r="E79" s="3114">
        <v>0.15</v>
      </c>
      <c r="F79" s="3114">
        <v>20</v>
      </c>
    </row>
    <row r="80" spans="1:7" ht="24">
      <c r="A80" s="3114">
        <v>8</v>
      </c>
      <c r="B80" s="3824"/>
      <c r="C80" s="3088" t="s">
        <v>2667</v>
      </c>
      <c r="D80" s="3088" t="s">
        <v>2668</v>
      </c>
      <c r="E80" s="3114">
        <v>0.1</v>
      </c>
      <c r="F80" s="3114">
        <v>15</v>
      </c>
    </row>
    <row r="81" spans="1:6" ht="24">
      <c r="A81" s="3114">
        <v>9</v>
      </c>
      <c r="B81" s="3824"/>
      <c r="C81" s="3088" t="s">
        <v>2669</v>
      </c>
      <c r="D81" s="3088" t="s">
        <v>2670</v>
      </c>
      <c r="E81" s="3114">
        <v>0.1</v>
      </c>
      <c r="F81" s="3114">
        <v>15</v>
      </c>
    </row>
    <row r="82" spans="1:6" ht="24">
      <c r="A82" s="3114">
        <v>10</v>
      </c>
      <c r="B82" s="3824"/>
      <c r="C82" s="3088" t="s">
        <v>2671</v>
      </c>
      <c r="D82" s="3088" t="s">
        <v>2672</v>
      </c>
      <c r="E82" s="3114">
        <v>0.1</v>
      </c>
      <c r="F82" s="3114">
        <v>15</v>
      </c>
    </row>
    <row r="83" spans="1:6" ht="24">
      <c r="A83" s="3114">
        <v>11</v>
      </c>
      <c r="B83" s="3824"/>
      <c r="C83" s="3088" t="s">
        <v>2673</v>
      </c>
      <c r="D83" s="3088" t="s">
        <v>2674</v>
      </c>
      <c r="E83" s="3114">
        <v>0.1</v>
      </c>
      <c r="F83" s="3114">
        <v>15</v>
      </c>
    </row>
    <row r="84" spans="1:6" ht="24">
      <c r="A84" s="3114">
        <v>12</v>
      </c>
      <c r="B84" s="3824"/>
      <c r="C84" s="3088" t="s">
        <v>2675</v>
      </c>
      <c r="D84" s="3088" t="s">
        <v>2676</v>
      </c>
      <c r="E84" s="3114">
        <v>0.1</v>
      </c>
      <c r="F84" s="3114">
        <v>15</v>
      </c>
    </row>
    <row r="85" spans="1:6" ht="13.5">
      <c r="A85" s="3114">
        <v>13</v>
      </c>
      <c r="B85" s="3824"/>
      <c r="C85" s="3088" t="s">
        <v>2677</v>
      </c>
      <c r="D85" s="3088" t="s">
        <v>2678</v>
      </c>
      <c r="E85" s="3114">
        <v>0.1</v>
      </c>
      <c r="F85" s="3114">
        <v>15</v>
      </c>
    </row>
    <row r="86" spans="1:6" ht="13.5">
      <c r="A86" s="3114">
        <v>14</v>
      </c>
      <c r="B86" s="3824"/>
      <c r="C86" s="3088" t="s">
        <v>2679</v>
      </c>
      <c r="D86" s="3088" t="s">
        <v>2680</v>
      </c>
      <c r="E86" s="3114">
        <v>0.1</v>
      </c>
      <c r="F86" s="3114">
        <v>15</v>
      </c>
    </row>
    <row r="87" spans="1:6" ht="13.5">
      <c r="A87" s="3114">
        <v>15</v>
      </c>
      <c r="B87" s="3824"/>
      <c r="C87" s="3088" t="s">
        <v>2681</v>
      </c>
      <c r="D87" s="3088" t="s">
        <v>2682</v>
      </c>
      <c r="E87" s="3114">
        <v>0.1</v>
      </c>
      <c r="F87" s="3114">
        <v>15</v>
      </c>
    </row>
    <row r="88" spans="1:6" ht="24">
      <c r="A88" s="3114">
        <v>16</v>
      </c>
      <c r="B88" s="3824"/>
      <c r="C88" s="3088" t="s">
        <v>2683</v>
      </c>
      <c r="D88" s="3088" t="s">
        <v>2684</v>
      </c>
      <c r="E88" s="3114">
        <v>0.1</v>
      </c>
      <c r="F88" s="3114">
        <v>15</v>
      </c>
    </row>
    <row r="89" spans="1:6" ht="24">
      <c r="A89" s="3114">
        <v>17</v>
      </c>
      <c r="B89" s="3823"/>
      <c r="C89" s="3088" t="s">
        <v>2685</v>
      </c>
      <c r="D89" s="3088" t="s">
        <v>2686</v>
      </c>
      <c r="E89" s="3114">
        <v>0.1</v>
      </c>
      <c r="F89" s="3114">
        <v>15</v>
      </c>
    </row>
    <row r="90" spans="1:6" ht="13.5">
      <c r="A90" s="3114">
        <v>18</v>
      </c>
      <c r="B90" s="3822" t="s">
        <v>2687</v>
      </c>
      <c r="C90" s="3088" t="s">
        <v>2688</v>
      </c>
      <c r="D90" s="3088" t="s">
        <v>2689</v>
      </c>
      <c r="E90" s="3114">
        <v>0.2</v>
      </c>
      <c r="F90" s="3114">
        <v>25</v>
      </c>
    </row>
    <row r="91" spans="1:6" ht="24">
      <c r="A91" s="3114">
        <v>19</v>
      </c>
      <c r="B91" s="3824"/>
      <c r="C91" s="3088" t="s">
        <v>2690</v>
      </c>
      <c r="D91" s="3088" t="s">
        <v>2691</v>
      </c>
      <c r="E91" s="3114">
        <v>0.2</v>
      </c>
      <c r="F91" s="3114">
        <v>25</v>
      </c>
    </row>
    <row r="92" spans="1:6" ht="13.5">
      <c r="A92" s="3114">
        <v>20</v>
      </c>
      <c r="B92" s="3824"/>
      <c r="C92" s="3088" t="s">
        <v>2692</v>
      </c>
      <c r="D92" s="3088" t="s">
        <v>2693</v>
      </c>
      <c r="E92" s="3114">
        <v>0.15</v>
      </c>
      <c r="F92" s="3114">
        <v>20</v>
      </c>
    </row>
    <row r="93" spans="1:6" ht="13.5">
      <c r="A93" s="3114">
        <v>21</v>
      </c>
      <c r="B93" s="3824"/>
      <c r="C93" s="3088" t="s">
        <v>2694</v>
      </c>
      <c r="D93" s="3088" t="s">
        <v>2695</v>
      </c>
      <c r="E93" s="3114">
        <v>0.15</v>
      </c>
      <c r="F93" s="3114">
        <v>20</v>
      </c>
    </row>
    <row r="94" spans="1:6" ht="13.5">
      <c r="A94" s="3114">
        <v>22</v>
      </c>
      <c r="B94" s="3824"/>
      <c r="C94" s="3088" t="s">
        <v>2696</v>
      </c>
      <c r="D94" s="3088" t="s">
        <v>2697</v>
      </c>
      <c r="E94" s="3114">
        <v>0.15</v>
      </c>
      <c r="F94" s="3114">
        <v>20</v>
      </c>
    </row>
    <row r="95" spans="1:6" ht="36">
      <c r="A95" s="3114">
        <v>23</v>
      </c>
      <c r="B95" s="3824"/>
      <c r="C95" s="3088" t="s">
        <v>2698</v>
      </c>
      <c r="D95" s="3088" t="s">
        <v>2699</v>
      </c>
      <c r="E95" s="3114">
        <v>0.15</v>
      </c>
      <c r="F95" s="3114">
        <v>20</v>
      </c>
    </row>
    <row r="96" spans="1:6" ht="13.5">
      <c r="A96" s="3114">
        <v>24</v>
      </c>
      <c r="B96" s="3824"/>
      <c r="C96" s="3088" t="s">
        <v>2700</v>
      </c>
      <c r="D96" s="3088" t="s">
        <v>2701</v>
      </c>
      <c r="E96" s="3114">
        <v>0.1</v>
      </c>
      <c r="F96" s="3114">
        <v>15</v>
      </c>
    </row>
    <row r="97" spans="1:6" ht="13.5">
      <c r="A97" s="3114">
        <v>25</v>
      </c>
      <c r="B97" s="3824"/>
      <c r="C97" s="3088" t="s">
        <v>2702</v>
      </c>
      <c r="D97" s="3088" t="s">
        <v>2703</v>
      </c>
      <c r="E97" s="3114">
        <v>0.1</v>
      </c>
      <c r="F97" s="3114">
        <v>15</v>
      </c>
    </row>
    <row r="98" spans="1:6" ht="24">
      <c r="A98" s="3114">
        <v>26</v>
      </c>
      <c r="B98" s="3824"/>
      <c r="C98" s="3088" t="s">
        <v>2704</v>
      </c>
      <c r="D98" s="3088" t="s">
        <v>2705</v>
      </c>
      <c r="E98" s="3114">
        <v>0.1</v>
      </c>
      <c r="F98" s="3114">
        <v>15</v>
      </c>
    </row>
    <row r="99" spans="1:6" ht="24">
      <c r="A99" s="3114">
        <v>27</v>
      </c>
      <c r="B99" s="3824"/>
      <c r="C99" s="3088" t="s">
        <v>2706</v>
      </c>
      <c r="D99" s="3088" t="s">
        <v>2707</v>
      </c>
      <c r="E99" s="3114">
        <v>0.1</v>
      </c>
      <c r="F99" s="3114">
        <v>15</v>
      </c>
    </row>
    <row r="100" spans="1:6" ht="13.5">
      <c r="A100" s="3114">
        <v>28</v>
      </c>
      <c r="B100" s="3824"/>
      <c r="C100" s="3088" t="s">
        <v>2708</v>
      </c>
      <c r="D100" s="3088" t="s">
        <v>2709</v>
      </c>
      <c r="E100" s="3114">
        <v>0.1</v>
      </c>
      <c r="F100" s="3114">
        <v>15</v>
      </c>
    </row>
    <row r="101" spans="1:6" ht="13.5">
      <c r="A101" s="3114">
        <v>29</v>
      </c>
      <c r="B101" s="3824"/>
      <c r="C101" s="3088" t="s">
        <v>2710</v>
      </c>
      <c r="D101" s="3088" t="s">
        <v>2711</v>
      </c>
      <c r="E101" s="3114">
        <v>0.1</v>
      </c>
      <c r="F101" s="3114">
        <v>15</v>
      </c>
    </row>
    <row r="102" spans="1:6" ht="13.5">
      <c r="A102" s="3114">
        <v>30</v>
      </c>
      <c r="B102" s="3824"/>
      <c r="C102" s="3088" t="s">
        <v>2712</v>
      </c>
      <c r="D102" s="3088" t="s">
        <v>2713</v>
      </c>
      <c r="E102" s="3114">
        <v>0.1</v>
      </c>
      <c r="F102" s="3114">
        <v>15</v>
      </c>
    </row>
    <row r="103" spans="1:6" ht="24">
      <c r="A103" s="3114">
        <v>31</v>
      </c>
      <c r="B103" s="3824"/>
      <c r="C103" s="3088" t="s">
        <v>2714</v>
      </c>
      <c r="D103" s="3088" t="s">
        <v>2715</v>
      </c>
      <c r="E103" s="3114">
        <v>0.1</v>
      </c>
      <c r="F103" s="3114">
        <v>15</v>
      </c>
    </row>
    <row r="104" spans="1:6" ht="24">
      <c r="A104" s="3114">
        <v>32</v>
      </c>
      <c r="B104" s="3824"/>
      <c r="C104" s="3088" t="s">
        <v>2716</v>
      </c>
      <c r="D104" s="3088" t="s">
        <v>2717</v>
      </c>
      <c r="E104" s="3114">
        <v>0.1</v>
      </c>
      <c r="F104" s="3114">
        <v>15</v>
      </c>
    </row>
    <row r="105" spans="1:6" ht="24">
      <c r="A105" s="3114">
        <v>33</v>
      </c>
      <c r="B105" s="3824"/>
      <c r="C105" s="3088" t="s">
        <v>2718</v>
      </c>
      <c r="D105" s="3088" t="s">
        <v>2719</v>
      </c>
      <c r="E105" s="3114">
        <v>0.1</v>
      </c>
      <c r="F105" s="3114">
        <v>15</v>
      </c>
    </row>
    <row r="106" spans="1:6" ht="24">
      <c r="A106" s="3114">
        <v>34</v>
      </c>
      <c r="B106" s="3823"/>
      <c r="C106" s="3088" t="s">
        <v>2720</v>
      </c>
      <c r="D106" s="3088" t="s">
        <v>2721</v>
      </c>
      <c r="E106" s="3114">
        <v>0.1</v>
      </c>
      <c r="F106" s="3114">
        <v>15</v>
      </c>
    </row>
    <row r="107" spans="1:6" ht="24">
      <c r="A107" s="3114">
        <v>35</v>
      </c>
      <c r="B107" s="3822" t="s">
        <v>2722</v>
      </c>
      <c r="C107" s="3114" t="s">
        <v>2723</v>
      </c>
      <c r="D107" s="3088" t="s">
        <v>2724</v>
      </c>
      <c r="E107" s="3114">
        <v>0.15</v>
      </c>
      <c r="F107" s="3114">
        <v>20</v>
      </c>
    </row>
    <row r="108" spans="1:6" ht="13.5">
      <c r="A108" s="3114">
        <v>36</v>
      </c>
      <c r="B108" s="3824"/>
      <c r="C108" s="3114" t="s">
        <v>2725</v>
      </c>
      <c r="D108" s="3088" t="s">
        <v>2726</v>
      </c>
      <c r="E108" s="3114">
        <v>0.15</v>
      </c>
      <c r="F108" s="3114">
        <v>20</v>
      </c>
    </row>
    <row r="109" spans="1:6" ht="13.5">
      <c r="A109" s="3114">
        <v>37</v>
      </c>
      <c r="B109" s="3824"/>
      <c r="C109" s="3114" t="s">
        <v>2727</v>
      </c>
      <c r="D109" s="3088" t="s">
        <v>2728</v>
      </c>
      <c r="E109" s="3114">
        <v>0.15</v>
      </c>
      <c r="F109" s="3114">
        <v>20</v>
      </c>
    </row>
    <row r="110" spans="1:6" ht="13.5">
      <c r="A110" s="3114">
        <v>38</v>
      </c>
      <c r="B110" s="3824"/>
      <c r="C110" s="3114" t="s">
        <v>2729</v>
      </c>
      <c r="D110" s="3088" t="s">
        <v>2730</v>
      </c>
      <c r="E110" s="3114">
        <v>0.1</v>
      </c>
      <c r="F110" s="3114">
        <v>15</v>
      </c>
    </row>
    <row r="111" spans="1:6" ht="24">
      <c r="A111" s="3114">
        <v>39</v>
      </c>
      <c r="B111" s="3824"/>
      <c r="C111" s="3114" t="s">
        <v>2731</v>
      </c>
      <c r="D111" s="3088" t="s">
        <v>2732</v>
      </c>
      <c r="E111" s="3114">
        <v>0.1</v>
      </c>
      <c r="F111" s="3114">
        <v>15</v>
      </c>
    </row>
    <row r="112" spans="1:6" ht="24">
      <c r="A112" s="3114">
        <v>40</v>
      </c>
      <c r="B112" s="3823"/>
      <c r="C112" s="3114" t="s">
        <v>2733</v>
      </c>
      <c r="D112" s="3088" t="s">
        <v>2734</v>
      </c>
      <c r="E112" s="3114">
        <v>0.1</v>
      </c>
      <c r="F112" s="3114">
        <v>15</v>
      </c>
    </row>
    <row r="113" spans="1:6" ht="13.5">
      <c r="A113" s="3114">
        <v>41</v>
      </c>
      <c r="B113" s="3821" t="s">
        <v>2735</v>
      </c>
      <c r="C113" s="3114" t="s">
        <v>2736</v>
      </c>
      <c r="D113" s="3088" t="s">
        <v>2737</v>
      </c>
      <c r="E113" s="3114">
        <v>0.1</v>
      </c>
      <c r="F113" s="3114">
        <v>15</v>
      </c>
    </row>
    <row r="114" spans="1:6" ht="13.5">
      <c r="A114" s="3114">
        <v>42</v>
      </c>
      <c r="B114" s="3821"/>
      <c r="C114" s="3114" t="s">
        <v>2738</v>
      </c>
      <c r="D114" s="3088" t="s">
        <v>2739</v>
      </c>
      <c r="E114" s="3114">
        <v>0.1</v>
      </c>
      <c r="F114" s="3114">
        <v>15</v>
      </c>
    </row>
    <row r="115" spans="1:6" ht="24">
      <c r="A115" s="3114">
        <v>43</v>
      </c>
      <c r="B115" s="3821"/>
      <c r="C115" s="3114" t="s">
        <v>2740</v>
      </c>
      <c r="D115" s="3088" t="s">
        <v>2741</v>
      </c>
      <c r="E115" s="3114">
        <v>0.1</v>
      </c>
      <c r="F115" s="3114">
        <v>15</v>
      </c>
    </row>
    <row r="116" spans="1:6" ht="13.5">
      <c r="A116" s="3114">
        <v>44</v>
      </c>
      <c r="B116" s="3822" t="s">
        <v>2742</v>
      </c>
      <c r="C116" s="3114" t="s">
        <v>2743</v>
      </c>
      <c r="D116" s="3088" t="s">
        <v>2744</v>
      </c>
      <c r="E116" s="3114">
        <v>0.1</v>
      </c>
      <c r="F116" s="3114">
        <v>15</v>
      </c>
    </row>
    <row r="117" spans="1:6" ht="24">
      <c r="A117" s="3114">
        <v>45</v>
      </c>
      <c r="B117" s="3823"/>
      <c r="C117" s="3088" t="s">
        <v>2745</v>
      </c>
      <c r="D117" s="3088" t="s">
        <v>2746</v>
      </c>
      <c r="E117" s="3114">
        <v>0.1</v>
      </c>
      <c r="F117" s="3114">
        <v>15</v>
      </c>
    </row>
    <row r="118" spans="1:6" ht="24">
      <c r="A118" s="3114">
        <v>46</v>
      </c>
      <c r="B118" s="3822" t="s">
        <v>2747</v>
      </c>
      <c r="C118" s="3114" t="s">
        <v>2748</v>
      </c>
      <c r="D118" s="3088" t="s">
        <v>2749</v>
      </c>
      <c r="E118" s="3114">
        <v>0.1</v>
      </c>
      <c r="F118" s="3114">
        <v>15</v>
      </c>
    </row>
    <row r="119" spans="1:6" ht="24">
      <c r="A119" s="3114">
        <v>47</v>
      </c>
      <c r="B119" s="3823"/>
      <c r="C119" s="3114" t="s">
        <v>2750</v>
      </c>
      <c r="D119" s="3088" t="s">
        <v>2751</v>
      </c>
      <c r="E119" s="3114">
        <v>0.1</v>
      </c>
      <c r="F119" s="3114">
        <v>15</v>
      </c>
    </row>
    <row r="120" spans="1:6" ht="13.5">
      <c r="A120" s="3114">
        <v>48</v>
      </c>
      <c r="B120" s="3822" t="s">
        <v>2752</v>
      </c>
      <c r="C120" s="3114" t="s">
        <v>2753</v>
      </c>
      <c r="D120" s="3088" t="s">
        <v>2754</v>
      </c>
      <c r="E120" s="3114">
        <v>0.1</v>
      </c>
      <c r="F120" s="3114">
        <v>15</v>
      </c>
    </row>
    <row r="121" spans="1:6" ht="13.5">
      <c r="A121" s="3114">
        <v>49</v>
      </c>
      <c r="B121" s="3823"/>
      <c r="C121" s="3114" t="s">
        <v>2755</v>
      </c>
      <c r="D121" s="3088" t="s">
        <v>2756</v>
      </c>
      <c r="E121" s="3114">
        <v>0.1</v>
      </c>
      <c r="F121" s="3114">
        <v>15</v>
      </c>
    </row>
    <row r="122" spans="1:6" ht="24">
      <c r="A122" s="3114">
        <v>50</v>
      </c>
      <c r="B122" s="3821" t="s">
        <v>2757</v>
      </c>
      <c r="C122" s="3114" t="s">
        <v>2758</v>
      </c>
      <c r="D122" s="3088" t="s">
        <v>2759</v>
      </c>
      <c r="E122" s="3114">
        <v>0.1</v>
      </c>
      <c r="F122" s="3114">
        <v>15</v>
      </c>
    </row>
    <row r="123" spans="1:6" ht="24">
      <c r="A123" s="3114">
        <v>51</v>
      </c>
      <c r="B123" s="3821"/>
      <c r="C123" s="3114" t="s">
        <v>2760</v>
      </c>
      <c r="D123" s="3088" t="s">
        <v>2761</v>
      </c>
      <c r="E123" s="3114">
        <v>0.1</v>
      </c>
      <c r="F123" s="3114">
        <v>15</v>
      </c>
    </row>
    <row r="124" spans="1:6" ht="24">
      <c r="A124" s="3114">
        <v>52</v>
      </c>
      <c r="B124" s="3821" t="s">
        <v>2762</v>
      </c>
      <c r="C124" s="3114" t="s">
        <v>2763</v>
      </c>
      <c r="D124" s="3088" t="s">
        <v>2764</v>
      </c>
      <c r="E124" s="3114">
        <v>0.1</v>
      </c>
      <c r="F124" s="3114">
        <v>15</v>
      </c>
    </row>
    <row r="125" spans="1:6" ht="24">
      <c r="A125" s="3114">
        <v>53</v>
      </c>
      <c r="B125" s="3821"/>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821" t="s">
        <v>2770</v>
      </c>
      <c r="C127" s="3114" t="s">
        <v>2771</v>
      </c>
      <c r="D127" s="3088" t="s">
        <v>2772</v>
      </c>
      <c r="E127" s="3114">
        <v>0.1</v>
      </c>
      <c r="F127" s="3114">
        <v>15</v>
      </c>
    </row>
    <row r="128" spans="1:6" ht="13.5">
      <c r="A128" s="3114">
        <v>56</v>
      </c>
      <c r="B128" s="3821"/>
      <c r="C128" s="3114" t="s">
        <v>2773</v>
      </c>
      <c r="D128" s="3088" t="s">
        <v>2774</v>
      </c>
      <c r="E128" s="3114">
        <v>0.1</v>
      </c>
      <c r="F128" s="3114">
        <v>15</v>
      </c>
    </row>
    <row r="129" spans="1:6" ht="24">
      <c r="A129" s="3114">
        <v>57</v>
      </c>
      <c r="B129" s="3821"/>
      <c r="C129" s="3114" t="s">
        <v>2775</v>
      </c>
      <c r="D129" s="3088" t="s">
        <v>2776</v>
      </c>
      <c r="E129" s="3114">
        <v>0.1</v>
      </c>
      <c r="F129" s="3114">
        <v>15</v>
      </c>
    </row>
    <row r="130" spans="1:6" ht="24">
      <c r="A130" s="3114">
        <v>58</v>
      </c>
      <c r="B130" s="3821" t="s">
        <v>2777</v>
      </c>
      <c r="C130" s="3114" t="s">
        <v>2778</v>
      </c>
      <c r="D130" s="3088" t="s">
        <v>2779</v>
      </c>
      <c r="E130" s="3114">
        <v>0.1</v>
      </c>
      <c r="F130" s="3114">
        <v>15</v>
      </c>
    </row>
    <row r="131" spans="1:6" ht="13.5">
      <c r="A131" s="3114">
        <v>59</v>
      </c>
      <c r="B131" s="3821"/>
      <c r="C131" s="3114" t="s">
        <v>2780</v>
      </c>
      <c r="D131" s="3088" t="s">
        <v>2781</v>
      </c>
      <c r="E131" s="3114">
        <v>0.1</v>
      </c>
      <c r="F131" s="3114">
        <v>15</v>
      </c>
    </row>
    <row r="132" spans="1:6" ht="13.5">
      <c r="A132" s="3114">
        <v>60</v>
      </c>
      <c r="B132" s="3822" t="s">
        <v>2782</v>
      </c>
      <c r="C132" s="3114" t="s">
        <v>2783</v>
      </c>
      <c r="D132" s="3088" t="s">
        <v>2784</v>
      </c>
      <c r="E132" s="3114">
        <v>0.1</v>
      </c>
      <c r="F132" s="3114">
        <v>15</v>
      </c>
    </row>
    <row r="133" spans="1:6" ht="13.5">
      <c r="A133" s="3114">
        <v>61</v>
      </c>
      <c r="B133" s="3823"/>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821" t="s">
        <v>2790</v>
      </c>
      <c r="C135" s="3114" t="s">
        <v>2791</v>
      </c>
      <c r="D135" s="3088" t="s">
        <v>2792</v>
      </c>
      <c r="E135" s="3114">
        <v>0.1</v>
      </c>
      <c r="F135" s="3114">
        <v>15</v>
      </c>
    </row>
    <row r="136" spans="1:6" ht="13.5">
      <c r="A136" s="3114">
        <v>64</v>
      </c>
      <c r="B136" s="3821"/>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2799</v>
      </c>
      <c r="B1" s="3123"/>
      <c r="C1" s="3123"/>
      <c r="D1" s="3123"/>
      <c r="E1" s="3123"/>
      <c r="F1" s="3123"/>
      <c r="G1" s="3123"/>
      <c r="H1" s="3123"/>
      <c r="I1" s="3123"/>
      <c r="J1" s="3123"/>
      <c r="K1" s="3123"/>
      <c r="L1" s="3123"/>
      <c r="M1" s="3123"/>
      <c r="N1" s="748"/>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9">
        <f>SUMPRODUCT((A95:A184=ROUNDDOWN(基准地价修正!G3,1))*(B94:M94=基准地价修正!G2)*(B95:M184))</f>
        <v>1.0985</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9">
        <f>SUMPRODUCT((A371:A460=ROUNDDOWN(基准地价修正!G3,1))*(B370:M370=基准地价修正!G2)*(B371:M460))</f>
        <v>1</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41016</v>
      </c>
      <c r="C2" s="2" t="s">
        <v>106</v>
      </c>
      <c r="D2" s="199"/>
      <c r="E2" s="199"/>
      <c r="F2" s="199"/>
      <c r="G2" s="199"/>
    </row>
    <row r="3" spans="1:7" s="200" customFormat="1" ht="18" customHeight="1" thickBot="1">
      <c r="A3" s="203" t="s">
        <v>58</v>
      </c>
      <c r="B3" s="204">
        <f ca="1">ROUND(B2*10000/'数据-汇总表'!E3,0)</f>
        <v>20444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401</v>
      </c>
      <c r="D10" s="844">
        <f>'数据-汇总表'!E6</f>
        <v>20062.899999999998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401</v>
      </c>
      <c r="D19" s="848">
        <f>'数据-汇总表'!E3</f>
        <v>20062.899999999998</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1797</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34</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4286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4286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10883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10031</v>
      </c>
      <c r="D34" s="217"/>
      <c r="E34" s="220"/>
      <c r="F34" s="257">
        <f>IF('数据-取费表'!B24=0,1,'数据-取费表'!N16)</f>
        <v>1</v>
      </c>
      <c r="G34" s="219" t="s">
        <v>89</v>
      </c>
    </row>
    <row r="35" spans="1:7" ht="13.5" customHeight="1">
      <c r="A35" s="779" t="s">
        <v>351</v>
      </c>
      <c r="B35" s="215" t="s">
        <v>33</v>
      </c>
      <c r="C35" s="220">
        <f>ROUND(C34*F35,0)</f>
        <v>301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401</v>
      </c>
      <c r="D37" s="217">
        <f>'数据-汇总表'!E3</f>
        <v>20062.899999999998</v>
      </c>
      <c r="E37" s="249">
        <f>'数据-取费表'!B35</f>
        <v>200</v>
      </c>
      <c r="F37" s="259"/>
      <c r="G37" s="261" t="s">
        <v>92</v>
      </c>
    </row>
    <row r="38" spans="1:7" ht="13.5" customHeight="1">
      <c r="A38" s="779" t="s">
        <v>354</v>
      </c>
      <c r="B38" s="215" t="s">
        <v>36</v>
      </c>
      <c r="C38" s="220">
        <f>ROUND(C34*F38,0)</f>
        <v>150</v>
      </c>
      <c r="D38" s="220"/>
      <c r="E38" s="220"/>
      <c r="F38" s="259">
        <f>'数据-取费表'!B36</f>
        <v>1.4999999999999999E-2</v>
      </c>
      <c r="G38" s="219" t="s">
        <v>90</v>
      </c>
    </row>
    <row r="39" spans="1:7" s="214" customFormat="1" ht="13.5" customHeight="1">
      <c r="A39" s="776" t="s">
        <v>338</v>
      </c>
      <c r="B39" s="210" t="s">
        <v>77</v>
      </c>
      <c r="C39" s="232">
        <f>ROUND(C33*F20,0)</f>
        <v>218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461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452</v>
      </c>
      <c r="D42" s="238"/>
      <c r="E42" s="238"/>
      <c r="F42" s="239"/>
      <c r="G42" s="3757" t="s">
        <v>94</v>
      </c>
    </row>
    <row r="43" spans="1:7" ht="13.5" customHeight="1">
      <c r="A43" s="779" t="s">
        <v>347</v>
      </c>
      <c r="B43" s="215" t="s">
        <v>426</v>
      </c>
      <c r="C43" s="238">
        <f ca="1">ROUND(IF('数据-取费表'!B22&lt;=1,C39*F22*'数据-取费表'!B21/2,C39*(POWER((1+F22),'数据-取费表'!B21/2)-1)),0)</f>
        <v>9</v>
      </c>
      <c r="D43" s="238"/>
      <c r="E43" s="238"/>
      <c r="F43" s="239"/>
      <c r="G43" s="3758"/>
    </row>
    <row r="44" spans="1:7" ht="13.5" customHeight="1">
      <c r="A44" s="779" t="s">
        <v>348</v>
      </c>
      <c r="B44" s="215" t="s">
        <v>428</v>
      </c>
      <c r="C44" s="238">
        <f ca="1">ROUND(IF('数据-取费表'!B22&lt;=1,C40*F22*'数据-取费表'!B21/2,C40*(POWER((1+F22),'数据-取费表'!B21/2)-1)),4)</f>
        <v>8.0000000000000004E-4</v>
      </c>
      <c r="D44" s="238"/>
      <c r="E44" s="238"/>
      <c r="F44" s="239"/>
      <c r="G44" s="3759"/>
    </row>
    <row r="45" spans="1:7" s="214" customFormat="1" ht="13.5" customHeight="1">
      <c r="A45" s="776" t="s">
        <v>341</v>
      </c>
      <c r="B45" s="244" t="s">
        <v>85</v>
      </c>
      <c r="C45" s="245">
        <f>C46</f>
        <v>2220</v>
      </c>
      <c r="D45" s="235">
        <f>C47</f>
        <v>4.0000000000000001E-3</v>
      </c>
      <c r="E45" s="236" t="s">
        <v>102</v>
      </c>
      <c r="F45" s="246"/>
      <c r="G45" s="247" t="s">
        <v>434</v>
      </c>
    </row>
    <row r="46" spans="1:7" s="214" customFormat="1" ht="13.5" customHeight="1">
      <c r="A46" s="779" t="s">
        <v>349</v>
      </c>
      <c r="B46" s="248" t="s">
        <v>427</v>
      </c>
      <c r="C46" s="249">
        <f>ROUND((C33+C39)*F27,0)</f>
        <v>2220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14935</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11201</v>
      </c>
      <c r="D51" s="232"/>
      <c r="E51" s="232"/>
      <c r="F51" s="264"/>
      <c r="G51" s="234" t="s">
        <v>37</v>
      </c>
    </row>
    <row r="52" spans="1:7" s="208" customFormat="1" ht="16.5" thickBot="1">
      <c r="A52" s="265" t="s">
        <v>38</v>
      </c>
      <c r="B52" s="266"/>
      <c r="C52" s="267">
        <f ca="1">C31+C51</f>
        <v>41016</v>
      </c>
      <c r="D52" s="266"/>
      <c r="E52" s="266"/>
      <c r="F52" s="266"/>
      <c r="G52" s="268"/>
    </row>
    <row r="55" spans="1:7" ht="15">
      <c r="B55" s="270" t="s">
        <v>39</v>
      </c>
      <c r="C55" s="271"/>
    </row>
    <row r="56" spans="1:7">
      <c r="B56" s="273" t="s">
        <v>40</v>
      </c>
      <c r="C56" s="274">
        <f ca="1">ROUND(C51/C52,3)</f>
        <v>0.27300000000000002</v>
      </c>
    </row>
    <row r="57" spans="1:7">
      <c r="B57" s="273" t="s">
        <v>41</v>
      </c>
      <c r="C57" s="275">
        <f ca="1">1-C56</f>
        <v>0.72699999999999998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5" t="s">
        <v>2842</v>
      </c>
      <c r="B1" s="3835"/>
      <c r="C1" s="3835"/>
      <c r="D1" s="3835"/>
      <c r="E1" s="3835"/>
      <c r="F1" s="3835"/>
      <c r="G1" s="3836"/>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33"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34"/>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7" t="s">
        <v>3184</v>
      </c>
      <c r="B1" s="3837"/>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38" t="s">
        <v>3235</v>
      </c>
      <c r="B1" s="3838"/>
      <c r="C1" s="3838"/>
      <c r="D1" s="3838"/>
      <c r="E1" s="3838"/>
      <c r="F1" s="3839"/>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45068</v>
      </c>
      <c r="B1" s="3206" t="s">
        <v>2841</v>
      </c>
      <c r="C1" s="3207"/>
      <c r="D1" s="3207"/>
      <c r="E1" s="3207"/>
      <c r="F1" s="3207"/>
      <c r="G1" s="3207"/>
      <c r="H1" s="3207"/>
      <c r="I1" s="3207"/>
      <c r="J1" s="3161"/>
      <c r="K1" s="3207" t="s">
        <v>454</v>
      </c>
      <c r="L1" s="3207"/>
      <c r="M1" s="3207"/>
      <c r="N1" s="3207"/>
      <c r="O1" s="3207"/>
      <c r="P1" s="3207"/>
      <c r="Q1" s="3161"/>
      <c r="R1" s="3840" t="s">
        <v>456</v>
      </c>
      <c r="S1" s="3841"/>
      <c r="T1" s="3841"/>
      <c r="U1" s="3841"/>
      <c r="V1" s="3841"/>
      <c r="W1" s="3841"/>
      <c r="X1" s="3161"/>
      <c r="Y1" s="3840" t="s">
        <v>457</v>
      </c>
      <c r="Z1" s="3841"/>
      <c r="AA1" s="3841"/>
      <c r="AB1" s="3841"/>
      <c r="AC1" s="3841"/>
      <c r="AD1" s="3841"/>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3372</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3373</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3367</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840" t="s">
        <v>2829</v>
      </c>
      <c r="S21" s="3841"/>
      <c r="T21" s="3841"/>
      <c r="U21" s="3841"/>
      <c r="V21" s="3841"/>
      <c r="W21" s="3841"/>
      <c r="X21" s="3161"/>
      <c r="Y21" s="3840" t="s">
        <v>2830</v>
      </c>
      <c r="Z21" s="3841"/>
      <c r="AA21" s="3841"/>
      <c r="AB21" s="3841"/>
      <c r="AC21" s="3841"/>
      <c r="AD21" s="3841"/>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3372</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3373</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7" t="s">
        <v>452</v>
      </c>
      <c r="C1" s="3847"/>
      <c r="D1" s="3847"/>
      <c r="E1" s="3847"/>
      <c r="F1" s="3847"/>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4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4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5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5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5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4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4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4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4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4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4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4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4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4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4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4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4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4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4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4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4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4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4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4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4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4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4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4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4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4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45068</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5" t="str">
        <f>IF(项目基本情况!B9="房地产市场价值","估价结果一览表","结果表-2")</f>
        <v>结果表-2</v>
      </c>
      <c r="B1" s="3545"/>
      <c r="C1" s="3545"/>
      <c r="D1" s="3545"/>
      <c r="E1" s="3545"/>
      <c r="F1" s="3545"/>
      <c r="G1" s="3545"/>
      <c r="H1" s="3545"/>
      <c r="I1" s="3545"/>
    </row>
    <row r="2" spans="1:9" ht="30" customHeight="1" thickTop="1">
      <c r="A2" s="3546" t="s">
        <v>928</v>
      </c>
      <c r="B2" s="3546" t="s">
        <v>929</v>
      </c>
      <c r="C2" s="3546" t="s">
        <v>930</v>
      </c>
      <c r="D2" s="3546" t="str">
        <f>结果表!D116</f>
        <v>出让国有建设用地使用权价值</v>
      </c>
      <c r="E2" s="3546"/>
      <c r="F2" s="3546" t="str">
        <f>结果表!F116</f>
        <v>在建建筑物价值</v>
      </c>
      <c r="G2" s="3546"/>
      <c r="H2" s="3546" t="str">
        <f>IF(项目基本情况!B9="房地产市场价值","房地产市场价值","房地产价值")</f>
        <v>房地产价值</v>
      </c>
      <c r="I2" s="3546"/>
    </row>
    <row r="3" spans="1:9" ht="15">
      <c r="A3" s="3541"/>
      <c r="B3" s="3541"/>
      <c r="C3" s="3541"/>
      <c r="D3" s="853" t="s">
        <v>925</v>
      </c>
      <c r="E3" s="853" t="s">
        <v>931</v>
      </c>
      <c r="F3" s="853" t="s">
        <v>925</v>
      </c>
      <c r="G3" s="853" t="s">
        <v>926</v>
      </c>
      <c r="H3" s="853" t="s">
        <v>925</v>
      </c>
      <c r="I3" s="853" t="s">
        <v>926</v>
      </c>
    </row>
    <row r="4" spans="1:9" ht="15">
      <c r="A4" s="1503" t="str">
        <f>项目基本情况!S2</f>
        <v>北京市房地产</v>
      </c>
      <c r="B4" s="853">
        <f>项目基本情况!C17</f>
        <v>20062.899999999998</v>
      </c>
      <c r="C4" s="853">
        <f>项目基本情况!C18</f>
        <v>10405.33</v>
      </c>
      <c r="D4" s="853">
        <f ca="1">结果表!D118</f>
        <v>14447</v>
      </c>
      <c r="E4" s="853">
        <f ca="1">结果表!E118</f>
        <v>7201</v>
      </c>
      <c r="F4" s="853">
        <f ca="1">结果表!F118</f>
        <v>9793</v>
      </c>
      <c r="G4" s="853">
        <f ca="1">结果表!G118</f>
        <v>4881</v>
      </c>
      <c r="H4" s="853">
        <f ca="1">结果表!H118</f>
        <v>24240</v>
      </c>
      <c r="I4" s="853">
        <f ca="1">结果表!I118</f>
        <v>12082</v>
      </c>
    </row>
    <row r="5" spans="1:9" ht="30" customHeight="1">
      <c r="A5" s="3541" t="s">
        <v>927</v>
      </c>
      <c r="B5" s="3541"/>
      <c r="C5" s="3541"/>
      <c r="D5" s="3541" t="str">
        <f ca="1">结果表!D119</f>
        <v>壹亿肆仟肆佰肆拾柒万元整</v>
      </c>
      <c r="E5" s="3541"/>
      <c r="F5" s="3541" t="str">
        <f ca="1">结果表!F119</f>
        <v>玖仟柒佰玖拾叁万元整</v>
      </c>
      <c r="G5" s="3541"/>
      <c r="H5" s="3541" t="str">
        <f ca="1">结果表!H119</f>
        <v>贰亿肆仟贰佰肆拾万元整</v>
      </c>
      <c r="I5" s="3541"/>
    </row>
    <row r="6" spans="1:9" ht="15.75">
      <c r="A6" s="3540" t="str">
        <f>结果表!A120</f>
        <v>估价师知悉的法定优先受偿款</v>
      </c>
      <c r="B6" s="3540"/>
      <c r="C6" s="3540"/>
      <c r="D6" s="3540">
        <f>结果表!D120</f>
        <v>0</v>
      </c>
      <c r="E6" s="3540"/>
      <c r="F6" s="3540"/>
      <c r="G6" s="3540"/>
      <c r="H6" s="3540"/>
      <c r="I6" s="3540"/>
    </row>
    <row r="7" spans="1:9" ht="15">
      <c r="A7" s="3541" t="s">
        <v>927</v>
      </c>
      <c r="B7" s="3541"/>
      <c r="C7" s="3541"/>
      <c r="D7" s="3542" t="str">
        <f>结果表!D121</f>
        <v>零元整</v>
      </c>
      <c r="E7" s="3543"/>
      <c r="F7" s="3543"/>
      <c r="G7" s="3543"/>
      <c r="H7" s="3543"/>
      <c r="I7" s="3544"/>
    </row>
    <row r="8" spans="1:9" ht="15.75">
      <c r="A8" s="3540" t="str">
        <f>结果表!A122</f>
        <v>房地产抵押价值</v>
      </c>
      <c r="B8" s="3540"/>
      <c r="C8" s="3540"/>
      <c r="D8" s="3540">
        <f ca="1">结果表!D122</f>
        <v>24240</v>
      </c>
      <c r="E8" s="3540"/>
      <c r="F8" s="3540"/>
      <c r="G8" s="3540"/>
      <c r="H8" s="3540"/>
      <c r="I8" s="3540"/>
    </row>
    <row r="9" spans="1:9" ht="15">
      <c r="A9" s="3541" t="s">
        <v>927</v>
      </c>
      <c r="B9" s="3541"/>
      <c r="C9" s="3541"/>
      <c r="D9" s="3541" t="str">
        <f ca="1">结果表!D123</f>
        <v>贰亿肆仟贰佰肆拾万元整</v>
      </c>
      <c r="E9" s="3541"/>
      <c r="F9" s="3541"/>
      <c r="G9" s="3541"/>
      <c r="H9" s="3541"/>
      <c r="I9" s="3541"/>
    </row>
    <row r="10" spans="1:9" ht="15.75">
      <c r="A10" s="3540" t="str">
        <f>结果表!A124</f>
        <v/>
      </c>
      <c r="B10" s="3540"/>
      <c r="C10" s="3540"/>
      <c r="D10" s="3540" t="str">
        <f>结果表!D124</f>
        <v>——</v>
      </c>
      <c r="E10" s="3540"/>
      <c r="F10" s="3540"/>
      <c r="G10" s="3540"/>
      <c r="H10" s="3540"/>
      <c r="I10" s="3540"/>
    </row>
    <row r="11" spans="1:9" ht="15">
      <c r="A11" s="3541" t="s">
        <v>927</v>
      </c>
      <c r="B11" s="3541"/>
      <c r="C11" s="3541"/>
      <c r="D11" s="3541" t="e">
        <f>结果表!D125</f>
        <v>#VALUE!</v>
      </c>
      <c r="E11" s="3541"/>
      <c r="F11" s="3541"/>
      <c r="G11" s="3541"/>
      <c r="H11" s="3541"/>
      <c r="I11" s="3541"/>
    </row>
    <row r="12" spans="1:9" ht="15.75">
      <c r="A12" s="3540" t="str">
        <f>结果表!A126</f>
        <v/>
      </c>
      <c r="B12" s="3540"/>
      <c r="C12" s="3540"/>
      <c r="D12" s="3540" t="str">
        <f>结果表!D126</f>
        <v>——</v>
      </c>
      <c r="E12" s="3540"/>
      <c r="F12" s="3540"/>
      <c r="G12" s="3540"/>
      <c r="H12" s="3540"/>
      <c r="I12" s="3540"/>
    </row>
    <row r="13" spans="1:9" ht="15.75" thickBot="1">
      <c r="A13" s="3538" t="s">
        <v>927</v>
      </c>
      <c r="B13" s="3538"/>
      <c r="C13" s="3538"/>
      <c r="D13" s="3538" t="e">
        <f>结果表!D127</f>
        <v>#VALUE!</v>
      </c>
      <c r="E13" s="3538"/>
      <c r="F13" s="3538"/>
      <c r="G13" s="3538"/>
      <c r="H13" s="3538"/>
      <c r="I13" s="3538"/>
    </row>
    <row r="14" spans="1:9" ht="15" thickTop="1">
      <c r="A14" s="3539" t="s">
        <v>932</v>
      </c>
      <c r="B14" s="3539"/>
      <c r="C14" s="3539"/>
      <c r="D14" s="3539"/>
      <c r="E14" s="3539"/>
      <c r="F14" s="3539"/>
      <c r="G14" s="3539"/>
      <c r="H14" s="3539"/>
      <c r="I14" s="353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topLeftCell="H1" workbookViewId="0">
      <selection activeCell="T19" sqref="T19"/>
    </sheetView>
  </sheetViews>
  <sheetFormatPr defaultRowHeight="13.5"/>
  <sheetData>
    <row r="1" spans="1:23">
      <c r="A1" s="3457" t="s">
        <v>3406</v>
      </c>
      <c r="B1" s="3457" t="s">
        <v>3407</v>
      </c>
      <c r="C1" s="3457" t="s">
        <v>3408</v>
      </c>
      <c r="D1" s="3457" t="s">
        <v>3409</v>
      </c>
      <c r="E1" s="3457" t="s">
        <v>3410</v>
      </c>
      <c r="F1" s="3457" t="s">
        <v>3411</v>
      </c>
      <c r="G1" s="3457" t="s">
        <v>3412</v>
      </c>
      <c r="H1" s="3457" t="s">
        <v>3413</v>
      </c>
      <c r="I1" s="3457" t="s">
        <v>3414</v>
      </c>
      <c r="J1" s="3457" t="s">
        <v>3415</v>
      </c>
      <c r="K1" s="3457" t="s">
        <v>3416</v>
      </c>
      <c r="L1" s="3457" t="s">
        <v>3417</v>
      </c>
      <c r="M1" s="3457" t="s">
        <v>3418</v>
      </c>
      <c r="N1" s="3457" t="s">
        <v>3419</v>
      </c>
      <c r="O1" s="3457" t="s">
        <v>3420</v>
      </c>
      <c r="P1" s="3457" t="s">
        <v>3421</v>
      </c>
      <c r="Q1" s="3457" t="s">
        <v>3422</v>
      </c>
      <c r="R1" s="3461" t="s">
        <v>3455</v>
      </c>
      <c r="S1" s="3461" t="s">
        <v>3456</v>
      </c>
      <c r="T1" s="3461" t="s">
        <v>3457</v>
      </c>
      <c r="U1" s="3461" t="s">
        <v>3459</v>
      </c>
      <c r="W1" s="3461"/>
    </row>
    <row r="2" spans="1:23" s="3459" customFormat="1">
      <c r="A2" s="3458" t="s">
        <v>3423</v>
      </c>
      <c r="B2" s="3458" t="s">
        <v>3381</v>
      </c>
      <c r="C2" s="3458" t="s">
        <v>3424</v>
      </c>
      <c r="D2" s="3458">
        <v>19258.580000000002</v>
      </c>
      <c r="E2" s="3458">
        <v>38517.17</v>
      </c>
      <c r="F2" s="3458">
        <v>2</v>
      </c>
      <c r="G2" s="3458" t="s">
        <v>3425</v>
      </c>
      <c r="H2" s="3458" t="s">
        <v>3426</v>
      </c>
      <c r="I2" s="3458">
        <v>0</v>
      </c>
      <c r="J2" s="3458" t="s">
        <v>3427</v>
      </c>
      <c r="K2" s="3458" t="s">
        <v>3427</v>
      </c>
      <c r="L2" s="3458">
        <v>28400</v>
      </c>
      <c r="M2" s="3458">
        <v>28400</v>
      </c>
      <c r="N2" s="3458">
        <v>7373.34</v>
      </c>
      <c r="O2" s="3458">
        <v>0</v>
      </c>
      <c r="P2" s="3458" t="s">
        <v>3428</v>
      </c>
      <c r="Q2" s="3458" t="s">
        <v>3429</v>
      </c>
      <c r="R2">
        <v>2</v>
      </c>
      <c r="S2">
        <v>1</v>
      </c>
      <c r="T2">
        <f>ROUND(S2/$F$13,4)</f>
        <v>0.81079999999999997</v>
      </c>
      <c r="U2" s="3459">
        <f>ROUND(N2/T2,0)</f>
        <v>9094</v>
      </c>
    </row>
    <row r="3" spans="1:23" s="3459" customFormat="1">
      <c r="A3" s="3458" t="s">
        <v>3430</v>
      </c>
      <c r="B3" s="3458" t="s">
        <v>3381</v>
      </c>
      <c r="C3" s="3458" t="s">
        <v>3424</v>
      </c>
      <c r="D3" s="3458">
        <v>28547.88</v>
      </c>
      <c r="E3" s="3458">
        <v>51828.53</v>
      </c>
      <c r="F3" s="3458">
        <v>1.82</v>
      </c>
      <c r="G3" s="3458" t="s">
        <v>3425</v>
      </c>
      <c r="H3" s="3458" t="s">
        <v>3426</v>
      </c>
      <c r="I3" s="3458">
        <v>0</v>
      </c>
      <c r="J3" s="3458" t="s">
        <v>3427</v>
      </c>
      <c r="K3" s="3458" t="s">
        <v>3427</v>
      </c>
      <c r="L3" s="3458">
        <v>37700</v>
      </c>
      <c r="M3" s="3458">
        <v>37700</v>
      </c>
      <c r="N3" s="3458">
        <v>7273.99</v>
      </c>
      <c r="O3" s="3458">
        <v>0</v>
      </c>
      <c r="P3" s="3458" t="s">
        <v>3431</v>
      </c>
      <c r="Q3" s="3458" t="s">
        <v>3429</v>
      </c>
      <c r="R3">
        <v>1.82</v>
      </c>
      <c r="S3">
        <v>1.0216000000000001</v>
      </c>
      <c r="T3">
        <f>ROUND(S3/$F$13,4)</f>
        <v>0.82830000000000004</v>
      </c>
      <c r="U3" s="3459">
        <f t="shared" ref="U3:U5" si="0">ROUND(N3/T3,0)</f>
        <v>8782</v>
      </c>
    </row>
    <row r="4" spans="1:23">
      <c r="A4" s="3457" t="s">
        <v>3432</v>
      </c>
      <c r="B4" s="3457" t="s">
        <v>3381</v>
      </c>
      <c r="C4" s="3457" t="s">
        <v>3424</v>
      </c>
      <c r="D4" s="3457">
        <v>1676.22</v>
      </c>
      <c r="E4" s="3457">
        <v>753.4</v>
      </c>
      <c r="F4" s="3457" t="s">
        <v>3433</v>
      </c>
      <c r="G4" s="3457" t="s">
        <v>3425</v>
      </c>
      <c r="H4" s="3457" t="s">
        <v>3434</v>
      </c>
      <c r="I4" s="3457">
        <v>0</v>
      </c>
      <c r="J4" s="3457" t="s">
        <v>3435</v>
      </c>
      <c r="K4" s="3457" t="s">
        <v>3435</v>
      </c>
      <c r="L4" s="3457">
        <v>550</v>
      </c>
      <c r="M4" s="3457">
        <v>550</v>
      </c>
      <c r="N4" s="3457">
        <v>7300.24</v>
      </c>
      <c r="O4" s="3457">
        <v>0</v>
      </c>
      <c r="P4" s="3457" t="s">
        <v>3436</v>
      </c>
      <c r="Q4" s="3457" t="s">
        <v>3429</v>
      </c>
      <c r="U4" s="3459"/>
      <c r="W4" s="3459"/>
    </row>
    <row r="5" spans="1:23" s="3459" customFormat="1">
      <c r="A5" s="3458" t="s">
        <v>3437</v>
      </c>
      <c r="B5" s="3458" t="s">
        <v>3381</v>
      </c>
      <c r="C5" s="3458" t="s">
        <v>3424</v>
      </c>
      <c r="D5" s="3458">
        <v>25224.15</v>
      </c>
      <c r="E5" s="3458">
        <v>75672.45</v>
      </c>
      <c r="F5" s="3458" t="s">
        <v>3438</v>
      </c>
      <c r="G5" s="3458" t="s">
        <v>3425</v>
      </c>
      <c r="H5" s="3458" t="s">
        <v>3426</v>
      </c>
      <c r="I5" s="3458">
        <v>0</v>
      </c>
      <c r="J5" s="3458" t="s">
        <v>3439</v>
      </c>
      <c r="K5" s="3458" t="s">
        <v>3439</v>
      </c>
      <c r="L5" s="3458">
        <v>60800</v>
      </c>
      <c r="M5" s="3458">
        <v>60800</v>
      </c>
      <c r="N5" s="3458">
        <v>8034.63</v>
      </c>
      <c r="O5" s="3458">
        <v>0</v>
      </c>
      <c r="P5" s="3458" t="s">
        <v>3440</v>
      </c>
      <c r="Q5" s="3458" t="s">
        <v>3441</v>
      </c>
      <c r="R5">
        <v>3</v>
      </c>
      <c r="S5">
        <v>0.90629999999999999</v>
      </c>
      <c r="T5">
        <f>ROUND(S5/$F$13,4)</f>
        <v>0.7349</v>
      </c>
      <c r="U5" s="3459">
        <f t="shared" si="0"/>
        <v>10933</v>
      </c>
    </row>
    <row r="6" spans="1:23">
      <c r="A6" s="3457" t="s">
        <v>3442</v>
      </c>
      <c r="B6" s="3457" t="s">
        <v>3381</v>
      </c>
      <c r="C6" s="3457" t="s">
        <v>3424</v>
      </c>
      <c r="D6" s="3457">
        <v>63225.37</v>
      </c>
      <c r="E6" s="3457">
        <v>120200</v>
      </c>
      <c r="F6" s="3457" t="s">
        <v>3443</v>
      </c>
      <c r="G6" s="3457" t="s">
        <v>3425</v>
      </c>
      <c r="H6" s="3457" t="s">
        <v>3426</v>
      </c>
      <c r="I6" s="3457">
        <v>0</v>
      </c>
      <c r="J6" s="3457" t="s">
        <v>3444</v>
      </c>
      <c r="K6" s="3457" t="s">
        <v>3444</v>
      </c>
      <c r="L6" s="3457">
        <v>88100</v>
      </c>
      <c r="M6" s="3457">
        <v>88100</v>
      </c>
      <c r="N6" s="3457">
        <v>7329.45</v>
      </c>
      <c r="O6" s="3457">
        <v>0</v>
      </c>
      <c r="P6" s="3457" t="s">
        <v>3445</v>
      </c>
      <c r="Q6" s="3457" t="s">
        <v>3429</v>
      </c>
    </row>
    <row r="7" spans="1:23">
      <c r="A7" s="3457" t="s">
        <v>3446</v>
      </c>
      <c r="B7" s="3457" t="s">
        <v>3381</v>
      </c>
      <c r="C7" s="3457" t="s">
        <v>3424</v>
      </c>
      <c r="D7" s="3457">
        <v>5352.65</v>
      </c>
      <c r="E7" s="3457">
        <v>843</v>
      </c>
      <c r="F7" s="3457" t="s">
        <v>3447</v>
      </c>
      <c r="G7" s="3457" t="s">
        <v>3425</v>
      </c>
      <c r="H7" s="3457" t="s">
        <v>3434</v>
      </c>
      <c r="I7" s="3457">
        <v>0</v>
      </c>
      <c r="J7" s="3457" t="s">
        <v>3448</v>
      </c>
      <c r="K7" s="3457" t="s">
        <v>3448</v>
      </c>
      <c r="L7" s="3457">
        <v>1310</v>
      </c>
      <c r="M7" s="3457">
        <v>1310</v>
      </c>
      <c r="N7" s="3457">
        <v>15539.74</v>
      </c>
      <c r="O7" s="3457">
        <v>0</v>
      </c>
      <c r="P7" s="3457" t="s">
        <v>3436</v>
      </c>
      <c r="Q7" s="3457" t="s">
        <v>3429</v>
      </c>
    </row>
    <row r="8" spans="1:23">
      <c r="A8" s="3457" t="s">
        <v>3449</v>
      </c>
      <c r="B8" s="3457" t="s">
        <v>3381</v>
      </c>
      <c r="C8" s="3457" t="s">
        <v>3424</v>
      </c>
      <c r="D8" s="3457">
        <v>36823.82</v>
      </c>
      <c r="E8" s="3457">
        <v>25187</v>
      </c>
      <c r="F8" s="3457" t="s">
        <v>3450</v>
      </c>
      <c r="G8" s="3457" t="s">
        <v>3425</v>
      </c>
      <c r="H8" s="3457" t="s">
        <v>3426</v>
      </c>
      <c r="I8" s="3457">
        <v>0</v>
      </c>
      <c r="J8" s="3457" t="s">
        <v>3448</v>
      </c>
      <c r="K8" s="3457" t="s">
        <v>3448</v>
      </c>
      <c r="L8" s="3457">
        <v>29500</v>
      </c>
      <c r="M8" s="3457">
        <v>29500</v>
      </c>
      <c r="N8" s="3457">
        <v>11712.39</v>
      </c>
      <c r="O8" s="3457">
        <v>0</v>
      </c>
      <c r="P8" s="3457" t="s">
        <v>3451</v>
      </c>
      <c r="Q8" s="3457" t="s">
        <v>3429</v>
      </c>
    </row>
    <row r="12" spans="1:23">
      <c r="E12" s="3461" t="s">
        <v>3455</v>
      </c>
      <c r="F12" s="3461" t="s">
        <v>3458</v>
      </c>
    </row>
    <row r="13" spans="1:23">
      <c r="E13">
        <v>1</v>
      </c>
      <c r="F13">
        <v>1.2333000000000001</v>
      </c>
    </row>
  </sheetData>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6" sqref="M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673</v>
      </c>
      <c r="E1" s="3429" t="s">
        <v>3465</v>
      </c>
      <c r="F1" s="1877" t="s">
        <v>3466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IF(E1="项目模式",IF(C2="——",ROUND(C50*D3/10000,0),ROUND(C50*D3/10000,0)-D2),IF(E1="单套模式",IF(C2="——",ROUND(C50*D3/10000,4),ROUND(C50*D3/10000,4)-D2)))</f>
        <v>28752</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14331</v>
      </c>
      <c r="C3" s="354" t="s">
        <v>1768</v>
      </c>
      <c r="D3" s="353">
        <f>IF(D1="",'数据-汇总表'!E3,SUMIF('数据-汇总表'!$C19:$C33,D1,'数据-汇总表'!$E19:$E33))</f>
        <v>20062.899999999998</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29" t="s">
        <v>1770</v>
      </c>
      <c r="D4" s="3730"/>
      <c r="E4" s="3731" t="s">
        <v>1771</v>
      </c>
      <c r="F4" s="3732"/>
      <c r="G4" s="3729" t="s">
        <v>1772</v>
      </c>
      <c r="H4" s="3730"/>
      <c r="I4" s="3729" t="s">
        <v>1773</v>
      </c>
      <c r="J4" s="3730"/>
      <c r="K4" s="559" t="s">
        <v>1774</v>
      </c>
      <c r="L4" s="2712"/>
      <c r="M4" s="2713"/>
      <c r="N4" s="2713"/>
      <c r="O4" s="2713"/>
      <c r="P4" s="3859" t="s">
        <v>1775</v>
      </c>
      <c r="Q4" s="3860"/>
      <c r="R4" s="3863" t="s">
        <v>1771</v>
      </c>
      <c r="S4" s="3864"/>
      <c r="T4" s="3863" t="s">
        <v>1772</v>
      </c>
      <c r="U4" s="3864"/>
      <c r="V4" s="3865" t="s">
        <v>1773</v>
      </c>
      <c r="W4" s="3865"/>
      <c r="X4" s="1956"/>
      <c r="Y4" s="3863" t="s">
        <v>1775</v>
      </c>
      <c r="Z4" s="3864"/>
      <c r="AA4" s="3867" t="s">
        <v>1771</v>
      </c>
      <c r="AB4" s="3867" t="s">
        <v>1772</v>
      </c>
      <c r="AC4" s="3856" t="s">
        <v>1773</v>
      </c>
    </row>
    <row r="5" spans="1:29" ht="15">
      <c r="A5" s="358"/>
      <c r="B5" s="359"/>
      <c r="C5" s="3752" t="s">
        <v>1673</v>
      </c>
      <c r="D5" s="3748"/>
      <c r="E5" s="3755" t="s">
        <v>3542</v>
      </c>
      <c r="F5" s="3756"/>
      <c r="G5" s="3747" t="s">
        <v>3543</v>
      </c>
      <c r="H5" s="3748"/>
      <c r="I5" s="3752" t="str">
        <f>G5</f>
        <v>绿地启航国际</v>
      </c>
      <c r="J5" s="3748"/>
      <c r="K5" s="559"/>
      <c r="L5" s="2712"/>
      <c r="M5" s="2713"/>
      <c r="N5" s="2713"/>
      <c r="O5" s="2713"/>
      <c r="P5" s="3861"/>
      <c r="Q5" s="3736"/>
      <c r="R5" s="3741"/>
      <c r="S5" s="3742"/>
      <c r="T5" s="3741"/>
      <c r="U5" s="3742"/>
      <c r="V5" s="3724"/>
      <c r="W5" s="3724"/>
      <c r="X5" s="1353"/>
      <c r="Y5" s="3741"/>
      <c r="Z5" s="3742"/>
      <c r="AA5" s="3727"/>
      <c r="AB5" s="3727"/>
      <c r="AC5" s="3857"/>
    </row>
    <row r="6" spans="1:29" ht="15.75" thickBot="1">
      <c r="A6" s="360"/>
      <c r="B6" s="361"/>
      <c r="C6" s="3745" t="s">
        <v>1677</v>
      </c>
      <c r="D6" s="3746"/>
      <c r="E6" s="3753" t="s">
        <v>1677</v>
      </c>
      <c r="F6" s="3754"/>
      <c r="G6" s="3745" t="s">
        <v>1677</v>
      </c>
      <c r="H6" s="3746"/>
      <c r="I6" s="3745" t="s">
        <v>1677</v>
      </c>
      <c r="J6" s="3746"/>
      <c r="K6" s="559" t="s">
        <v>1678</v>
      </c>
      <c r="L6" s="2712"/>
      <c r="M6" s="2713"/>
      <c r="N6" s="2713"/>
      <c r="O6" s="2713"/>
      <c r="P6" s="3862"/>
      <c r="Q6" s="3738"/>
      <c r="R6" s="3741"/>
      <c r="S6" s="3742"/>
      <c r="T6" s="3743"/>
      <c r="U6" s="3744"/>
      <c r="V6" s="3724"/>
      <c r="W6" s="3724"/>
      <c r="X6" s="1353"/>
      <c r="Y6" s="3743"/>
      <c r="Z6" s="3744"/>
      <c r="AA6" s="3728"/>
      <c r="AB6" s="3728"/>
      <c r="AC6" s="3858"/>
    </row>
    <row r="7" spans="1:29" s="108" customFormat="1" ht="15.75" thickBot="1">
      <c r="A7" s="362" t="s">
        <v>1679</v>
      </c>
      <c r="B7" s="363"/>
      <c r="C7" s="364">
        <f>'数据-取费表'!B2</f>
        <v>45068</v>
      </c>
      <c r="D7" s="365">
        <v>100</v>
      </c>
      <c r="E7" s="366">
        <f>C7</f>
        <v>45068</v>
      </c>
      <c r="F7" s="367">
        <f>SUMIF(59:59,YEAR(E7)&amp;"-"&amp;MONTH(E7),60:60)</f>
        <v>100</v>
      </c>
      <c r="G7" s="366">
        <f>C7</f>
        <v>45068</v>
      </c>
      <c r="H7" s="365">
        <f>SUMIF(59:59,YEAR(G7)&amp;"-"&amp;MONTH(G7),60:60)</f>
        <v>100</v>
      </c>
      <c r="I7" s="366">
        <f>C7</f>
        <v>45068</v>
      </c>
      <c r="J7" s="365">
        <f>SUMIF(59:59,YEAR(I7)&amp;"-"&amp;MONTH(I7),60:60)</f>
        <v>100</v>
      </c>
      <c r="K7" s="560"/>
      <c r="L7" s="2714"/>
      <c r="M7" s="2715"/>
      <c r="N7" s="2715"/>
      <c r="O7" s="2715"/>
      <c r="P7" s="3866" t="s">
        <v>1680</v>
      </c>
      <c r="Q7" s="3751"/>
      <c r="R7" s="700" t="s">
        <v>14</v>
      </c>
      <c r="S7" s="701">
        <f t="shared" ref="S7:S15" si="0">F7</f>
        <v>100</v>
      </c>
      <c r="T7" s="700" t="s">
        <v>14</v>
      </c>
      <c r="U7" s="701">
        <f t="shared" ref="U7:U15" si="1">H7</f>
        <v>100</v>
      </c>
      <c r="V7" s="700" t="s">
        <v>14</v>
      </c>
      <c r="W7" s="701">
        <f t="shared" ref="W7:W15" si="2">J7</f>
        <v>100</v>
      </c>
      <c r="X7" s="702"/>
      <c r="Y7" s="3749" t="s">
        <v>1680</v>
      </c>
      <c r="Z7" s="3750"/>
      <c r="AA7" s="703">
        <f>D7/F7</f>
        <v>1</v>
      </c>
      <c r="AB7" s="703">
        <f>D7/H7</f>
        <v>1</v>
      </c>
      <c r="AC7" s="1957">
        <f>D7/J7</f>
        <v>1</v>
      </c>
    </row>
    <row r="8" spans="1:29" s="108" customFormat="1" ht="15.75" thickBot="1">
      <c r="A8" s="362" t="s">
        <v>1681</v>
      </c>
      <c r="B8" s="363"/>
      <c r="C8" s="3460" t="s">
        <v>3541</v>
      </c>
      <c r="D8" s="365">
        <v>100</v>
      </c>
      <c r="E8" s="3460" t="s">
        <v>3541</v>
      </c>
      <c r="F8" s="367">
        <f>SUMIF(62:62,E8,63:63)-SUMIF(62:62,C8,63:63)+100</f>
        <v>100</v>
      </c>
      <c r="G8" s="3460" t="s">
        <v>3541</v>
      </c>
      <c r="H8" s="365">
        <f>SUMIF(62:62,G8,63:63)-SUMIF(62:62,C8,63:63)+100</f>
        <v>100</v>
      </c>
      <c r="I8" s="3460" t="s">
        <v>3541</v>
      </c>
      <c r="J8" s="365">
        <f>SUMIF(62:62,I8,63:63)-SUMIF(62:62,C8,63:63)+100</f>
        <v>100</v>
      </c>
      <c r="K8" s="560"/>
      <c r="L8" s="2714"/>
      <c r="M8" s="2715"/>
      <c r="N8" s="2715"/>
      <c r="O8" s="2715"/>
      <c r="P8" s="3866" t="s">
        <v>1683</v>
      </c>
      <c r="Q8" s="3750"/>
      <c r="R8" s="700" t="s">
        <v>14</v>
      </c>
      <c r="S8" s="701">
        <f t="shared" si="0"/>
        <v>100</v>
      </c>
      <c r="T8" s="700" t="s">
        <v>14</v>
      </c>
      <c r="U8" s="701">
        <f t="shared" si="1"/>
        <v>100</v>
      </c>
      <c r="V8" s="700" t="s">
        <v>14</v>
      </c>
      <c r="W8" s="701">
        <f t="shared" si="2"/>
        <v>100</v>
      </c>
      <c r="X8" s="702"/>
      <c r="Y8" s="3749" t="s">
        <v>1683</v>
      </c>
      <c r="Z8" s="3750"/>
      <c r="AA8" s="703">
        <f t="shared" ref="AA8:AA47" si="3">D8/F8</f>
        <v>1</v>
      </c>
      <c r="AB8" s="703">
        <f t="shared" ref="AB8:AB47" si="4">D8/H8</f>
        <v>1</v>
      </c>
      <c r="AC8" s="1957">
        <f t="shared" ref="AC8:AC47" si="5">D8/J8</f>
        <v>1</v>
      </c>
    </row>
    <row r="9" spans="1:29" s="108" customFormat="1" ht="15">
      <c r="A9" s="369" t="s">
        <v>1684</v>
      </c>
      <c r="B9" s="63" t="s">
        <v>1685</v>
      </c>
      <c r="C9" s="3493" t="s">
        <v>3544</v>
      </c>
      <c r="D9" s="126">
        <v>100</v>
      </c>
      <c r="E9" s="3508" t="s">
        <v>3545</v>
      </c>
      <c r="F9" s="126">
        <f>SUMIF(64:64,E9,65:65)-SUMIF(64:64,C9,65:65)+100</f>
        <v>85</v>
      </c>
      <c r="G9" s="3494" t="s">
        <v>3546</v>
      </c>
      <c r="H9" s="126">
        <f>SUMIF(64:64,G9,65:65)-SUMIF(64:64,C9,65:65)+100</f>
        <v>85</v>
      </c>
      <c r="I9" s="3494" t="s">
        <v>3545</v>
      </c>
      <c r="J9" s="126">
        <f>SUMIF(64:64,I9,65:65)-SUMIF(64:64,C9,65:65)+100</f>
        <v>85</v>
      </c>
      <c r="K9" s="560"/>
      <c r="L9" s="2714"/>
      <c r="M9" s="2715"/>
      <c r="N9" s="2715"/>
      <c r="O9" s="2715"/>
      <c r="P9" s="3725" t="s">
        <v>1686</v>
      </c>
      <c r="Q9" s="1341" t="str">
        <f t="shared" ref="Q9:Q15" si="6">B9</f>
        <v>用途</v>
      </c>
      <c r="R9" s="700" t="s">
        <v>14</v>
      </c>
      <c r="S9" s="701">
        <f t="shared" si="0"/>
        <v>85</v>
      </c>
      <c r="T9" s="700" t="s">
        <v>14</v>
      </c>
      <c r="U9" s="701">
        <f t="shared" si="1"/>
        <v>85</v>
      </c>
      <c r="V9" s="700" t="s">
        <v>14</v>
      </c>
      <c r="W9" s="701">
        <f t="shared" si="2"/>
        <v>85</v>
      </c>
      <c r="X9" s="702"/>
      <c r="Y9" s="3617" t="s">
        <v>1687</v>
      </c>
      <c r="Z9" s="52" t="str">
        <f t="shared" ref="Z9:Z15" si="7">Q9</f>
        <v>用途</v>
      </c>
      <c r="AA9" s="703">
        <f t="shared" si="3"/>
        <v>1.1764705882352942</v>
      </c>
      <c r="AB9" s="703">
        <f t="shared" si="4"/>
        <v>1.1764705882352942</v>
      </c>
      <c r="AC9" s="1957">
        <f t="shared" si="5"/>
        <v>1.1764705882352942</v>
      </c>
    </row>
    <row r="10" spans="1:29" s="378" customFormat="1" ht="27">
      <c r="A10" s="374"/>
      <c r="B10" s="375" t="s">
        <v>1688</v>
      </c>
      <c r="C10" s="3514" t="s">
        <v>3559</v>
      </c>
      <c r="D10" s="127">
        <v>100</v>
      </c>
      <c r="E10" s="3430" t="s">
        <v>3557</v>
      </c>
      <c r="F10" s="127">
        <f>SUMIF(66:66,E10,67:67)-SUMIF(66:66,C10,67:67)+100</f>
        <v>104</v>
      </c>
      <c r="G10" s="3431" t="s">
        <v>3557</v>
      </c>
      <c r="H10" s="127">
        <f>SUMIF(66:66,G10,67:67)-SUMIF(66:66,C10,67:67)+100</f>
        <v>104</v>
      </c>
      <c r="I10" s="3430" t="s">
        <v>3557</v>
      </c>
      <c r="J10" s="127">
        <f>SUMIF(66:66,I10,67:67)-SUMIF(66:66,C10,67:67)+100</f>
        <v>104</v>
      </c>
      <c r="K10" s="560"/>
      <c r="L10" s="2716"/>
      <c r="M10" s="2717"/>
      <c r="N10" s="2717"/>
      <c r="O10" s="2717"/>
      <c r="P10" s="3725"/>
      <c r="Q10" s="1341" t="str">
        <f t="shared" si="6"/>
        <v>土地使用年限（年）</v>
      </c>
      <c r="R10" s="700" t="s">
        <v>14</v>
      </c>
      <c r="S10" s="701">
        <f t="shared" si="0"/>
        <v>104</v>
      </c>
      <c r="T10" s="700" t="s">
        <v>14</v>
      </c>
      <c r="U10" s="701">
        <f t="shared" si="1"/>
        <v>104</v>
      </c>
      <c r="V10" s="700" t="s">
        <v>14</v>
      </c>
      <c r="W10" s="701">
        <f t="shared" si="2"/>
        <v>104</v>
      </c>
      <c r="X10" s="702"/>
      <c r="Y10" s="3617"/>
      <c r="Z10" s="52" t="str">
        <f t="shared" si="7"/>
        <v>土地使用年限（年）</v>
      </c>
      <c r="AA10" s="703">
        <f t="shared" si="3"/>
        <v>0.96153846153846156</v>
      </c>
      <c r="AB10" s="703">
        <f t="shared" si="4"/>
        <v>0.96153846153846156</v>
      </c>
      <c r="AC10" s="1957">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5"/>
      <c r="Q11" s="1341"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25"/>
      <c r="Q12" s="1341">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25"/>
      <c r="Q13" s="1341">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725"/>
      <c r="Q14" s="1341">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19"/>
      <c r="M15" s="2713"/>
      <c r="N15" s="2713"/>
      <c r="O15" s="2713"/>
      <c r="P15" s="3715" t="s">
        <v>1691</v>
      </c>
      <c r="Q15" s="1350" t="str">
        <f t="shared" si="6"/>
        <v>办公集聚程度</v>
      </c>
      <c r="R15" s="704" t="s">
        <v>14</v>
      </c>
      <c r="S15" s="705">
        <f t="shared" si="0"/>
        <v>102</v>
      </c>
      <c r="T15" s="704" t="s">
        <v>14</v>
      </c>
      <c r="U15" s="705">
        <f t="shared" si="1"/>
        <v>102</v>
      </c>
      <c r="V15" s="704" t="s">
        <v>14</v>
      </c>
      <c r="W15" s="705">
        <f t="shared" si="2"/>
        <v>102</v>
      </c>
      <c r="X15" s="1353"/>
      <c r="Y15" s="3717" t="s">
        <v>1691</v>
      </c>
      <c r="Z15" s="1354" t="str">
        <f t="shared" si="7"/>
        <v>办公集聚程度</v>
      </c>
      <c r="AA15" s="1351">
        <f t="shared" si="3"/>
        <v>0.98039215686274506</v>
      </c>
      <c r="AB15" s="1351">
        <f t="shared" si="4"/>
        <v>0.98039215686274506</v>
      </c>
      <c r="AC15" s="1960">
        <f t="shared" si="5"/>
        <v>0.98039215686274506</v>
      </c>
    </row>
    <row r="16" spans="1:29" ht="15">
      <c r="A16" s="379"/>
      <c r="B16" s="578"/>
      <c r="C16" s="3469" t="s">
        <v>3547</v>
      </c>
      <c r="D16" s="399"/>
      <c r="E16" s="3465" t="s">
        <v>3548</v>
      </c>
      <c r="F16" s="399"/>
      <c r="G16" s="3469" t="s">
        <v>3548</v>
      </c>
      <c r="H16" s="401"/>
      <c r="I16" s="3465" t="s">
        <v>3548</v>
      </c>
      <c r="J16" s="399"/>
      <c r="K16" s="564"/>
      <c r="L16" s="2719"/>
      <c r="M16" s="2713"/>
      <c r="N16" s="2713"/>
      <c r="O16" s="2713"/>
      <c r="P16" s="3716"/>
      <c r="Q16" s="1350"/>
      <c r="R16" s="704"/>
      <c r="S16" s="705"/>
      <c r="T16" s="704"/>
      <c r="U16" s="705"/>
      <c r="V16" s="704"/>
      <c r="W16" s="705"/>
      <c r="X16" s="1353"/>
      <c r="Y16" s="371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19"/>
      <c r="M17" s="2713"/>
      <c r="N17" s="2713"/>
      <c r="O17" s="2713"/>
      <c r="P17" s="3716"/>
      <c r="Q17" s="1350" t="str">
        <f>B17</f>
        <v>交通便捷度</v>
      </c>
      <c r="R17" s="704" t="s">
        <v>14</v>
      </c>
      <c r="S17" s="705">
        <f>F17</f>
        <v>102</v>
      </c>
      <c r="T17" s="704" t="s">
        <v>14</v>
      </c>
      <c r="U17" s="705">
        <f>H17</f>
        <v>102</v>
      </c>
      <c r="V17" s="704" t="s">
        <v>14</v>
      </c>
      <c r="W17" s="705">
        <f>J17</f>
        <v>102</v>
      </c>
      <c r="X17" s="1353"/>
      <c r="Y17" s="3718"/>
      <c r="Z17" s="1354" t="str">
        <f>Q17</f>
        <v>交通便捷度</v>
      </c>
      <c r="AA17" s="1351">
        <f t="shared" si="3"/>
        <v>0.98039215686274506</v>
      </c>
      <c r="AB17" s="1351">
        <f t="shared" si="4"/>
        <v>0.98039215686274506</v>
      </c>
      <c r="AC17" s="1960">
        <f t="shared" si="5"/>
        <v>0.98039215686274506</v>
      </c>
    </row>
    <row r="18" spans="1:29" ht="15">
      <c r="A18" s="379"/>
      <c r="B18" s="580"/>
      <c r="C18" s="3517" t="s">
        <v>3547</v>
      </c>
      <c r="D18" s="401"/>
      <c r="E18" s="3464" t="s">
        <v>3548</v>
      </c>
      <c r="F18" s="401"/>
      <c r="G18" s="3463" t="s">
        <v>3548</v>
      </c>
      <c r="H18" s="399"/>
      <c r="I18" s="3463" t="s">
        <v>3548</v>
      </c>
      <c r="J18" s="399"/>
      <c r="K18" s="564"/>
      <c r="L18" s="2719"/>
      <c r="M18" s="2713"/>
      <c r="N18" s="2713"/>
      <c r="O18" s="2713"/>
      <c r="P18" s="3716"/>
      <c r="Q18" s="1350"/>
      <c r="R18" s="704"/>
      <c r="S18" s="705"/>
      <c r="T18" s="704"/>
      <c r="U18" s="705"/>
      <c r="V18" s="704"/>
      <c r="W18" s="705"/>
      <c r="X18" s="1353"/>
      <c r="Y18" s="371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6"/>
      <c r="Q19" s="1350" t="str">
        <f>B19</f>
        <v>公共配套设施</v>
      </c>
      <c r="R19" s="704" t="s">
        <v>14</v>
      </c>
      <c r="S19" s="705">
        <f>F19</f>
        <v>100</v>
      </c>
      <c r="T19" s="704" t="s">
        <v>14</v>
      </c>
      <c r="U19" s="705">
        <f>H19</f>
        <v>100</v>
      </c>
      <c r="V19" s="704" t="s">
        <v>14</v>
      </c>
      <c r="W19" s="705">
        <f>J19</f>
        <v>100</v>
      </c>
      <c r="X19" s="1353"/>
      <c r="Y19" s="3718"/>
      <c r="Z19" s="1354" t="str">
        <f>Q19</f>
        <v>公共配套设施</v>
      </c>
      <c r="AA19" s="1351">
        <f t="shared" si="3"/>
        <v>1</v>
      </c>
      <c r="AB19" s="1351">
        <f t="shared" si="4"/>
        <v>1</v>
      </c>
      <c r="AC19" s="1960">
        <f t="shared" si="5"/>
        <v>1</v>
      </c>
    </row>
    <row r="20" spans="1:29" ht="15">
      <c r="A20" s="379"/>
      <c r="B20" s="580"/>
      <c r="C20" s="3469" t="s">
        <v>3548</v>
      </c>
      <c r="D20" s="399"/>
      <c r="E20" s="3467" t="s">
        <v>3548</v>
      </c>
      <c r="F20" s="399"/>
      <c r="G20" s="3466" t="s">
        <v>3548</v>
      </c>
      <c r="H20" s="399"/>
      <c r="I20" s="3466" t="s">
        <v>3548</v>
      </c>
      <c r="J20" s="399"/>
      <c r="K20" s="564"/>
      <c r="L20" s="2719"/>
      <c r="M20" s="2713"/>
      <c r="N20" s="2713"/>
      <c r="O20" s="2713"/>
      <c r="P20" s="3716"/>
      <c r="Q20" s="1350"/>
      <c r="R20" s="704"/>
      <c r="S20" s="705"/>
      <c r="T20" s="704"/>
      <c r="U20" s="705"/>
      <c r="V20" s="704"/>
      <c r="W20" s="705"/>
      <c r="X20" s="1353"/>
      <c r="Y20" s="371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16"/>
      <c r="Q21" s="1350" t="str">
        <f>B21</f>
        <v>基础设施水平</v>
      </c>
      <c r="R21" s="704" t="s">
        <v>14</v>
      </c>
      <c r="S21" s="705">
        <f>F21</f>
        <v>100</v>
      </c>
      <c r="T21" s="704" t="s">
        <v>14</v>
      </c>
      <c r="U21" s="705">
        <f>H21</f>
        <v>100</v>
      </c>
      <c r="V21" s="704" t="s">
        <v>14</v>
      </c>
      <c r="W21" s="705">
        <f>J21</f>
        <v>100</v>
      </c>
      <c r="X21" s="1353"/>
      <c r="Y21" s="3718"/>
      <c r="Z21" s="1354" t="str">
        <f>Q21</f>
        <v>基础设施水平</v>
      </c>
      <c r="AA21" s="1351">
        <f t="shared" ref="AA21" si="8">D21/F21</f>
        <v>1</v>
      </c>
      <c r="AB21" s="1351">
        <f t="shared" ref="AB21" si="9">D21/H21</f>
        <v>1</v>
      </c>
      <c r="AC21" s="1960">
        <f t="shared" ref="AC21" si="10">D21/J21</f>
        <v>1</v>
      </c>
    </row>
    <row r="22" spans="1:29" ht="15">
      <c r="A22" s="379"/>
      <c r="B22" s="581"/>
      <c r="C22" s="3517" t="s">
        <v>3566</v>
      </c>
      <c r="D22" s="399"/>
      <c r="E22" s="3465" t="s">
        <v>3566</v>
      </c>
      <c r="F22" s="399"/>
      <c r="G22" s="3469" t="s">
        <v>3567</v>
      </c>
      <c r="H22" s="399"/>
      <c r="I22" s="3469" t="s">
        <v>3567</v>
      </c>
      <c r="J22" s="399"/>
      <c r="K22" s="1129"/>
      <c r="L22" s="2719"/>
      <c r="M22" s="2713"/>
      <c r="N22" s="2713"/>
      <c r="O22" s="2713"/>
      <c r="P22" s="3716"/>
      <c r="Q22" s="1350"/>
      <c r="R22" s="704"/>
      <c r="S22" s="705"/>
      <c r="T22" s="704"/>
      <c r="U22" s="705"/>
      <c r="V22" s="704"/>
      <c r="W22" s="705"/>
      <c r="X22" s="1353"/>
      <c r="Y22" s="371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16"/>
      <c r="Q23" s="1350" t="str">
        <f>B23</f>
        <v>环境质量</v>
      </c>
      <c r="R23" s="704" t="s">
        <v>14</v>
      </c>
      <c r="S23" s="705">
        <f>F23</f>
        <v>100</v>
      </c>
      <c r="T23" s="704" t="s">
        <v>14</v>
      </c>
      <c r="U23" s="705">
        <f>H23</f>
        <v>100</v>
      </c>
      <c r="V23" s="704" t="s">
        <v>14</v>
      </c>
      <c r="W23" s="705">
        <f>J23</f>
        <v>100</v>
      </c>
      <c r="X23" s="1353"/>
      <c r="Y23" s="371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16"/>
      <c r="Q24" s="1350"/>
      <c r="R24" s="704"/>
      <c r="S24" s="705"/>
      <c r="T24" s="704"/>
      <c r="U24" s="705"/>
      <c r="V24" s="704"/>
      <c r="W24" s="705"/>
      <c r="X24" s="1353"/>
      <c r="Y24" s="3718"/>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98</v>
      </c>
      <c r="K25" s="563">
        <v>2</v>
      </c>
      <c r="L25" s="2719"/>
      <c r="M25" s="2713"/>
      <c r="N25" s="2713"/>
      <c r="O25" s="2713"/>
      <c r="P25" s="3716"/>
      <c r="Q25" s="1350" t="str">
        <f>B25</f>
        <v>毗邻道路的类型与等级</v>
      </c>
      <c r="R25" s="704" t="s">
        <v>14</v>
      </c>
      <c r="S25" s="705">
        <f>F25</f>
        <v>98</v>
      </c>
      <c r="T25" s="704" t="s">
        <v>14</v>
      </c>
      <c r="U25" s="705">
        <f>H25</f>
        <v>98</v>
      </c>
      <c r="V25" s="704" t="s">
        <v>14</v>
      </c>
      <c r="W25" s="705">
        <f>J25</f>
        <v>98</v>
      </c>
      <c r="X25" s="1353"/>
      <c r="Y25" s="3718"/>
      <c r="Z25" s="1354" t="str">
        <f>Q25</f>
        <v>毗邻道路的类型与等级</v>
      </c>
      <c r="AA25" s="1351">
        <f t="shared" si="3"/>
        <v>1.0204081632653061</v>
      </c>
      <c r="AB25" s="1351">
        <f t="shared" si="4"/>
        <v>1.0204081632653061</v>
      </c>
      <c r="AC25" s="1960">
        <f t="shared" si="5"/>
        <v>1.0204081632653061</v>
      </c>
    </row>
    <row r="26" spans="1:29" ht="15">
      <c r="A26" s="358"/>
      <c r="B26" s="580"/>
      <c r="C26" s="3515" t="s">
        <v>3561</v>
      </c>
      <c r="D26" s="386"/>
      <c r="E26" s="3468" t="s">
        <v>3562</v>
      </c>
      <c r="F26" s="386"/>
      <c r="G26" s="3515" t="s">
        <v>3562</v>
      </c>
      <c r="H26" s="386"/>
      <c r="I26" s="3468" t="s">
        <v>3562</v>
      </c>
      <c r="J26" s="386"/>
      <c r="K26" s="564"/>
      <c r="L26" s="2719"/>
      <c r="M26" s="2713"/>
      <c r="N26" s="2713"/>
      <c r="O26" s="2713"/>
      <c r="P26" s="3716"/>
      <c r="Q26" s="1350"/>
      <c r="R26" s="704"/>
      <c r="S26" s="705"/>
      <c r="T26" s="704"/>
      <c r="U26" s="705"/>
      <c r="V26" s="704"/>
      <c r="W26" s="705"/>
      <c r="X26" s="1353"/>
      <c r="Y26" s="371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6"/>
      <c r="Q27" s="1350" t="str">
        <f t="shared" ref="Q27:Q47" si="11">B27</f>
        <v>楼层</v>
      </c>
      <c r="R27" s="704" t="s">
        <v>14</v>
      </c>
      <c r="S27" s="705">
        <f>F27</f>
        <v>100</v>
      </c>
      <c r="T27" s="704" t="s">
        <v>14</v>
      </c>
      <c r="U27" s="705">
        <f>H27</f>
        <v>100</v>
      </c>
      <c r="V27" s="704" t="s">
        <v>14</v>
      </c>
      <c r="W27" s="705">
        <f>J27</f>
        <v>100</v>
      </c>
      <c r="X27" s="1353"/>
      <c r="Y27" s="3718"/>
      <c r="Z27" s="1354" t="str">
        <f>Q27</f>
        <v>楼层</v>
      </c>
      <c r="AA27" s="1351">
        <f t="shared" si="3"/>
        <v>1</v>
      </c>
      <c r="AB27" s="1351">
        <f t="shared" si="4"/>
        <v>1</v>
      </c>
      <c r="AC27" s="1960">
        <f t="shared" si="5"/>
        <v>1</v>
      </c>
    </row>
    <row r="28" spans="1:29" s="108" customFormat="1" ht="15">
      <c r="A28" s="382"/>
      <c r="B28" s="579" t="s">
        <v>1816</v>
      </c>
      <c r="C28" s="1962"/>
      <c r="D28" s="413">
        <v>100</v>
      </c>
      <c r="E28" s="1954"/>
      <c r="F28" s="413">
        <f>SUMIF(91:91,E28,92:92)-SUMIF(91:91,C28,92:92)+100</f>
        <v>100</v>
      </c>
      <c r="G28" s="1962"/>
      <c r="H28" s="413">
        <f>SUMIF(91:91,G28,92:92)-SUMIF(91:91,C28,92:92)+100</f>
        <v>100</v>
      </c>
      <c r="I28" s="1954"/>
      <c r="J28" s="413">
        <f>SUMIF(91:91,I28,92:92)-SUMIF(91:91,C28,92:92)+100</f>
        <v>100</v>
      </c>
      <c r="K28" s="561"/>
      <c r="L28" s="2714"/>
      <c r="M28" s="2715"/>
      <c r="N28" s="2715"/>
      <c r="O28" s="2715"/>
      <c r="P28" s="3716"/>
      <c r="Q28" s="1341" t="str">
        <f t="shared" si="11"/>
        <v>朝向</v>
      </c>
      <c r="R28" s="700" t="s">
        <v>14</v>
      </c>
      <c r="S28" s="701">
        <f>F28</f>
        <v>100</v>
      </c>
      <c r="T28" s="700" t="s">
        <v>14</v>
      </c>
      <c r="U28" s="701">
        <f>H28</f>
        <v>100</v>
      </c>
      <c r="V28" s="700" t="s">
        <v>14</v>
      </c>
      <c r="W28" s="701">
        <f>J28</f>
        <v>100</v>
      </c>
      <c r="X28" s="702"/>
      <c r="Y28" s="3718"/>
      <c r="Z28" s="52" t="str">
        <f>Q28</f>
        <v>朝向</v>
      </c>
      <c r="AA28" s="1351">
        <f>D28/F28</f>
        <v>1</v>
      </c>
      <c r="AB28" s="1351">
        <f>D28/H28</f>
        <v>1</v>
      </c>
      <c r="AC28" s="1960">
        <f>D28/J28</f>
        <v>1</v>
      </c>
    </row>
    <row r="29" spans="1:29" ht="15">
      <c r="A29" s="379"/>
      <c r="B29" s="1963">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6"/>
      <c r="Q29" s="1350">
        <f t="shared" si="11"/>
        <v>111</v>
      </c>
      <c r="R29" s="704" t="s">
        <v>14</v>
      </c>
      <c r="S29" s="705">
        <f t="shared" ref="S29:S47" si="12">F29</f>
        <v>100</v>
      </c>
      <c r="T29" s="704" t="s">
        <v>14</v>
      </c>
      <c r="U29" s="705">
        <f t="shared" ref="U29:U47" si="13">H29</f>
        <v>100</v>
      </c>
      <c r="V29" s="704" t="s">
        <v>14</v>
      </c>
      <c r="W29" s="705">
        <f t="shared" ref="W29:W47" si="14">J29</f>
        <v>100</v>
      </c>
      <c r="X29" s="1353"/>
      <c r="Y29" s="3718"/>
      <c r="Z29" s="1354">
        <f t="shared" ref="Z29:Z47" si="15">Q29</f>
        <v>111</v>
      </c>
      <c r="AA29" s="1351">
        <f t="shared" si="3"/>
        <v>1</v>
      </c>
      <c r="AB29" s="1351">
        <f t="shared" si="4"/>
        <v>1</v>
      </c>
      <c r="AC29" s="1960">
        <f t="shared" si="5"/>
        <v>1</v>
      </c>
    </row>
    <row r="30" spans="1:29" ht="15">
      <c r="A30" s="379"/>
      <c r="B30" s="1963">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6"/>
      <c r="Q30" s="1350">
        <f t="shared" si="11"/>
        <v>111</v>
      </c>
      <c r="R30" s="704" t="s">
        <v>14</v>
      </c>
      <c r="S30" s="705">
        <f t="shared" si="12"/>
        <v>100</v>
      </c>
      <c r="T30" s="704" t="s">
        <v>14</v>
      </c>
      <c r="U30" s="705">
        <f t="shared" si="13"/>
        <v>100</v>
      </c>
      <c r="V30" s="704" t="s">
        <v>14</v>
      </c>
      <c r="W30" s="705">
        <f t="shared" si="14"/>
        <v>100</v>
      </c>
      <c r="X30" s="1353"/>
      <c r="Y30" s="3718"/>
      <c r="Z30" s="1354">
        <f t="shared" si="15"/>
        <v>111</v>
      </c>
      <c r="AA30" s="1351">
        <f t="shared" si="3"/>
        <v>1</v>
      </c>
      <c r="AB30" s="1351">
        <f t="shared" si="4"/>
        <v>1</v>
      </c>
      <c r="AC30" s="1960">
        <f t="shared" si="5"/>
        <v>1</v>
      </c>
    </row>
    <row r="31" spans="1:29" ht="15">
      <c r="A31" s="379"/>
      <c r="B31" s="1963">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6"/>
      <c r="Q31" s="1350">
        <f t="shared" si="11"/>
        <v>111</v>
      </c>
      <c r="R31" s="704" t="s">
        <v>14</v>
      </c>
      <c r="S31" s="705">
        <f t="shared" si="12"/>
        <v>100</v>
      </c>
      <c r="T31" s="704" t="s">
        <v>14</v>
      </c>
      <c r="U31" s="705">
        <f t="shared" si="13"/>
        <v>100</v>
      </c>
      <c r="V31" s="704" t="s">
        <v>14</v>
      </c>
      <c r="W31" s="705">
        <f t="shared" si="14"/>
        <v>100</v>
      </c>
      <c r="X31" s="1353"/>
      <c r="Y31" s="371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6"/>
      <c r="Q32" s="1350">
        <f t="shared" si="11"/>
        <v>111</v>
      </c>
      <c r="R32" s="704" t="s">
        <v>14</v>
      </c>
      <c r="S32" s="705">
        <f t="shared" si="12"/>
        <v>100</v>
      </c>
      <c r="T32" s="704" t="s">
        <v>14</v>
      </c>
      <c r="U32" s="705">
        <f t="shared" si="13"/>
        <v>100</v>
      </c>
      <c r="V32" s="704" t="s">
        <v>14</v>
      </c>
      <c r="W32" s="705">
        <f t="shared" si="14"/>
        <v>100</v>
      </c>
      <c r="X32" s="1353"/>
      <c r="Y32" s="3718"/>
      <c r="Z32" s="1354">
        <f t="shared" si="15"/>
        <v>111</v>
      </c>
      <c r="AA32" s="1351">
        <f t="shared" si="3"/>
        <v>1</v>
      </c>
      <c r="AB32" s="1351">
        <f t="shared" si="4"/>
        <v>1</v>
      </c>
      <c r="AC32" s="1960">
        <f t="shared" si="5"/>
        <v>1</v>
      </c>
    </row>
    <row r="33" spans="1:29" ht="15">
      <c r="A33" s="391" t="s">
        <v>1694</v>
      </c>
      <c r="B33" s="63" t="s">
        <v>1817</v>
      </c>
      <c r="C33" s="3516" t="s">
        <v>3563</v>
      </c>
      <c r="D33" s="418">
        <v>100</v>
      </c>
      <c r="E33" s="3516" t="s">
        <v>3564</v>
      </c>
      <c r="F33" s="412">
        <f>SUMIF(101:101,E33,102:102)-SUMIF(101:101,C33,102:102)+100</f>
        <v>95</v>
      </c>
      <c r="G33" s="3516" t="s">
        <v>3564</v>
      </c>
      <c r="H33" s="386">
        <f>SUMIF(101:101,G33,102:102)-SUMIF(101:101,C33,102:102)+100</f>
        <v>95</v>
      </c>
      <c r="I33" s="3516" t="s">
        <v>3564</v>
      </c>
      <c r="J33" s="418">
        <f>SUMIF(101:101,I33,102:102)-SUMIF(101:101,C33,102:102)+100</f>
        <v>95</v>
      </c>
      <c r="K33" s="561">
        <v>5</v>
      </c>
      <c r="L33" s="2719"/>
      <c r="M33" s="2713"/>
      <c r="N33" s="2713"/>
      <c r="O33" s="2713"/>
      <c r="P33" s="3719" t="s">
        <v>1696</v>
      </c>
      <c r="Q33" s="1350" t="str">
        <f t="shared" si="11"/>
        <v>建筑类型</v>
      </c>
      <c r="R33" s="704" t="s">
        <v>14</v>
      </c>
      <c r="S33" s="705">
        <f t="shared" si="12"/>
        <v>95</v>
      </c>
      <c r="T33" s="704" t="s">
        <v>14</v>
      </c>
      <c r="U33" s="705">
        <f t="shared" si="13"/>
        <v>95</v>
      </c>
      <c r="V33" s="704" t="s">
        <v>14</v>
      </c>
      <c r="W33" s="705">
        <f t="shared" si="14"/>
        <v>95</v>
      </c>
      <c r="X33" s="1353"/>
      <c r="Y33" s="3722" t="s">
        <v>1696</v>
      </c>
      <c r="Z33" s="1354" t="str">
        <f t="shared" si="15"/>
        <v>建筑类型</v>
      </c>
      <c r="AA33" s="1351">
        <f t="shared" si="3"/>
        <v>1.0526315789473684</v>
      </c>
      <c r="AB33" s="1351">
        <f t="shared" si="4"/>
        <v>1.0526315789473684</v>
      </c>
      <c r="AC33" s="1960">
        <f t="shared" si="5"/>
        <v>1.0526315789473684</v>
      </c>
    </row>
    <row r="34" spans="1:29" s="422" customFormat="1" ht="15">
      <c r="A34" s="419"/>
      <c r="B34" s="375" t="s">
        <v>1697</v>
      </c>
      <c r="C34" s="420">
        <f>'数据-汇总表'!F19</f>
        <v>17193.62</v>
      </c>
      <c r="D34" s="127">
        <v>100</v>
      </c>
      <c r="E34" s="381">
        <v>91</v>
      </c>
      <c r="F34" s="376">
        <f>LOOKUP(E34,104:104,105:105)-LOOKUP(C34,104:104,105:105)+100</f>
        <v>100</v>
      </c>
      <c r="G34" s="380">
        <v>256</v>
      </c>
      <c r="H34" s="127">
        <f>LOOKUP(G34,104:104,105:105)-LOOKUP(C34,104:104,105:105)+100</f>
        <v>100</v>
      </c>
      <c r="I34" s="380">
        <v>65</v>
      </c>
      <c r="J34" s="127">
        <f>LOOKUP(I34,104:104,105:105)-LOOKUP(C34,104:104,105:105)+100</f>
        <v>100</v>
      </c>
      <c r="K34" s="562"/>
      <c r="L34" s="2718"/>
      <c r="M34" s="2720"/>
      <c r="N34" s="2720"/>
      <c r="O34" s="2720"/>
      <c r="P34" s="3720"/>
      <c r="Q34" s="706" t="str">
        <f t="shared" si="11"/>
        <v>项目建筑规模</v>
      </c>
      <c r="R34" s="707" t="s">
        <v>14</v>
      </c>
      <c r="S34" s="708">
        <f t="shared" si="12"/>
        <v>100</v>
      </c>
      <c r="T34" s="707" t="s">
        <v>14</v>
      </c>
      <c r="U34" s="708">
        <f t="shared" si="13"/>
        <v>100</v>
      </c>
      <c r="V34" s="707" t="s">
        <v>14</v>
      </c>
      <c r="W34" s="708">
        <f t="shared" si="14"/>
        <v>100</v>
      </c>
      <c r="X34" s="709"/>
      <c r="Y34" s="3722"/>
      <c r="Z34" s="710" t="str">
        <f t="shared" si="15"/>
        <v>项目建筑规模</v>
      </c>
      <c r="AA34" s="1351">
        <f t="shared" si="3"/>
        <v>1</v>
      </c>
      <c r="AB34" s="1351">
        <f t="shared" si="4"/>
        <v>1</v>
      </c>
      <c r="AC34" s="1960">
        <f t="shared" si="5"/>
        <v>1</v>
      </c>
    </row>
    <row r="35" spans="1:29" ht="15">
      <c r="A35" s="423"/>
      <c r="B35" s="375" t="s">
        <v>1698</v>
      </c>
      <c r="C35" s="3512" t="s">
        <v>3565</v>
      </c>
      <c r="D35" s="386">
        <v>100</v>
      </c>
      <c r="E35" s="3512" t="s">
        <v>3565</v>
      </c>
      <c r="F35" s="412">
        <f>SUMIF(106:106,E35,107:107)-SUMIF(106:106,C35,107:107)+100</f>
        <v>100</v>
      </c>
      <c r="G35" s="3512" t="s">
        <v>3565</v>
      </c>
      <c r="H35" s="386">
        <f>SUMIF(106:106,G35,107:107)-SUMIF(106:106,C35,107:107)+100</f>
        <v>100</v>
      </c>
      <c r="I35" s="3512" t="s">
        <v>3565</v>
      </c>
      <c r="J35" s="386">
        <f>SUMIF(106:106,I35,107:107)-SUMIF(106:106,C35,107:107)+100</f>
        <v>100</v>
      </c>
      <c r="K35" s="561"/>
      <c r="L35" s="2719"/>
      <c r="M35" s="2713"/>
      <c r="N35" s="2713"/>
      <c r="O35" s="2713"/>
      <c r="P35" s="3720"/>
      <c r="Q35" s="1350" t="str">
        <f t="shared" si="11"/>
        <v>建筑结构</v>
      </c>
      <c r="R35" s="704" t="s">
        <v>14</v>
      </c>
      <c r="S35" s="705">
        <f t="shared" si="12"/>
        <v>100</v>
      </c>
      <c r="T35" s="704" t="s">
        <v>14</v>
      </c>
      <c r="U35" s="705">
        <f t="shared" si="13"/>
        <v>100</v>
      </c>
      <c r="V35" s="704" t="s">
        <v>14</v>
      </c>
      <c r="W35" s="705">
        <f t="shared" si="14"/>
        <v>100</v>
      </c>
      <c r="X35" s="1353"/>
      <c r="Y35" s="3722"/>
      <c r="Z35" s="1354" t="str">
        <f t="shared" si="15"/>
        <v>建筑结构</v>
      </c>
      <c r="AA35" s="1351">
        <f t="shared" si="3"/>
        <v>1</v>
      </c>
      <c r="AB35" s="1351">
        <f t="shared" si="4"/>
        <v>1</v>
      </c>
      <c r="AC35" s="1960">
        <f t="shared" si="5"/>
        <v>1</v>
      </c>
    </row>
    <row r="36" spans="1:29" ht="15">
      <c r="A36" s="423"/>
      <c r="B36" s="375" t="s">
        <v>1785</v>
      </c>
      <c r="C36" s="3512" t="s">
        <v>3552</v>
      </c>
      <c r="D36" s="386">
        <v>100</v>
      </c>
      <c r="E36" s="3512" t="s">
        <v>3552</v>
      </c>
      <c r="F36" s="412">
        <f>SUMIF(108:108,E36,109:109)-SUMIF(108:108,C36,109:109)+100</f>
        <v>100</v>
      </c>
      <c r="G36" s="3512" t="s">
        <v>3552</v>
      </c>
      <c r="H36" s="386">
        <f>SUMIF(108:108,G36,109:109)-SUMIF(108:108,C36,109:109)+100</f>
        <v>100</v>
      </c>
      <c r="I36" s="3512" t="s">
        <v>3552</v>
      </c>
      <c r="J36" s="386">
        <f>SUMIF(108:108,I36,109:109)-SUMIF(108:108,C36,109:109)+100</f>
        <v>100</v>
      </c>
      <c r="K36" s="561"/>
      <c r="L36" s="2719"/>
      <c r="M36" s="2713"/>
      <c r="N36" s="2713"/>
      <c r="O36" s="2713"/>
      <c r="P36" s="3720"/>
      <c r="Q36" s="1350" t="str">
        <f t="shared" si="11"/>
        <v>公共部分装修</v>
      </c>
      <c r="R36" s="704" t="s">
        <v>14</v>
      </c>
      <c r="S36" s="705">
        <f t="shared" si="12"/>
        <v>100</v>
      </c>
      <c r="T36" s="704" t="s">
        <v>14</v>
      </c>
      <c r="U36" s="705">
        <f t="shared" si="13"/>
        <v>100</v>
      </c>
      <c r="V36" s="704" t="s">
        <v>14</v>
      </c>
      <c r="W36" s="705">
        <f t="shared" si="14"/>
        <v>100</v>
      </c>
      <c r="X36" s="1353"/>
      <c r="Y36" s="3722"/>
      <c r="Z36" s="1354" t="str">
        <f t="shared" si="15"/>
        <v>公共部分装修</v>
      </c>
      <c r="AA36" s="1351">
        <f t="shared" si="3"/>
        <v>1</v>
      </c>
      <c r="AB36" s="1351">
        <f t="shared" si="4"/>
        <v>1</v>
      </c>
      <c r="AC36" s="1960">
        <f t="shared" si="5"/>
        <v>1</v>
      </c>
    </row>
    <row r="37" spans="1:29" ht="15">
      <c r="A37" s="423"/>
      <c r="B37" s="375" t="s">
        <v>1786</v>
      </c>
      <c r="C37" s="425">
        <v>0.75</v>
      </c>
      <c r="D37" s="386">
        <v>100</v>
      </c>
      <c r="E37" s="425">
        <f>ROUND(1-(2023-E51)/60,2)</f>
        <v>0.8</v>
      </c>
      <c r="F37" s="412">
        <f>LOOKUP(E37,111:111,112:112)-LOOKUP(C37,111:111,112:112)+100</f>
        <v>101</v>
      </c>
      <c r="G37" s="425">
        <f>ROUND(1-(2023-G51)/60,2)</f>
        <v>0.87</v>
      </c>
      <c r="H37" s="412">
        <f>LOOKUP(G37,111:111,112:112)-LOOKUP(C37,111:111,112:112)+100</f>
        <v>101</v>
      </c>
      <c r="I37" s="425">
        <f>ROUND(1-(2023-I51)/60,2)</f>
        <v>0.87</v>
      </c>
      <c r="J37" s="386">
        <f>LOOKUP(I37,111:111,112:112)-LOOKUP(C37,111:111,112:112)+100</f>
        <v>101</v>
      </c>
      <c r="K37" s="561">
        <v>1</v>
      </c>
      <c r="L37" s="2719"/>
      <c r="M37" s="2713"/>
      <c r="N37" s="2713"/>
      <c r="O37" s="2713"/>
      <c r="P37" s="3720"/>
      <c r="Q37" s="1350" t="str">
        <f t="shared" si="11"/>
        <v>成新度</v>
      </c>
      <c r="R37" s="704" t="s">
        <v>14</v>
      </c>
      <c r="S37" s="705">
        <f t="shared" si="12"/>
        <v>101</v>
      </c>
      <c r="T37" s="704" t="s">
        <v>14</v>
      </c>
      <c r="U37" s="705">
        <f t="shared" si="13"/>
        <v>101</v>
      </c>
      <c r="V37" s="704" t="s">
        <v>14</v>
      </c>
      <c r="W37" s="705">
        <f t="shared" si="14"/>
        <v>101</v>
      </c>
      <c r="X37" s="1353"/>
      <c r="Y37" s="3722"/>
      <c r="Z37" s="1354" t="str">
        <f t="shared" si="15"/>
        <v>成新度</v>
      </c>
      <c r="AA37" s="1351">
        <f t="shared" si="3"/>
        <v>0.99009900990099009</v>
      </c>
      <c r="AB37" s="1351">
        <f t="shared" si="4"/>
        <v>0.99009900990099009</v>
      </c>
      <c r="AC37" s="1960">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0"/>
      <c r="Q38" s="1341"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0" t="s">
        <v>1696</v>
      </c>
      <c r="Q39" s="1350" t="str">
        <f t="shared" si="11"/>
        <v>物业管理</v>
      </c>
      <c r="R39" s="704" t="s">
        <v>14</v>
      </c>
      <c r="S39" s="705">
        <f t="shared" si="12"/>
        <v>100</v>
      </c>
      <c r="T39" s="704" t="s">
        <v>14</v>
      </c>
      <c r="U39" s="705">
        <f t="shared" si="13"/>
        <v>100</v>
      </c>
      <c r="V39" s="704" t="s">
        <v>14</v>
      </c>
      <c r="W39" s="705">
        <f t="shared" si="14"/>
        <v>100</v>
      </c>
      <c r="X39" s="1353"/>
      <c r="Y39" s="372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0"/>
      <c r="Q40" s="1350" t="str">
        <f t="shared" si="11"/>
        <v>市政基础设施</v>
      </c>
      <c r="R40" s="704" t="s">
        <v>14</v>
      </c>
      <c r="S40" s="705">
        <f t="shared" si="12"/>
        <v>100</v>
      </c>
      <c r="T40" s="704" t="s">
        <v>14</v>
      </c>
      <c r="U40" s="705">
        <f t="shared" si="13"/>
        <v>100</v>
      </c>
      <c r="V40" s="704" t="s">
        <v>14</v>
      </c>
      <c r="W40" s="705">
        <f t="shared" si="14"/>
        <v>100</v>
      </c>
      <c r="X40" s="1353"/>
      <c r="Y40" s="372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0"/>
      <c r="Q41" s="1350" t="str">
        <f t="shared" si="11"/>
        <v>层高</v>
      </c>
      <c r="R41" s="704" t="s">
        <v>14</v>
      </c>
      <c r="S41" s="705">
        <f t="shared" si="12"/>
        <v>100</v>
      </c>
      <c r="T41" s="704" t="s">
        <v>14</v>
      </c>
      <c r="U41" s="705">
        <f t="shared" si="13"/>
        <v>100</v>
      </c>
      <c r="V41" s="704" t="s">
        <v>14</v>
      </c>
      <c r="W41" s="705">
        <f t="shared" si="14"/>
        <v>100</v>
      </c>
      <c r="X41" s="1353"/>
      <c r="Y41" s="372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0"/>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1">
        <f t="shared" si="3"/>
        <v>1</v>
      </c>
      <c r="AB42" s="1351">
        <f t="shared" si="4"/>
        <v>1</v>
      </c>
      <c r="AC42" s="1960">
        <f t="shared" si="5"/>
        <v>1</v>
      </c>
    </row>
    <row r="43" spans="1:29" ht="15">
      <c r="A43" s="423"/>
      <c r="B43" s="375" t="s">
        <v>1792</v>
      </c>
      <c r="C43" s="3512" t="s">
        <v>3552</v>
      </c>
      <c r="D43" s="386">
        <v>100</v>
      </c>
      <c r="E43" s="3512" t="s">
        <v>3553</v>
      </c>
      <c r="F43" s="412">
        <f>SUMIF(123:123,E43,124:124)-SUMIF(123:123,C43,124:124)+100</f>
        <v>94</v>
      </c>
      <c r="G43" s="3512" t="s">
        <v>3553</v>
      </c>
      <c r="H43" s="386">
        <f>SUMIF(123:123,G43,124:124)-SUMIF(123:123,C43,124:124)+100</f>
        <v>94</v>
      </c>
      <c r="I43" s="3512" t="s">
        <v>3553</v>
      </c>
      <c r="J43" s="386">
        <f>SUMIF(123:123,I43,124:124)-SUMIF(123:123,C43,124:124)+100</f>
        <v>94</v>
      </c>
      <c r="K43" s="561">
        <v>3</v>
      </c>
      <c r="L43" s="2719"/>
      <c r="M43" s="2713"/>
      <c r="N43" s="2713"/>
      <c r="O43" s="2713"/>
      <c r="P43" s="3720"/>
      <c r="Q43" s="1350" t="str">
        <f t="shared" si="11"/>
        <v>内部装修</v>
      </c>
      <c r="R43" s="704" t="s">
        <v>14</v>
      </c>
      <c r="S43" s="705">
        <f t="shared" si="12"/>
        <v>94</v>
      </c>
      <c r="T43" s="704" t="s">
        <v>14</v>
      </c>
      <c r="U43" s="705">
        <f t="shared" si="13"/>
        <v>94</v>
      </c>
      <c r="V43" s="704" t="s">
        <v>14</v>
      </c>
      <c r="W43" s="705">
        <f t="shared" si="14"/>
        <v>94</v>
      </c>
      <c r="X43" s="1353"/>
      <c r="Y43" s="3722"/>
      <c r="Z43" s="1354" t="str">
        <f t="shared" si="15"/>
        <v>内部装修</v>
      </c>
      <c r="AA43" s="1351">
        <f t="shared" si="3"/>
        <v>1.0638297872340425</v>
      </c>
      <c r="AB43" s="1351">
        <f t="shared" si="4"/>
        <v>1.0638297872340425</v>
      </c>
      <c r="AC43" s="1960">
        <f t="shared" si="5"/>
        <v>1.0638297872340425</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20"/>
      <c r="Q44" s="1350" t="str">
        <f t="shared" si="11"/>
        <v>内部装修维护情况</v>
      </c>
      <c r="R44" s="704" t="s">
        <v>14</v>
      </c>
      <c r="S44" s="705">
        <f t="shared" si="12"/>
        <v>100</v>
      </c>
      <c r="T44" s="704" t="s">
        <v>14</v>
      </c>
      <c r="U44" s="705">
        <f t="shared" si="13"/>
        <v>100</v>
      </c>
      <c r="V44" s="704" t="s">
        <v>14</v>
      </c>
      <c r="W44" s="705">
        <f t="shared" si="14"/>
        <v>100</v>
      </c>
      <c r="X44" s="1353"/>
      <c r="Y44" s="3722"/>
      <c r="Z44" s="1354" t="str">
        <f t="shared" si="15"/>
        <v>内部装修维护情况</v>
      </c>
      <c r="AA44" s="1351">
        <f t="shared" si="3"/>
        <v>1</v>
      </c>
      <c r="AB44" s="1351">
        <f t="shared" si="4"/>
        <v>1</v>
      </c>
      <c r="AC44" s="1960">
        <f t="shared" si="5"/>
        <v>1</v>
      </c>
    </row>
    <row r="45" spans="1:29" s="108" customFormat="1" ht="15">
      <c r="A45" s="424"/>
      <c r="B45" s="3509" t="s">
        <v>3549</v>
      </c>
      <c r="C45" s="3510" t="s">
        <v>3550</v>
      </c>
      <c r="D45" s="127">
        <v>100</v>
      </c>
      <c r="E45" s="3511" t="s">
        <v>3551</v>
      </c>
      <c r="F45" s="376">
        <f>SUMIF(127:127,E45,128:128)-SUMIF(127:127,C45,128:128)+100</f>
        <v>103</v>
      </c>
      <c r="G45" s="3511" t="s">
        <v>3551</v>
      </c>
      <c r="H45" s="127">
        <f>SUMIF(127:127,G45,128:128)-SUMIF(127:127,C45,128:128)+100</f>
        <v>103</v>
      </c>
      <c r="I45" s="3511" t="s">
        <v>3551</v>
      </c>
      <c r="J45" s="127">
        <f>SUMIF(127:127,I45,128:128)-SUMIF(127:127,C45,128:128)+100</f>
        <v>103</v>
      </c>
      <c r="K45" s="562"/>
      <c r="L45" s="2714"/>
      <c r="M45" s="2715"/>
      <c r="N45" s="2715"/>
      <c r="O45" s="2715"/>
      <c r="P45" s="3720"/>
      <c r="Q45" s="1341" t="str">
        <f t="shared" si="11"/>
        <v>含地下</v>
      </c>
      <c r="R45" s="700" t="s">
        <v>14</v>
      </c>
      <c r="S45" s="701">
        <f t="shared" si="12"/>
        <v>103</v>
      </c>
      <c r="T45" s="700" t="s">
        <v>14</v>
      </c>
      <c r="U45" s="701">
        <f t="shared" si="13"/>
        <v>103</v>
      </c>
      <c r="V45" s="700" t="s">
        <v>14</v>
      </c>
      <c r="W45" s="701">
        <f t="shared" si="14"/>
        <v>103</v>
      </c>
      <c r="X45" s="702"/>
      <c r="Y45" s="3722"/>
      <c r="Z45" s="52" t="str">
        <f t="shared" si="15"/>
        <v>含地下</v>
      </c>
      <c r="AA45" s="703">
        <f t="shared" si="3"/>
        <v>0.970873786407767</v>
      </c>
      <c r="AB45" s="703">
        <f t="shared" si="4"/>
        <v>0.970873786407767</v>
      </c>
      <c r="AC45" s="1957">
        <f t="shared" si="5"/>
        <v>0.970873786407767</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0"/>
      <c r="Q46" s="1350">
        <f t="shared" si="11"/>
        <v>111</v>
      </c>
      <c r="R46" s="704" t="s">
        <v>14</v>
      </c>
      <c r="S46" s="705">
        <f t="shared" si="12"/>
        <v>100</v>
      </c>
      <c r="T46" s="704" t="s">
        <v>14</v>
      </c>
      <c r="U46" s="705">
        <f t="shared" si="13"/>
        <v>100</v>
      </c>
      <c r="V46" s="704" t="s">
        <v>14</v>
      </c>
      <c r="W46" s="705">
        <f t="shared" si="14"/>
        <v>100</v>
      </c>
      <c r="X46" s="1353"/>
      <c r="Y46" s="372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1"/>
      <c r="Q47" s="1350">
        <f t="shared" si="11"/>
        <v>111</v>
      </c>
      <c r="R47" s="704" t="s">
        <v>14</v>
      </c>
      <c r="S47" s="705">
        <f t="shared" si="12"/>
        <v>100</v>
      </c>
      <c r="T47" s="704" t="s">
        <v>14</v>
      </c>
      <c r="U47" s="705">
        <f t="shared" si="13"/>
        <v>100</v>
      </c>
      <c r="V47" s="704" t="s">
        <v>14</v>
      </c>
      <c r="W47" s="705">
        <f t="shared" si="14"/>
        <v>100</v>
      </c>
      <c r="X47" s="1353"/>
      <c r="Y47" s="3723"/>
      <c r="Z47" s="1354">
        <f t="shared" si="15"/>
        <v>111</v>
      </c>
      <c r="AA47" s="1351">
        <f t="shared" si="3"/>
        <v>1</v>
      </c>
      <c r="AB47" s="1351">
        <f t="shared" si="4"/>
        <v>1</v>
      </c>
      <c r="AC47" s="1960">
        <f t="shared" si="5"/>
        <v>1</v>
      </c>
    </row>
    <row r="48" spans="1:29" ht="15">
      <c r="A48" s="430" t="s">
        <v>1708</v>
      </c>
      <c r="B48" s="431"/>
      <c r="C48" s="1153" t="s">
        <v>0</v>
      </c>
      <c r="D48" s="1154"/>
      <c r="E48" s="1155">
        <v>11500</v>
      </c>
      <c r="F48" s="1156"/>
      <c r="G48" s="1157">
        <v>11500</v>
      </c>
      <c r="H48" s="1158"/>
      <c r="I48" s="1155">
        <v>13000</v>
      </c>
      <c r="J48" s="436"/>
      <c r="K48" s="713"/>
      <c r="L48" s="2721"/>
      <c r="M48" s="2713"/>
      <c r="N48" s="2713"/>
      <c r="O48" s="2713"/>
      <c r="P48" s="3725" t="str">
        <f>A48</f>
        <v>成交单价（元/平方米）</v>
      </c>
      <c r="Q48" s="3710"/>
      <c r="R48" s="3711">
        <f>E48</f>
        <v>11500</v>
      </c>
      <c r="S48" s="3711"/>
      <c r="T48" s="3711">
        <f>G48</f>
        <v>11500</v>
      </c>
      <c r="U48" s="3711"/>
      <c r="V48" s="3711">
        <f>I48</f>
        <v>13000</v>
      </c>
      <c r="W48" s="3711"/>
      <c r="X48" s="397"/>
      <c r="Y48" s="711"/>
      <c r="Z48" s="397"/>
      <c r="AA48" s="397"/>
      <c r="AB48" s="397"/>
      <c r="AC48" s="578"/>
    </row>
    <row r="49" spans="1:29" ht="15.75" thickBot="1">
      <c r="A49" s="437" t="s">
        <v>1793</v>
      </c>
      <c r="B49" s="438"/>
      <c r="C49" s="1159">
        <f>R50</f>
        <v>14331</v>
      </c>
      <c r="D49" s="2314" t="s">
        <v>2136</v>
      </c>
      <c r="E49" s="1160">
        <f>R49</f>
        <v>13734</v>
      </c>
      <c r="F49" s="2315"/>
      <c r="G49" s="1159">
        <f>T49</f>
        <v>13734</v>
      </c>
      <c r="H49" s="2315"/>
      <c r="I49" s="1160">
        <f>V49</f>
        <v>15526</v>
      </c>
      <c r="J49" s="2315"/>
      <c r="K49" s="2317">
        <f>F49+H49+J49</f>
        <v>0</v>
      </c>
      <c r="L49" s="2721"/>
      <c r="M49" s="2713"/>
      <c r="N49" s="2713"/>
      <c r="O49" s="2713"/>
      <c r="P49" s="3725" t="str">
        <f>A49</f>
        <v>比较价值（元/平方米）</v>
      </c>
      <c r="Q49" s="3710"/>
      <c r="R49" s="3711">
        <f>IF(F1="售价",ROUND(PRODUCT(R48,AA7:AA47),0),ROUND(PRODUCT(R48,AA7:AA47),1))</f>
        <v>13734</v>
      </c>
      <c r="S49" s="3711"/>
      <c r="T49" s="3711">
        <f>IF(F1="售价",ROUND(PRODUCT(T48,AB7:AB47),0),ROUND(PRODUCT(T48,AB7:AB47),1))</f>
        <v>13734</v>
      </c>
      <c r="U49" s="3711"/>
      <c r="V49" s="3711">
        <f>IF(F1="售价",ROUND(PRODUCT(V48,AC7:AC47),0),ROUND(PRODUCT(V48,AC7:AC47),1))</f>
        <v>15526</v>
      </c>
      <c r="W49" s="3711"/>
      <c r="X49" s="397"/>
      <c r="Y49" s="397"/>
      <c r="Z49" s="397"/>
      <c r="AA49" s="397"/>
      <c r="AB49" s="397"/>
      <c r="AC49" s="578"/>
    </row>
    <row r="50" spans="1:29" ht="15.75" thickBot="1">
      <c r="A50" s="441" t="s">
        <v>1794</v>
      </c>
      <c r="B50" s="442"/>
      <c r="C50" s="1162">
        <f>R50</f>
        <v>14331</v>
      </c>
      <c r="D50" s="1162"/>
      <c r="E50" s="1162"/>
      <c r="F50" s="1162"/>
      <c r="G50" s="1162"/>
      <c r="H50" s="1162"/>
      <c r="I50" s="1162"/>
      <c r="J50" s="443"/>
      <c r="K50" s="714"/>
      <c r="L50" s="2721"/>
      <c r="M50" s="2713"/>
      <c r="N50" s="2713"/>
      <c r="O50" s="2713"/>
      <c r="P50" s="3853" t="str">
        <f>A50</f>
        <v>估价对象XX用房的比较价值（楼面单价，元/平方米）</v>
      </c>
      <c r="Q50" s="3854"/>
      <c r="R50" s="3855">
        <f>IF(F1="售价",ROUND(IF(D49="简单平均",AVERAGE(R49:V49),R49*F49+T49*H49+V49*J49),0),ROUND(IF(D49="简单平均",AVERAGE(R49:V49),R49*F49+T49*H49+V49*J49),1))</f>
        <v>14331</v>
      </c>
      <c r="S50" s="3855"/>
      <c r="T50" s="3855"/>
      <c r="U50" s="3855"/>
      <c r="V50" s="3855"/>
      <c r="W50" s="3855"/>
      <c r="X50" s="1944"/>
      <c r="Y50" s="1944"/>
      <c r="Z50" s="1944"/>
      <c r="AA50" s="1944"/>
      <c r="AB50" s="1944"/>
      <c r="AC50" s="1945"/>
    </row>
    <row r="51" spans="1:29">
      <c r="A51" s="2722"/>
      <c r="B51" s="2722"/>
      <c r="C51" s="2722"/>
      <c r="D51" s="2722"/>
      <c r="E51" s="2722">
        <v>2011</v>
      </c>
      <c r="F51" s="2722"/>
      <c r="G51" s="3496">
        <v>2015</v>
      </c>
      <c r="H51" s="2722"/>
      <c r="I51" s="2722">
        <v>2015</v>
      </c>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0.19426086956521749</v>
      </c>
      <c r="F53" s="449" t="str">
        <f>IF(OR(E53&gt;=0.3,E53&lt;=-0.3),"超过30%","")</f>
        <v/>
      </c>
      <c r="G53" s="448">
        <f>IF(G48&lt;G49,G49/G48-1,G48/G49-1)</f>
        <v>0.19426086956521749</v>
      </c>
      <c r="H53" s="449" t="str">
        <f>IF(OR(G53&gt;=0.3,G53&lt;=-0.3),"超过30%","")</f>
        <v/>
      </c>
      <c r="I53" s="448">
        <f>IF(I48&lt;I49,I49/I48-1,I48/I49-1)</f>
        <v>0.19430769230769229</v>
      </c>
      <c r="J53" s="449" t="str">
        <f>IF(OR(I53&gt;=0.3,I53&lt;=-0.3),"超过30%","")</f>
        <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v>
      </c>
      <c r="F54" s="449" t="str">
        <f>IF(OR(E54&gt;=0.2,E54&lt;=-0.2),"超过20%","")</f>
        <v/>
      </c>
      <c r="G54" s="448">
        <f>IF(G49&lt;I49,I49/G49-1,G49/I49-1)</f>
        <v>0.13047910295616716</v>
      </c>
      <c r="H54" s="449" t="str">
        <f>IF(OR(G54&gt;=0.2,G54&lt;=-0.2),"超过20%","")</f>
        <v/>
      </c>
      <c r="I54" s="448">
        <f>IF(I49&lt;E49,E49/I49-1,I49/E49-1)</f>
        <v>0.13047910295616716</v>
      </c>
      <c r="J54" s="449" t="str">
        <f>IF(OR(I54&gt;=0.2,I54&lt;=-0.2),"超过20%","")</f>
        <v/>
      </c>
      <c r="K54" s="2727"/>
      <c r="L54" s="2723"/>
      <c r="M54" s="2722"/>
      <c r="N54" s="2722"/>
      <c r="O54" s="2722"/>
      <c r="P54" s="2752"/>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0.13043478260869557</v>
      </c>
      <c r="H55" s="449" t="str">
        <f>IF(OR(G55&gt;=0.3,G55&lt;=-0.3),"超过30%","")</f>
        <v/>
      </c>
      <c r="I55" s="448">
        <f>IF(I48&lt;E48,E48/I48-1,I48/E48-1)</f>
        <v>0.13043478260869557</v>
      </c>
      <c r="J55" s="449" t="str">
        <f>IF(OR(I55&gt;=0.3,I55&lt;=-0.3),"超过30%","")</f>
        <v/>
      </c>
      <c r="K55" s="2730"/>
      <c r="L55" s="2724"/>
      <c r="M55" s="2725"/>
      <c r="N55" s="2725"/>
      <c r="O55" s="2725"/>
      <c r="P55" s="2753"/>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6"/>
      <c r="R63" s="2658"/>
      <c r="S63" s="2658"/>
      <c r="T63" s="2658"/>
      <c r="U63" s="2658"/>
      <c r="V63" s="2658"/>
      <c r="W63" s="2658"/>
      <c r="X63" s="2658"/>
      <c r="Y63" s="2658"/>
      <c r="Z63" s="2658"/>
      <c r="AA63" s="2658"/>
      <c r="AB63" s="2658"/>
      <c r="AC63" s="2658"/>
    </row>
    <row r="64" spans="1:29">
      <c r="A64" s="476" t="s">
        <v>1719</v>
      </c>
      <c r="B64" s="477" t="s">
        <v>1685</v>
      </c>
      <c r="C64" s="478" t="str">
        <f>C9</f>
        <v>商业</v>
      </c>
      <c r="D64" s="3495" t="s">
        <v>3545</v>
      </c>
      <c r="E64" s="479"/>
      <c r="F64" s="479"/>
      <c r="G64" s="479"/>
      <c r="H64" s="479"/>
      <c r="I64" s="479"/>
      <c r="J64" s="479"/>
      <c r="K64" s="480"/>
      <c r="L64" s="481"/>
      <c r="M64" s="482"/>
      <c r="N64" s="2749"/>
      <c r="O64" s="2749"/>
      <c r="P64" s="2758"/>
      <c r="Q64" s="2736"/>
      <c r="R64" s="2722"/>
      <c r="S64" s="2722"/>
      <c r="T64" s="2722"/>
      <c r="U64" s="2722"/>
      <c r="V64" s="2722"/>
      <c r="W64" s="2722"/>
      <c r="X64" s="2722"/>
      <c r="Y64" s="2722"/>
      <c r="Z64" s="2722"/>
      <c r="AA64" s="2722"/>
      <c r="AB64" s="2722"/>
      <c r="AC64" s="2722"/>
    </row>
    <row r="65" spans="1:29" ht="15.75" thickBot="1">
      <c r="A65" s="483"/>
      <c r="B65" s="484"/>
      <c r="C65" s="485">
        <v>100</v>
      </c>
      <c r="D65" s="485">
        <v>85</v>
      </c>
      <c r="E65" s="485"/>
      <c r="F65" s="485"/>
      <c r="G65" s="485"/>
      <c r="H65" s="485"/>
      <c r="I65" s="485"/>
      <c r="J65" s="485"/>
      <c r="K65" s="485"/>
      <c r="L65" s="485"/>
      <c r="M65" s="486"/>
      <c r="N65" s="2750"/>
      <c r="O65" s="2750"/>
      <c r="P65" s="2758"/>
      <c r="Q65" s="2736"/>
      <c r="R65" s="2722"/>
      <c r="S65" s="2722"/>
      <c r="T65" s="2722"/>
      <c r="U65" s="2722"/>
      <c r="V65" s="2722"/>
      <c r="W65" s="2722"/>
      <c r="X65" s="2722"/>
      <c r="Y65" s="2722"/>
      <c r="Z65" s="2722"/>
      <c r="AA65" s="2722"/>
      <c r="AB65" s="2722"/>
      <c r="AC65" s="2722"/>
    </row>
    <row r="66" spans="1:29" ht="27.75" thickTop="1">
      <c r="A66" s="483"/>
      <c r="B66" s="487" t="s">
        <v>1688</v>
      </c>
      <c r="C66" s="532" t="s">
        <v>3556</v>
      </c>
      <c r="D66" s="532" t="s">
        <v>3557</v>
      </c>
      <c r="E66" s="532" t="s">
        <v>3558</v>
      </c>
      <c r="F66" s="3498" t="s">
        <v>3559</v>
      </c>
      <c r="G66" s="532" t="s">
        <v>3560</v>
      </c>
      <c r="H66" s="532"/>
      <c r="I66" s="532"/>
      <c r="J66" s="532"/>
      <c r="K66" s="532"/>
      <c r="L66" s="534"/>
      <c r="M66" s="535"/>
      <c r="N66" s="2749"/>
      <c r="O66" s="2749"/>
      <c r="P66" s="2758"/>
      <c r="Q66" s="2736"/>
      <c r="R66" s="2722"/>
      <c r="S66" s="2722"/>
      <c r="T66" s="2722"/>
      <c r="U66" s="2722"/>
      <c r="V66" s="2722"/>
      <c r="W66" s="2722"/>
      <c r="X66" s="2722"/>
      <c r="Y66" s="2722"/>
      <c r="Z66" s="2722"/>
      <c r="AA66" s="2722"/>
      <c r="AB66" s="2722"/>
      <c r="AC66" s="2722"/>
    </row>
    <row r="67" spans="1:29" ht="15.75" thickBot="1">
      <c r="A67" s="483"/>
      <c r="B67" s="492"/>
      <c r="C67" s="485">
        <v>100</v>
      </c>
      <c r="D67" s="485">
        <v>98</v>
      </c>
      <c r="E67" s="485">
        <v>96</v>
      </c>
      <c r="F67" s="485">
        <v>94</v>
      </c>
      <c r="G67" s="485">
        <v>92</v>
      </c>
      <c r="H67" s="485"/>
      <c r="I67" s="485"/>
      <c r="J67" s="485"/>
      <c r="K67" s="485"/>
      <c r="L67" s="485"/>
      <c r="M67" s="486"/>
      <c r="N67" s="2750"/>
      <c r="O67" s="2750"/>
      <c r="P67" s="2758"/>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49"/>
      <c r="O69" s="2749"/>
      <c r="P69" s="2758"/>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6"/>
      <c r="R86" s="2722"/>
      <c r="S86" s="2722"/>
      <c r="T86" s="2722"/>
      <c r="U86" s="2722"/>
      <c r="V86" s="2722"/>
      <c r="W86" s="2722"/>
      <c r="X86" s="2722"/>
      <c r="Y86" s="2722"/>
      <c r="Z86" s="2722"/>
      <c r="AA86" s="2722"/>
      <c r="AB86" s="2722"/>
      <c r="AC86" s="2722"/>
    </row>
    <row r="87" spans="1:29" s="108" customFormat="1" ht="27.75" thickTop="1">
      <c r="A87" s="528"/>
      <c r="B87" s="487" t="s">
        <v>1823</v>
      </c>
      <c r="C87" s="3507" t="s">
        <v>3561</v>
      </c>
      <c r="D87" s="3507" t="s">
        <v>3562</v>
      </c>
      <c r="E87" s="503"/>
      <c r="F87" s="503"/>
      <c r="G87" s="503"/>
      <c r="H87" s="503"/>
      <c r="I87" s="503"/>
      <c r="J87" s="503"/>
      <c r="K87" s="503"/>
      <c r="L87" s="529"/>
      <c r="M87" s="530"/>
      <c r="N87" s="2748"/>
      <c r="O87" s="2748"/>
      <c r="P87" s="2758"/>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0"/>
      <c r="O94" s="2750"/>
      <c r="P94" s="2758"/>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0"/>
      <c r="O96" s="2750"/>
      <c r="P96" s="2758"/>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49"/>
      <c r="O97" s="2749"/>
      <c r="P97" s="2758"/>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0"/>
      <c r="O98" s="2750"/>
      <c r="P98" s="2758"/>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49"/>
      <c r="O99" s="2749"/>
      <c r="P99" s="2758"/>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0"/>
      <c r="O100" s="2750"/>
      <c r="P100" s="2758"/>
      <c r="Q100" s="2736"/>
      <c r="R100" s="2722"/>
      <c r="S100" s="2722"/>
      <c r="T100" s="2722"/>
      <c r="U100" s="2722"/>
      <c r="V100" s="2722"/>
      <c r="W100" s="2722"/>
      <c r="X100" s="2722"/>
      <c r="Y100" s="2722"/>
      <c r="Z100" s="2722"/>
      <c r="AA100" s="2722"/>
      <c r="AB100" s="2722"/>
      <c r="AC100" s="2722"/>
    </row>
    <row r="101" spans="1:29">
      <c r="A101" s="476" t="s">
        <v>1694</v>
      </c>
      <c r="B101" s="477" t="s">
        <v>1736</v>
      </c>
      <c r="C101" s="3495" t="s">
        <v>3563</v>
      </c>
      <c r="D101" s="3495" t="s">
        <v>3564</v>
      </c>
      <c r="E101" s="479"/>
      <c r="F101" s="479"/>
      <c r="G101" s="479"/>
      <c r="H101" s="479"/>
      <c r="I101" s="479"/>
      <c r="J101" s="479"/>
      <c r="K101" s="480"/>
      <c r="L101" s="481"/>
      <c r="M101" s="482"/>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0"/>
      <c r="O102" s="2750"/>
      <c r="P102" s="2758"/>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0(含)-20000</v>
      </c>
      <c r="D103" s="527" t="str">
        <f t="shared" ref="D103:L103" si="23">D104&amp;"(含)"&amp;"-"&amp;E104</f>
        <v>20000(含)-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20000</v>
      </c>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49"/>
      <c r="O108" s="2749"/>
      <c r="P108" s="2758"/>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49"/>
      <c r="O117" s="2749"/>
      <c r="P117" s="2758"/>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507" t="s">
        <v>3552</v>
      </c>
      <c r="D123" s="3507" t="s">
        <v>3554</v>
      </c>
      <c r="E123" s="3507" t="s">
        <v>3553</v>
      </c>
      <c r="F123" s="3513" t="s">
        <v>3555</v>
      </c>
      <c r="G123" s="532"/>
      <c r="H123" s="532"/>
      <c r="I123" s="532"/>
      <c r="J123" s="532"/>
      <c r="K123" s="533"/>
      <c r="L123" s="534"/>
      <c r="M123" s="535"/>
      <c r="N123" s="2749"/>
      <c r="O123" s="2749"/>
      <c r="P123" s="2758"/>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0"/>
      <c r="O124" s="2750"/>
      <c r="P124" s="2758"/>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含地下</v>
      </c>
      <c r="C127" s="3507" t="s">
        <v>3550</v>
      </c>
      <c r="D127" s="3507" t="s">
        <v>3551</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103</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0"/>
      <c r="O130" s="2750"/>
      <c r="P130" s="2758"/>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49"/>
      <c r="O131" s="2749"/>
      <c r="P131" s="2758"/>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A98" sqref="A98"/>
    </sheetView>
  </sheetViews>
  <sheetFormatPr defaultRowHeight="13.5"/>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3" t="s">
        <v>949</v>
      </c>
      <c r="B1" s="3553"/>
      <c r="C1" s="3553"/>
      <c r="D1" s="3553"/>
    </row>
    <row r="2" spans="1:4" ht="18">
      <c r="A2" s="3554" t="s">
        <v>933</v>
      </c>
      <c r="B2" s="3554"/>
      <c r="C2" s="3554"/>
      <c r="D2" s="3554"/>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54" t="s">
        <v>939</v>
      </c>
      <c r="B6" s="3554"/>
      <c r="C6" s="3554"/>
      <c r="D6" s="3554"/>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55" t="s">
        <v>942</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47" t="str">
        <f>IF(项目基本情况!B8="抵押","4.本次评估估价师所知悉的法定优先受偿款情况说明如下：","——")</f>
        <v>4.本次评估估价师所知悉的法定优先受偿款情况说明如下：</v>
      </c>
      <c r="B14" s="3552"/>
      <c r="C14" s="3552"/>
      <c r="D14" s="3552"/>
    </row>
    <row r="15" spans="1:4" ht="42" customHeight="1">
      <c r="A15" s="35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49" t="s">
        <v>943</v>
      </c>
      <c r="B16" s="3549"/>
      <c r="C16" s="3549"/>
      <c r="D16" s="3549"/>
    </row>
    <row r="17" spans="1:4" ht="144" customHeight="1">
      <c r="A17" s="3549" t="s">
        <v>944</v>
      </c>
      <c r="B17" s="3549"/>
      <c r="C17" s="3549"/>
      <c r="D17" s="3549"/>
    </row>
    <row r="18" spans="1:4" ht="15.75" customHeight="1">
      <c r="A18" s="3547" t="str">
        <f>IF(项目基本情况!B8="抵押",结果表!K120,"——")</f>
        <v>故，本次评估不存在估价师知悉的法定优先受偿款</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945</v>
      </c>
      <c r="B22" s="3551"/>
      <c r="C22" s="3551"/>
      <c r="D22" s="355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8">
        <v>42551</v>
      </c>
      <c r="D31" s="35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1" t="s">
        <v>956</v>
      </c>
      <c r="B15" s="3556" t="s">
        <v>109</v>
      </c>
      <c r="C15" s="3557"/>
    </row>
    <row r="16" spans="1:7" ht="13.5">
      <c r="A16" s="3562"/>
      <c r="B16" s="3556" t="s">
        <v>42</v>
      </c>
      <c r="C16" s="3557"/>
    </row>
    <row r="17" spans="1:3" ht="13.5">
      <c r="A17" s="3562"/>
      <c r="B17" s="3559" t="s">
        <v>957</v>
      </c>
      <c r="C17" s="1530" t="s">
        <v>956</v>
      </c>
    </row>
    <row r="18" spans="1:3" ht="13.5">
      <c r="A18" s="3562"/>
      <c r="B18" s="3559"/>
      <c r="C18" s="1530" t="s">
        <v>958</v>
      </c>
    </row>
    <row r="19" spans="1:3" ht="13.5">
      <c r="A19" s="3562"/>
      <c r="B19" s="3559"/>
      <c r="C19" s="1530" t="s">
        <v>959</v>
      </c>
    </row>
    <row r="20" spans="1:3" ht="13.5">
      <c r="A20" s="3563"/>
      <c r="B20" s="3558" t="s">
        <v>960</v>
      </c>
      <c r="C20" s="3557"/>
    </row>
    <row r="21" spans="1:3" ht="13.5">
      <c r="A21" s="1531" t="s">
        <v>961</v>
      </c>
      <c r="B21" s="1532"/>
      <c r="C21" s="1533"/>
    </row>
    <row r="22" spans="1:3" ht="13.5">
      <c r="A22" s="3560" t="s">
        <v>962</v>
      </c>
      <c r="B22" s="3558" t="s">
        <v>963</v>
      </c>
      <c r="C22" s="3557"/>
    </row>
    <row r="23" spans="1:3" ht="13.5">
      <c r="A23" s="3560"/>
      <c r="B23" s="3558" t="s">
        <v>964</v>
      </c>
      <c r="C23" s="3557"/>
    </row>
    <row r="24" spans="1:3" ht="13.5">
      <c r="A24" s="3560"/>
      <c r="B24" s="3558" t="s">
        <v>965</v>
      </c>
      <c r="C24" s="3557"/>
    </row>
    <row r="25" spans="1:3" ht="13.5">
      <c r="A25" s="3560"/>
      <c r="B25" s="3559" t="s">
        <v>966</v>
      </c>
      <c r="C25" s="1530" t="s">
        <v>967</v>
      </c>
    </row>
    <row r="26" spans="1:3" ht="13.5">
      <c r="A26" s="3560"/>
      <c r="B26" s="3559"/>
      <c r="C26" s="1530" t="s">
        <v>968</v>
      </c>
    </row>
    <row r="27" spans="1:3" ht="13.5">
      <c r="A27" s="3560"/>
      <c r="B27" s="3559"/>
      <c r="C27" s="1530" t="s">
        <v>969</v>
      </c>
    </row>
    <row r="28" spans="1:3" ht="13.5">
      <c r="A28" s="3560"/>
      <c r="B28" s="3559"/>
      <c r="C28" s="1530" t="s">
        <v>970</v>
      </c>
    </row>
    <row r="29" spans="1:3" ht="13.5">
      <c r="A29" s="3560"/>
      <c r="B29" s="3559"/>
      <c r="C29" s="1530" t="s">
        <v>971</v>
      </c>
    </row>
    <row r="30" spans="1:3" ht="13.5">
      <c r="A30" s="3560"/>
      <c r="B30" s="3559"/>
      <c r="C30" s="1530" t="s">
        <v>972</v>
      </c>
    </row>
    <row r="31" spans="1:3" ht="13.5">
      <c r="A31" s="3560"/>
      <c r="B31" s="3559"/>
      <c r="C31" s="1530" t="s">
        <v>973</v>
      </c>
    </row>
    <row r="32" spans="1:3" ht="13.5">
      <c r="A32" s="3560"/>
      <c r="B32" s="3559"/>
      <c r="C32" s="1530" t="s">
        <v>974</v>
      </c>
    </row>
    <row r="33" spans="1:3" ht="13.5">
      <c r="A33" s="3560"/>
      <c r="B33" s="355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45071</v>
      </c>
      <c r="C2" s="2337" t="s">
        <v>2138</v>
      </c>
      <c r="D2" s="2337"/>
      <c r="E2" s="2337"/>
      <c r="F2" s="2333"/>
      <c r="G2" s="2333"/>
      <c r="H2" s="2333"/>
    </row>
    <row r="3" spans="1:8" ht="24" customHeight="1">
      <c r="A3" s="2338" t="s">
        <v>2139</v>
      </c>
      <c r="B3" s="2339" t="s">
        <v>2140</v>
      </c>
      <c r="C3" s="2339" t="s">
        <v>2141</v>
      </c>
      <c r="D3" s="2340" t="s">
        <v>2142</v>
      </c>
      <c r="E3" s="2341" t="s">
        <v>2143</v>
      </c>
      <c r="F3" s="1302" t="s">
        <v>2144</v>
      </c>
      <c r="G3" s="2339" t="s">
        <v>2141</v>
      </c>
      <c r="H3" s="2340" t="s">
        <v>2145</v>
      </c>
    </row>
    <row r="4" spans="1:8" ht="24" customHeight="1">
      <c r="A4" s="1302" t="s">
        <v>2146</v>
      </c>
      <c r="B4" s="1302">
        <f ca="1">IF(C4&lt;B2,"已过期",1119970066)</f>
        <v>1119970066</v>
      </c>
      <c r="C4" s="2342">
        <v>45937</v>
      </c>
      <c r="D4" s="2343" t="str">
        <f ca="1">A4&amp;"（注册号："&amp;B4&amp;"）"</f>
        <v>梁津（注册号：1119970066）</v>
      </c>
      <c r="E4" s="2344" t="s">
        <v>2146</v>
      </c>
      <c r="F4" s="1302">
        <f ca="1">IF(G4&lt;B2,"已过期",96010014)</f>
        <v>96010014</v>
      </c>
      <c r="G4" s="2345">
        <v>47118</v>
      </c>
      <c r="H4" s="2346" t="str">
        <f ca="1">E4&amp;"（注册号："&amp;F4&amp;"）"</f>
        <v>梁津（注册号：96010014）</v>
      </c>
    </row>
    <row r="5" spans="1:8" ht="24" customHeight="1">
      <c r="A5" s="1302" t="s">
        <v>2147</v>
      </c>
      <c r="B5" s="1302">
        <f ca="1">IF(C5&lt;B2,"已过期",1119970111)</f>
        <v>1119970111</v>
      </c>
      <c r="C5" s="2342">
        <v>45937</v>
      </c>
      <c r="D5" s="2343" t="str">
        <f t="shared" ref="D5:D15" ca="1" si="0">A5&amp;"（注册号："&amp;B5&amp;"）"</f>
        <v>叶凌（注册号：1119970111）</v>
      </c>
      <c r="E5" s="2344" t="s">
        <v>2147</v>
      </c>
      <c r="F5" s="1302">
        <f ca="1">IF(G5&lt;B2,"已过期",94010078)</f>
        <v>94010078</v>
      </c>
      <c r="G5" s="2345">
        <v>46387</v>
      </c>
      <c r="H5" s="2346" t="str">
        <f t="shared" ref="H5:H16" ca="1" si="1">E5&amp;"（注册号："&amp;F5&amp;"）"</f>
        <v>叶凌（注册号：94010078）</v>
      </c>
    </row>
    <row r="6" spans="1:8" ht="24" customHeight="1">
      <c r="A6" s="1302" t="s">
        <v>2148</v>
      </c>
      <c r="B6" s="1302">
        <f ca="1">IF(C6&lt;B2,"已过期",1120050019)</f>
        <v>1120050019</v>
      </c>
      <c r="C6" s="2342">
        <v>45410</v>
      </c>
      <c r="D6" s="2343" t="str">
        <f t="shared" ca="1" si="0"/>
        <v>王鹏（注册号：1120050019）</v>
      </c>
      <c r="E6" s="2344" t="s">
        <v>2148</v>
      </c>
      <c r="F6" s="1302">
        <f ca="1">IF(G6&lt;B2,"已过期",2002110030)</f>
        <v>2002110030</v>
      </c>
      <c r="G6" s="2345">
        <v>46387</v>
      </c>
      <c r="H6" s="2346" t="str">
        <f t="shared" ca="1" si="1"/>
        <v>王鹏（注册号：2002110030）</v>
      </c>
    </row>
    <row r="7" spans="1:8" ht="24" customHeight="1">
      <c r="A7" s="1302" t="s">
        <v>2149</v>
      </c>
      <c r="B7" s="1302">
        <f ca="1">IF(C7&lt;B2,"已过期",1120000080)</f>
        <v>1120000080</v>
      </c>
      <c r="C7" s="2342">
        <v>45937</v>
      </c>
      <c r="D7" s="2343" t="str">
        <f t="shared" ca="1" si="0"/>
        <v>欧红伟（注册号：1120000080）</v>
      </c>
      <c r="E7" s="2344" t="s">
        <v>2149</v>
      </c>
      <c r="F7" s="1302">
        <f ca="1">IF(G7&lt;B2,"已过期",2000110082)</f>
        <v>2000110082</v>
      </c>
      <c r="G7" s="2345">
        <v>46387</v>
      </c>
      <c r="H7" s="2346" t="str">
        <f t="shared" ca="1" si="1"/>
        <v>欧红伟（注册号：2000110082）</v>
      </c>
    </row>
    <row r="8" spans="1:8" ht="24" customHeight="1">
      <c r="A8" s="1302" t="s">
        <v>2150</v>
      </c>
      <c r="B8" s="1302">
        <f ca="1">IF(C8&lt;B2,"已过期",1419970001)</f>
        <v>1419970001</v>
      </c>
      <c r="C8" s="2342">
        <v>45937</v>
      </c>
      <c r="D8" s="2343" t="str">
        <f t="shared" ca="1" si="0"/>
        <v>吴薇（注册号：1419970001）</v>
      </c>
      <c r="E8" s="2344" t="s">
        <v>2150</v>
      </c>
      <c r="F8" s="1302">
        <f ca="1">IF(G8&lt;B2,"已过期",2002110125)</f>
        <v>2002110125</v>
      </c>
      <c r="G8" s="2345">
        <v>47118</v>
      </c>
      <c r="H8" s="2346" t="str">
        <f t="shared" ca="1" si="1"/>
        <v>吴薇（注册号：2002110125）</v>
      </c>
    </row>
    <row r="9" spans="1:8" ht="24" customHeight="1">
      <c r="A9" s="1302" t="s">
        <v>2151</v>
      </c>
      <c r="B9" s="1302">
        <f ca="1">IF(C9&lt;B2,"已过期",1120060040)</f>
        <v>1120060040</v>
      </c>
      <c r="C9" s="2347">
        <v>45592</v>
      </c>
      <c r="D9" s="2343" t="str">
        <f t="shared" ca="1" si="0"/>
        <v>陈颖（注册号：1120060040）</v>
      </c>
      <c r="E9" s="2344" t="s">
        <v>2151</v>
      </c>
      <c r="F9" s="1302">
        <f ca="1">IF(G9&lt;B2,"已过期",2004110096)</f>
        <v>2004110096</v>
      </c>
      <c r="G9" s="2345">
        <v>47118</v>
      </c>
      <c r="H9" s="2346" t="str">
        <f t="shared" ca="1" si="1"/>
        <v>陈颖（注册号：2004110096）</v>
      </c>
    </row>
    <row r="10" spans="1:8" ht="24" customHeight="1">
      <c r="A10" s="1302" t="s">
        <v>2152</v>
      </c>
      <c r="B10" s="1302">
        <f ca="1">IF(C10&lt;B2,"已过期",1120100036)</f>
        <v>1120100036</v>
      </c>
      <c r="C10" s="2347">
        <v>45752</v>
      </c>
      <c r="D10" s="2343" t="str">
        <f t="shared" ca="1" si="0"/>
        <v>崔锴（注册号：1120100036）</v>
      </c>
      <c r="E10" s="2344" t="s">
        <v>2152</v>
      </c>
      <c r="F10" s="1302">
        <f ca="1">IF(G10&lt;B2,"已过期",2010110070)</f>
        <v>2010110070</v>
      </c>
      <c r="G10" s="2345">
        <v>47907</v>
      </c>
      <c r="H10" s="2346" t="str">
        <f t="shared" ca="1" si="1"/>
        <v>崔锴（注册号：2010110070）</v>
      </c>
    </row>
    <row r="11" spans="1:8" ht="24" customHeight="1">
      <c r="A11" s="1302" t="s">
        <v>2153</v>
      </c>
      <c r="B11" s="1302">
        <f ca="1">IF(C11&lt;B2,"已过期",1120070131)</f>
        <v>1120070131</v>
      </c>
      <c r="C11" s="2342">
        <v>45937</v>
      </c>
      <c r="D11" s="2343" t="str">
        <f t="shared" ca="1" si="0"/>
        <v>郑燚（注册号：1120070131）</v>
      </c>
      <c r="E11" s="2344" t="s">
        <v>2153</v>
      </c>
      <c r="F11" s="1302">
        <f ca="1">IF(G11&lt;B2,"已过期",2014110011)</f>
        <v>2014110011</v>
      </c>
      <c r="G11" s="2345">
        <v>49302</v>
      </c>
      <c r="H11" s="2346" t="str">
        <f t="shared" ca="1" si="1"/>
        <v>郑燚（注册号：2014110011）</v>
      </c>
    </row>
    <row r="12" spans="1:8" ht="24" customHeight="1">
      <c r="A12" s="1302" t="s">
        <v>2154</v>
      </c>
      <c r="B12" s="1302">
        <f ca="1">IF(C12&lt;B2,"已过期",1120040230)</f>
        <v>1120040230</v>
      </c>
      <c r="C12" s="2347">
        <v>45937</v>
      </c>
      <c r="D12" s="2343" t="str">
        <f t="shared" ca="1" si="0"/>
        <v>苏海（注册号：1120040230）</v>
      </c>
      <c r="E12" s="2344" t="s">
        <v>2154</v>
      </c>
      <c r="F12" s="1302">
        <f ca="1">IF(G12&lt;B2,"已过期",98030020)</f>
        <v>98030020</v>
      </c>
      <c r="G12" s="2345">
        <v>47118</v>
      </c>
      <c r="H12" s="2346" t="str">
        <f t="shared" ca="1" si="1"/>
        <v>苏海（注册号：98030020）</v>
      </c>
    </row>
    <row r="13" spans="1:8" ht="24" customHeight="1">
      <c r="A13" s="1302" t="s">
        <v>2155</v>
      </c>
      <c r="B13" s="1302">
        <f ca="1">IF(C13&lt;B2,"已过期",1120020033)</f>
        <v>1120020033</v>
      </c>
      <c r="C13" s="2342">
        <v>45375</v>
      </c>
      <c r="D13" s="2343" t="str">
        <f t="shared" ca="1" si="0"/>
        <v>刘敬东（注册号：1120020033）</v>
      </c>
      <c r="E13" s="2344" t="s">
        <v>2155</v>
      </c>
      <c r="F13" s="1302">
        <f ca="1">IF(G13&lt;B2,"已过期",2000110137)</f>
        <v>2000110137</v>
      </c>
      <c r="G13" s="2345">
        <v>46387</v>
      </c>
      <c r="H13" s="2346" t="str">
        <f t="shared" ca="1" si="1"/>
        <v>刘敬东（注册号：2000110137）</v>
      </c>
    </row>
    <row r="14" spans="1:8" ht="24" customHeight="1">
      <c r="A14" s="1302" t="s">
        <v>2156</v>
      </c>
      <c r="B14" s="1302" t="str">
        <f ca="1">IF(C14&lt;B2,"已过期",1119980106)</f>
        <v>已过期</v>
      </c>
      <c r="C14" s="2347">
        <v>44969</v>
      </c>
      <c r="D14" s="2343" t="str">
        <f t="shared" ca="1" si="0"/>
        <v>刘俊财（注册号：已过期）</v>
      </c>
      <c r="E14" s="2344" t="s">
        <v>2156</v>
      </c>
      <c r="F14" s="1302">
        <f ca="1">IF(G14&lt;B2,"已过期",96010063)</f>
        <v>96010063</v>
      </c>
      <c r="G14" s="2345">
        <v>47483</v>
      </c>
      <c r="H14" s="2346" t="str">
        <f t="shared" ca="1" si="1"/>
        <v>刘俊财（注册号：96010063）</v>
      </c>
    </row>
    <row r="15" spans="1:8" ht="24" customHeight="1">
      <c r="A15" s="1302" t="s">
        <v>2438</v>
      </c>
      <c r="B15" s="1302">
        <v>1120210056</v>
      </c>
      <c r="C15" s="2347">
        <v>45410</v>
      </c>
      <c r="D15" s="2343" t="str">
        <f t="shared" si="0"/>
        <v>宁小鳗（注册号：1120210056）</v>
      </c>
      <c r="E15" s="2344" t="s">
        <v>2157</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64" t="s">
        <v>2158</v>
      </c>
      <c r="B17" s="3564"/>
      <c r="C17" s="3564"/>
      <c r="D17" s="3564"/>
      <c r="E17" s="3564"/>
      <c r="F17" s="3564"/>
      <c r="G17" s="3564"/>
      <c r="H17" s="3564"/>
    </row>
    <row r="18" spans="1:8" ht="24" customHeight="1">
      <c r="A18" s="3565" t="s">
        <v>2159</v>
      </c>
      <c r="B18" s="3565"/>
      <c r="C18" s="3565"/>
      <c r="D18" s="2340"/>
      <c r="E18" s="3566" t="s">
        <v>2160</v>
      </c>
      <c r="F18" s="3565"/>
      <c r="G18" s="3565"/>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Sheet4</vt:lpstr>
      <vt:lpstr>成本法</vt:lpstr>
      <vt:lpstr>成本法 (元)</vt:lpstr>
      <vt:lpstr>假设开发法</vt:lpstr>
      <vt:lpstr>土地比较法-住宅、综合</vt:lpstr>
      <vt:lpstr>土地案例</vt:lpstr>
      <vt:lpstr>收益法 (元)</vt:lpstr>
      <vt:lpstr>收益法-酒店模型</vt:lpstr>
      <vt:lpstr>Sheet1</vt:lpstr>
      <vt:lpstr>典型户型修正</vt:lpstr>
      <vt:lpstr>收益法（汇总）</vt:lpstr>
      <vt:lpstr>收益法</vt:lpstr>
      <vt:lpstr>基准地价修正</vt:lpstr>
      <vt:lpstr>收益法-办公</vt:lpstr>
      <vt:lpstr>收益法-车库</vt:lpstr>
      <vt:lpstr>比较法-住宅</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2023-05-25T03:25:17Z</dcterms:modified>
</cp:coreProperties>
</file>