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r:id="rId20"/>
    <sheet name="收益法-自持" sheetId="80" r:id="rId21"/>
    <sheet name="收益法-车位"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7" r:id="rId47"/>
    <sheet name="Sheet2" sheetId="79"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3">'收益法（汇总）'!$A$1:$F$13</definedName>
    <definedName name="_xlnm.Print_Area" localSheetId="21">'收益法-车位'!$A$1:$F$43,'收益法-车位'!$H$3:$M$29,'收益法-车位'!$A$46:$F$71,'收益法-车位'!$I$46:$N$65</definedName>
    <definedName name="_xlnm.Print_Area" localSheetId="20">'收益法-自持'!$A$1:$F$43,'收益法-自持'!$H$3:$M$29,'收益法-自持'!$A$46:$F$71,'收益法-自持'!$I$46:$N$65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AT35" i="3"/>
  <c r="AD28" i="3"/>
  <c r="J34" i="3"/>
  <c r="J31" i="3"/>
  <c r="J30" i="3"/>
  <c r="J29" i="3"/>
  <c r="J20" i="3"/>
  <c r="J21" i="3"/>
  <c r="J22" i="3"/>
  <c r="J23" i="3"/>
  <c r="J24" i="3"/>
  <c r="J25" i="3"/>
  <c r="J19" i="3"/>
  <c r="J17" i="3"/>
  <c r="J18" i="3"/>
  <c r="J16" i="3"/>
  <c r="J15" i="3"/>
  <c r="J14" i="3"/>
  <c r="J13" i="3"/>
  <c r="K37" i="3"/>
  <c r="K38" i="3"/>
  <c r="K39" i="3"/>
  <c r="K40" i="3"/>
  <c r="K36" i="3"/>
  <c r="I30" i="3"/>
  <c r="I31" i="3"/>
  <c r="I32" i="3"/>
  <c r="I33" i="3"/>
  <c r="I34" i="3"/>
  <c r="I29" i="3"/>
  <c r="I14" i="3"/>
  <c r="I15" i="3"/>
  <c r="I16" i="3"/>
  <c r="I17" i="3"/>
  <c r="I18" i="3"/>
  <c r="I19" i="3"/>
  <c r="I20" i="3"/>
  <c r="I21" i="3"/>
  <c r="I22" i="3"/>
  <c r="I23" i="3"/>
  <c r="I24" i="3"/>
  <c r="I25" i="3"/>
  <c r="I13" i="3"/>
  <c r="B35" i="77" l="1"/>
  <c r="M26" i="3"/>
  <c r="F24" i="77" l="1"/>
  <c r="F23" i="77"/>
  <c r="L16" i="79"/>
  <c r="L14" i="79"/>
  <c r="K25" i="79"/>
  <c r="K24" i="79"/>
  <c r="K23" i="79"/>
  <c r="K22" i="79"/>
  <c r="K21" i="79"/>
  <c r="K20" i="79"/>
  <c r="K19" i="79"/>
  <c r="K18" i="79"/>
  <c r="K17" i="79"/>
  <c r="K16" i="79"/>
  <c r="K15" i="79"/>
  <c r="K14" i="79"/>
  <c r="K13" i="79"/>
  <c r="K12" i="79"/>
  <c r="K11" i="79"/>
  <c r="K10" i="79"/>
  <c r="K9" i="79"/>
  <c r="K8" i="79"/>
  <c r="K7" i="79"/>
  <c r="I5" i="3"/>
  <c r="E19" i="6" s="1"/>
  <c r="D3" i="21" s="1"/>
  <c r="M8" i="79"/>
  <c r="M9" i="79"/>
  <c r="M10" i="79"/>
  <c r="M11" i="79"/>
  <c r="M12" i="79"/>
  <c r="M13" i="79"/>
  <c r="M15" i="79"/>
  <c r="M17" i="79"/>
  <c r="M18" i="79"/>
  <c r="M19" i="79"/>
  <c r="M20" i="79"/>
  <c r="M21" i="79"/>
  <c r="M22" i="79"/>
  <c r="M23" i="79"/>
  <c r="M24" i="79"/>
  <c r="M25" i="79"/>
  <c r="M7" i="79"/>
  <c r="L18" i="79"/>
  <c r="F3" i="77"/>
  <c r="L20" i="79"/>
  <c r="F4" i="77"/>
  <c r="L22" i="79"/>
  <c r="F5" i="77"/>
  <c r="L23" i="79"/>
  <c r="F6" i="77"/>
  <c r="L24" i="79"/>
  <c r="F7" i="77"/>
  <c r="L25" i="79"/>
  <c r="F8" i="77"/>
  <c r="L7" i="79"/>
  <c r="F9" i="77"/>
  <c r="L8" i="79"/>
  <c r="F10" i="77"/>
  <c r="L9" i="79"/>
  <c r="F11" i="77"/>
  <c r="L10" i="79"/>
  <c r="F12" i="77"/>
  <c r="L11" i="79"/>
  <c r="F13" i="77"/>
  <c r="L12" i="79"/>
  <c r="F14" i="77"/>
  <c r="L13" i="79"/>
  <c r="F15" i="77"/>
  <c r="L15" i="79"/>
  <c r="F20" i="77"/>
  <c r="L19" i="79"/>
  <c r="F21" i="77"/>
  <c r="L21" i="79"/>
  <c r="F22" i="77"/>
  <c r="L17" i="79"/>
  <c r="F25" i="77"/>
  <c r="F26" i="77"/>
  <c r="F16" i="77"/>
  <c r="G16" i="77"/>
  <c r="G26" i="77"/>
  <c r="G35" i="77"/>
  <c r="N6" i="1"/>
  <c r="E19" i="77"/>
  <c r="D19" i="77"/>
  <c r="B34" i="77" s="1"/>
  <c r="BM26" i="3"/>
  <c r="BM27" i="3"/>
  <c r="BL27" i="3" s="1"/>
  <c r="BM28" i="3"/>
  <c r="BM29" i="3"/>
  <c r="BL29" i="3"/>
  <c r="BB29" i="3"/>
  <c r="BA29" i="3" s="1"/>
  <c r="AZ29" i="3" s="1"/>
  <c r="BB13" i="3"/>
  <c r="BA13" i="3" s="1"/>
  <c r="AZ13" i="3" s="1"/>
  <c r="BB14" i="3"/>
  <c r="BA14" i="3" s="1"/>
  <c r="AZ14" i="3" s="1"/>
  <c r="BB15" i="3"/>
  <c r="BA15" i="3" s="1"/>
  <c r="AZ15" i="3" s="1"/>
  <c r="BB16" i="3"/>
  <c r="BA16" i="3" s="1"/>
  <c r="AZ16" i="3" s="1"/>
  <c r="BB17" i="3"/>
  <c r="BA17" i="3" s="1"/>
  <c r="AZ17" i="3" s="1"/>
  <c r="BB18" i="3"/>
  <c r="BA18" i="3" s="1"/>
  <c r="AZ18" i="3" s="1"/>
  <c r="BB19" i="3"/>
  <c r="BA19" i="3" s="1"/>
  <c r="AZ19" i="3" s="1"/>
  <c r="BB20" i="3"/>
  <c r="BA20" i="3" s="1"/>
  <c r="AZ20" i="3" s="1"/>
  <c r="BB21" i="3"/>
  <c r="BA21" i="3" s="1"/>
  <c r="AZ21" i="3" s="1"/>
  <c r="BB22" i="3"/>
  <c r="BA22" i="3" s="1"/>
  <c r="AZ22" i="3" s="1"/>
  <c r="BB23" i="3"/>
  <c r="BA23" i="3"/>
  <c r="AZ23" i="3" s="1"/>
  <c r="BB24" i="3"/>
  <c r="BA24" i="3" s="1"/>
  <c r="AZ24" i="3" s="1"/>
  <c r="BB25" i="3"/>
  <c r="BA25" i="3" s="1"/>
  <c r="AZ25" i="3" s="1"/>
  <c r="BB30" i="3"/>
  <c r="BA30" i="3" s="1"/>
  <c r="AZ30" i="3" s="1"/>
  <c r="BB31" i="3"/>
  <c r="BA31" i="3" s="1"/>
  <c r="AZ31" i="3" s="1"/>
  <c r="BB32" i="3"/>
  <c r="BA32" i="3" s="1"/>
  <c r="AZ32" i="3" s="1"/>
  <c r="BB33" i="3"/>
  <c r="BA33" i="3" s="1"/>
  <c r="AZ33" i="3" s="1"/>
  <c r="BB34" i="3"/>
  <c r="BA34" i="3" s="1"/>
  <c r="AZ34" i="3" s="1"/>
  <c r="AC26" i="3"/>
  <c r="AC27" i="3"/>
  <c r="G27" i="3" s="1"/>
  <c r="AC28" i="3"/>
  <c r="G28" i="3" s="1"/>
  <c r="AC29" i="3"/>
  <c r="H29" i="3"/>
  <c r="G29" i="3" s="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30" i="3"/>
  <c r="G30" i="3" s="1"/>
  <c r="H31" i="3"/>
  <c r="G31" i="3" s="1"/>
  <c r="H32" i="3"/>
  <c r="G32" i="3" s="1"/>
  <c r="H33" i="3"/>
  <c r="G33" i="3" s="1"/>
  <c r="H34" i="3"/>
  <c r="G34" i="3" s="1"/>
  <c r="F20" i="80"/>
  <c r="F21" i="80"/>
  <c r="K9" i="1"/>
  <c r="M9" i="1" s="1"/>
  <c r="K10" i="1"/>
  <c r="M10" i="1" s="1"/>
  <c r="K11" i="1"/>
  <c r="M11" i="1" s="1"/>
  <c r="K12" i="1"/>
  <c r="M12" i="1" s="1"/>
  <c r="K13" i="1"/>
  <c r="M13" i="1" s="1"/>
  <c r="L21" i="6"/>
  <c r="F20" i="15"/>
  <c r="F21" i="15"/>
  <c r="D77" i="21"/>
  <c r="F15" i="21"/>
  <c r="AA15" i="21"/>
  <c r="D79" i="21"/>
  <c r="F17" i="21"/>
  <c r="AA17" i="21"/>
  <c r="D81" i="21"/>
  <c r="F19" i="21"/>
  <c r="AA19" i="21"/>
  <c r="F21" i="21"/>
  <c r="AA21" i="21"/>
  <c r="D85" i="21"/>
  <c r="F23" i="21"/>
  <c r="AA23" i="21"/>
  <c r="F10" i="21"/>
  <c r="AA10" i="21"/>
  <c r="D69" i="21"/>
  <c r="F32" i="21"/>
  <c r="AA32" i="21"/>
  <c r="F34" i="21"/>
  <c r="AA34" i="21"/>
  <c r="F35" i="21"/>
  <c r="AA35" i="21"/>
  <c r="F36" i="21"/>
  <c r="AA36" i="21"/>
  <c r="D123" i="21"/>
  <c r="E123" i="21"/>
  <c r="F42" i="21"/>
  <c r="AA42" i="21"/>
  <c r="F38" i="21"/>
  <c r="AA38" i="21"/>
  <c r="F39" i="21"/>
  <c r="AA39" i="21"/>
  <c r="D125" i="21"/>
  <c r="F43" i="21"/>
  <c r="AA43" i="21"/>
  <c r="F25" i="21"/>
  <c r="AA25" i="21"/>
  <c r="F26" i="21"/>
  <c r="AA26" i="21"/>
  <c r="B90" i="21"/>
  <c r="F27" i="21"/>
  <c r="AA27" i="21"/>
  <c r="B92" i="21"/>
  <c r="F28" i="21"/>
  <c r="AA28" i="21"/>
  <c r="B94" i="21"/>
  <c r="F29" i="21"/>
  <c r="AA29" i="21"/>
  <c r="B96" i="21"/>
  <c r="F30" i="21"/>
  <c r="AA30" i="21"/>
  <c r="B98" i="21"/>
  <c r="F31" i="21"/>
  <c r="AA31" i="21"/>
  <c r="F41" i="21"/>
  <c r="AA41" i="21"/>
  <c r="F40" i="21"/>
  <c r="AA40" i="21"/>
  <c r="B126" i="21"/>
  <c r="F44" i="21"/>
  <c r="AA44" i="21"/>
  <c r="B128" i="21"/>
  <c r="F45" i="21"/>
  <c r="AA45" i="21"/>
  <c r="B130" i="21"/>
  <c r="F46" i="21"/>
  <c r="AA46" i="21"/>
  <c r="D113" i="21"/>
  <c r="E113" i="21"/>
  <c r="F113" i="21"/>
  <c r="G113" i="21"/>
  <c r="F37" i="21"/>
  <c r="AA37" i="21"/>
  <c r="H15" i="21"/>
  <c r="AB15" i="21"/>
  <c r="H17" i="21"/>
  <c r="AB17" i="21"/>
  <c r="H19" i="21"/>
  <c r="AB19" i="21"/>
  <c r="H21" i="21"/>
  <c r="AB21" i="21"/>
  <c r="H23" i="21"/>
  <c r="AB23" i="21"/>
  <c r="H10" i="21"/>
  <c r="AB10" i="21"/>
  <c r="H32" i="21"/>
  <c r="AB32" i="21"/>
  <c r="H34" i="21"/>
  <c r="AB34" i="21"/>
  <c r="H35" i="21"/>
  <c r="AB35" i="21"/>
  <c r="H36" i="21"/>
  <c r="AB36" i="21"/>
  <c r="H42" i="21"/>
  <c r="AB42" i="21"/>
  <c r="H38" i="21"/>
  <c r="AB38" i="21"/>
  <c r="H39" i="21"/>
  <c r="AB39" i="21"/>
  <c r="H43" i="21"/>
  <c r="AB43" i="21"/>
  <c r="H25" i="21"/>
  <c r="AB25" i="21"/>
  <c r="H26" i="21"/>
  <c r="AB26" i="21"/>
  <c r="H27" i="21"/>
  <c r="AB27" i="21"/>
  <c r="H28" i="21"/>
  <c r="AB28" i="21"/>
  <c r="H29" i="21"/>
  <c r="AB29" i="21"/>
  <c r="H30" i="21"/>
  <c r="AB30" i="21"/>
  <c r="H31" i="21"/>
  <c r="AB31" i="21"/>
  <c r="H41" i="21"/>
  <c r="AB41" i="21"/>
  <c r="H40" i="21"/>
  <c r="AB40" i="21"/>
  <c r="H44" i="21"/>
  <c r="AB44" i="21"/>
  <c r="H45" i="21"/>
  <c r="AB45" i="21"/>
  <c r="H46" i="21"/>
  <c r="AB46" i="21"/>
  <c r="H37" i="21"/>
  <c r="AB37" i="21"/>
  <c r="J15" i="21"/>
  <c r="AC15" i="21"/>
  <c r="J17" i="21"/>
  <c r="AC17" i="21"/>
  <c r="J19" i="21"/>
  <c r="AC19" i="21"/>
  <c r="J21" i="21"/>
  <c r="AC21" i="21"/>
  <c r="J23" i="21"/>
  <c r="AC23" i="21"/>
  <c r="J10" i="21"/>
  <c r="AC10" i="21"/>
  <c r="J32" i="21"/>
  <c r="AC32" i="21"/>
  <c r="J34" i="21"/>
  <c r="AC34" i="21"/>
  <c r="J35" i="21"/>
  <c r="AC35" i="21"/>
  <c r="J36" i="21"/>
  <c r="AC36" i="21"/>
  <c r="J42" i="21"/>
  <c r="AC42" i="21"/>
  <c r="J38" i="21"/>
  <c r="AC38" i="21"/>
  <c r="J39" i="21"/>
  <c r="AC39" i="21"/>
  <c r="J43" i="21"/>
  <c r="AC43" i="21"/>
  <c r="J25" i="21"/>
  <c r="AC25" i="21"/>
  <c r="J26" i="21"/>
  <c r="AC26" i="21"/>
  <c r="J27" i="21"/>
  <c r="AC27" i="21"/>
  <c r="J28" i="21"/>
  <c r="AC28" i="21"/>
  <c r="J29" i="21"/>
  <c r="AC29" i="21"/>
  <c r="J30" i="21"/>
  <c r="AC30" i="21"/>
  <c r="J31" i="21"/>
  <c r="AC31" i="21"/>
  <c r="J41" i="21"/>
  <c r="AC41" i="21"/>
  <c r="J40" i="21"/>
  <c r="AC40" i="21"/>
  <c r="J44" i="21"/>
  <c r="AC44" i="21"/>
  <c r="J45" i="21"/>
  <c r="AC45" i="21"/>
  <c r="J46" i="21"/>
  <c r="AC46" i="21"/>
  <c r="J37" i="21"/>
  <c r="AC37" i="21"/>
  <c r="F22" i="12"/>
  <c r="F23" i="12"/>
  <c r="AD5" i="3"/>
  <c r="F41" i="39"/>
  <c r="AA41" i="39"/>
  <c r="H41" i="39"/>
  <c r="AB41" i="39"/>
  <c r="J41" i="39"/>
  <c r="AC41" i="39"/>
  <c r="F20" i="68"/>
  <c r="F21" i="68"/>
  <c r="C21" i="68"/>
  <c r="C40" i="68"/>
  <c r="D37" i="77"/>
  <c r="C26" i="77"/>
  <c r="C16" i="77"/>
  <c r="C19" i="77"/>
  <c r="C38" i="39"/>
  <c r="D71" i="39"/>
  <c r="U19" i="1"/>
  <c r="T7" i="78"/>
  <c r="T8" i="78"/>
  <c r="T9" i="78"/>
  <c r="T6" i="78"/>
  <c r="E38" i="39"/>
  <c r="E46" i="39"/>
  <c r="E7" i="39"/>
  <c r="E5" i="39"/>
  <c r="BD26" i="3"/>
  <c r="H26" i="3"/>
  <c r="G26" i="3" s="1"/>
  <c r="G35" i="3"/>
  <c r="AT5" i="3"/>
  <c r="M5" i="3"/>
  <c r="E71" i="39"/>
  <c r="F71" i="39"/>
  <c r="G71" i="39"/>
  <c r="H71" i="39"/>
  <c r="I71" i="39"/>
  <c r="J71" i="39"/>
  <c r="F7" i="39"/>
  <c r="AA7" i="39"/>
  <c r="R46" i="39"/>
  <c r="F38" i="39"/>
  <c r="AA38" i="39"/>
  <c r="F12" i="39"/>
  <c r="AA12" i="39" s="1"/>
  <c r="G8" i="1"/>
  <c r="H12" i="39"/>
  <c r="AB12" i="39" s="1"/>
  <c r="H38" i="39"/>
  <c r="AB38" i="39"/>
  <c r="K71" i="39"/>
  <c r="L71" i="39"/>
  <c r="M71" i="39"/>
  <c r="H7" i="39"/>
  <c r="AB7" i="39"/>
  <c r="J12" i="39"/>
  <c r="AC12" i="39" s="1"/>
  <c r="J38" i="39"/>
  <c r="AC38" i="39"/>
  <c r="J7" i="39"/>
  <c r="AC7" i="39"/>
  <c r="C17" i="9"/>
  <c r="D17" i="9"/>
  <c r="G20" i="77"/>
  <c r="E59" i="21"/>
  <c r="F59" i="21"/>
  <c r="D59" i="21"/>
  <c r="BC36" i="3"/>
  <c r="BC37" i="3"/>
  <c r="BC38" i="3"/>
  <c r="BC39" i="3"/>
  <c r="BC40" i="3"/>
  <c r="H36" i="3"/>
  <c r="G36" i="3" s="1"/>
  <c r="H37" i="3"/>
  <c r="G37" i="3"/>
  <c r="H38" i="3"/>
  <c r="G38" i="3"/>
  <c r="H39" i="3"/>
  <c r="G39" i="3"/>
  <c r="H40" i="3"/>
  <c r="G40" i="3"/>
  <c r="K5" i="3"/>
  <c r="F20" i="6" s="1"/>
  <c r="E20" i="6" s="1"/>
  <c r="D7" i="12" s="1"/>
  <c r="V47" i="21"/>
  <c r="J7" i="21"/>
  <c r="AC7" i="21"/>
  <c r="T47" i="21"/>
  <c r="H7" i="21"/>
  <c r="AB7" i="21"/>
  <c r="R47" i="21"/>
  <c r="F7" i="21"/>
  <c r="AA7" i="21"/>
  <c r="C19" i="68"/>
  <c r="G6" i="1"/>
  <c r="G7" i="1"/>
  <c r="B82" i="39"/>
  <c r="F15" i="80"/>
  <c r="F17" i="80"/>
  <c r="F18"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E33" i="77"/>
  <c r="F33" i="77"/>
  <c r="D33" i="77"/>
  <c r="D18" i="77"/>
  <c r="D17" i="77"/>
  <c r="D27" i="77"/>
  <c r="D3" i="39"/>
  <c r="D32" i="77"/>
  <c r="D31" i="77"/>
  <c r="D30" i="77"/>
  <c r="D29" i="77"/>
  <c r="D28" i="77"/>
  <c r="D16" i="77"/>
  <c r="D26" i="77"/>
  <c r="F29" i="77"/>
  <c r="F30" i="77"/>
  <c r="F31" i="77"/>
  <c r="F32" i="77"/>
  <c r="F28" i="77"/>
  <c r="I38" i="39"/>
  <c r="G38" i="39"/>
  <c r="BL25" i="3"/>
  <c r="BB26" i="3"/>
  <c r="BC26" i="3"/>
  <c r="BB27" i="3"/>
  <c r="BC27" i="3"/>
  <c r="BA27" i="3" s="1"/>
  <c r="AZ27" i="3" s="1"/>
  <c r="BB28" i="3"/>
  <c r="BC28" i="3"/>
  <c r="BC29" i="3"/>
  <c r="BC30" i="3"/>
  <c r="BL30" i="3"/>
  <c r="BC31" i="3"/>
  <c r="BL31" i="3"/>
  <c r="BC32" i="3"/>
  <c r="BL32" i="3"/>
  <c r="BC33" i="3"/>
  <c r="BD33" i="3"/>
  <c r="BL33" i="3"/>
  <c r="BC34" i="3"/>
  <c r="BD34" i="3"/>
  <c r="BL34" i="3"/>
  <c r="BB35" i="3"/>
  <c r="BC35" i="3"/>
  <c r="BD35" i="3"/>
  <c r="BE35" i="3"/>
  <c r="BF35" i="3"/>
  <c r="BG35" i="3"/>
  <c r="BH35" i="3"/>
  <c r="BI35" i="3"/>
  <c r="BJ35" i="3"/>
  <c r="BK35" i="3"/>
  <c r="BA35" i="3"/>
  <c r="BM35" i="3"/>
  <c r="BN35" i="3"/>
  <c r="BL35" i="3" s="1"/>
  <c r="AZ35" i="3" s="1"/>
  <c r="BO35" i="3"/>
  <c r="BP35" i="3"/>
  <c r="BQ35" i="3"/>
  <c r="BR35" i="3"/>
  <c r="BS35" i="3"/>
  <c r="BT35" i="3"/>
  <c r="BB36" i="3"/>
  <c r="BD36" i="3"/>
  <c r="BB37" i="3"/>
  <c r="BD37" i="3"/>
  <c r="BB38" i="3"/>
  <c r="BD38" i="3"/>
  <c r="BE38" i="3"/>
  <c r="BF38" i="3"/>
  <c r="BG38" i="3"/>
  <c r="BH38" i="3"/>
  <c r="BI38" i="3"/>
  <c r="BJ38" i="3"/>
  <c r="BK38" i="3"/>
  <c r="BM38" i="3"/>
  <c r="BN38" i="3"/>
  <c r="BO38" i="3"/>
  <c r="BP38" i="3"/>
  <c r="BQ38" i="3"/>
  <c r="BR38" i="3"/>
  <c r="BS38" i="3"/>
  <c r="BT38" i="3"/>
  <c r="BD39" i="3"/>
  <c r="BB39" i="3"/>
  <c r="BE39" i="3"/>
  <c r="BF39" i="3"/>
  <c r="BG39" i="3"/>
  <c r="BH39" i="3"/>
  <c r="BI39" i="3"/>
  <c r="BJ39" i="3"/>
  <c r="BK39" i="3"/>
  <c r="BM39" i="3"/>
  <c r="BN39" i="3"/>
  <c r="BO39" i="3"/>
  <c r="BP39" i="3"/>
  <c r="BQ39" i="3"/>
  <c r="BR39" i="3"/>
  <c r="BS39" i="3"/>
  <c r="BT39" i="3"/>
  <c r="BB40" i="3"/>
  <c r="BD40" i="3"/>
  <c r="BE40" i="3"/>
  <c r="BF40" i="3"/>
  <c r="BG40" i="3"/>
  <c r="BH40" i="3"/>
  <c r="BI40" i="3"/>
  <c r="BJ40" i="3"/>
  <c r="BK40" i="3"/>
  <c r="BM40" i="3"/>
  <c r="BN40" i="3"/>
  <c r="BO40" i="3"/>
  <c r="BP40" i="3"/>
  <c r="BQ40" i="3"/>
  <c r="BR40" i="3"/>
  <c r="BS40" i="3"/>
  <c r="BT40" i="3"/>
  <c r="BA41" i="3"/>
  <c r="AZ41" i="3"/>
  <c r="BA42" i="3"/>
  <c r="AZ42" i="3"/>
  <c r="H27" i="3"/>
  <c r="H28" i="3"/>
  <c r="H35" i="3"/>
  <c r="AC39" i="3"/>
  <c r="AC40" i="3"/>
  <c r="I46" i="39"/>
  <c r="G46" i="39"/>
  <c r="I7" i="39"/>
  <c r="G7" i="39"/>
  <c r="I5" i="39"/>
  <c r="G5" i="39"/>
  <c r="E16" i="77"/>
  <c r="E26" i="77"/>
  <c r="E34" i="77"/>
  <c r="E35" i="77"/>
  <c r="F8" i="78"/>
  <c r="F9" i="78"/>
  <c r="M3" i="78"/>
  <c r="M4" i="78"/>
  <c r="M5" i="78"/>
  <c r="M6" i="78"/>
  <c r="M7" i="78"/>
  <c r="M8" i="78"/>
  <c r="M9" i="78"/>
  <c r="M10" i="78"/>
  <c r="M11" i="78"/>
  <c r="M12" i="78"/>
  <c r="M13" i="78"/>
  <c r="M14" i="78"/>
  <c r="M15" i="78"/>
  <c r="M16" i="78"/>
  <c r="M17" i="78"/>
  <c r="M18" i="78"/>
  <c r="M19" i="78"/>
  <c r="M20" i="78"/>
  <c r="M2" i="78"/>
  <c r="O20" i="78"/>
  <c r="O19" i="78"/>
  <c r="O18" i="78"/>
  <c r="O17" i="78"/>
  <c r="O16" i="78"/>
  <c r="O15" i="78"/>
  <c r="O14" i="78"/>
  <c r="O13" i="78"/>
  <c r="O12" i="78"/>
  <c r="O11" i="78"/>
  <c r="O10" i="78"/>
  <c r="O9" i="78"/>
  <c r="O8" i="78"/>
  <c r="O7" i="78"/>
  <c r="O6" i="78"/>
  <c r="O5" i="78"/>
  <c r="O4" i="78"/>
  <c r="O3" i="78"/>
  <c r="O2" i="78"/>
  <c r="J7" i="1"/>
  <c r="J8" i="1"/>
  <c r="G22" i="77"/>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E26" i="3"/>
  <c r="BF26" i="3"/>
  <c r="BG26" i="3"/>
  <c r="BH26" i="3"/>
  <c r="BI26" i="3"/>
  <c r="BJ26" i="3"/>
  <c r="BK26" i="3"/>
  <c r="BN26" i="3"/>
  <c r="BO26" i="3"/>
  <c r="BP26" i="3"/>
  <c r="BQ26" i="3"/>
  <c r="BR26" i="3"/>
  <c r="BS26" i="3"/>
  <c r="BT26" i="3"/>
  <c r="BD27" i="3"/>
  <c r="BE27" i="3"/>
  <c r="BF27" i="3"/>
  <c r="BG27" i="3"/>
  <c r="BH27" i="3"/>
  <c r="BI27" i="3"/>
  <c r="BJ27" i="3"/>
  <c r="BK27" i="3"/>
  <c r="BN27" i="3"/>
  <c r="BO27" i="3"/>
  <c r="BP27" i="3"/>
  <c r="BQ27" i="3"/>
  <c r="BR27" i="3"/>
  <c r="BS27" i="3"/>
  <c r="BT27" i="3"/>
  <c r="BD28" i="3"/>
  <c r="BE28" i="3"/>
  <c r="BA28" i="3" s="1"/>
  <c r="BF28" i="3"/>
  <c r="BG28" i="3"/>
  <c r="BH28" i="3"/>
  <c r="BI28" i="3"/>
  <c r="BJ28" i="3"/>
  <c r="BK28" i="3"/>
  <c r="BN28" i="3"/>
  <c r="BL28" i="3" s="1"/>
  <c r="BO28" i="3"/>
  <c r="BP28" i="3"/>
  <c r="BQ28" i="3"/>
  <c r="BR28" i="3"/>
  <c r="BS28" i="3"/>
  <c r="BT28" i="3"/>
  <c r="BD29" i="3"/>
  <c r="BE29" i="3"/>
  <c r="BF29" i="3"/>
  <c r="BG29" i="3"/>
  <c r="BH29" i="3"/>
  <c r="BI29" i="3"/>
  <c r="BJ29" i="3"/>
  <c r="BK29" i="3"/>
  <c r="BN29" i="3"/>
  <c r="BO29" i="3"/>
  <c r="BP29" i="3"/>
  <c r="BQ29" i="3"/>
  <c r="BR29" i="3"/>
  <c r="BS29" i="3"/>
  <c r="BT29" i="3"/>
  <c r="BD30" i="3"/>
  <c r="BE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R31" i="3"/>
  <c r="BS31" i="3"/>
  <c r="BT31" i="3"/>
  <c r="BD32" i="3"/>
  <c r="BE32" i="3"/>
  <c r="BF32" i="3"/>
  <c r="BG32" i="3"/>
  <c r="BH32" i="3"/>
  <c r="BI32" i="3"/>
  <c r="BJ32" i="3"/>
  <c r="BK32" i="3"/>
  <c r="BM32" i="3"/>
  <c r="BN32" i="3"/>
  <c r="BO32" i="3"/>
  <c r="BP32" i="3"/>
  <c r="BQ32" i="3"/>
  <c r="BR32" i="3"/>
  <c r="BS32" i="3"/>
  <c r="BT32" i="3"/>
  <c r="BE33" i="3"/>
  <c r="BF33" i="3"/>
  <c r="BG33" i="3"/>
  <c r="BH33" i="3"/>
  <c r="BI33" i="3"/>
  <c r="BJ33" i="3"/>
  <c r="BK33" i="3"/>
  <c r="BM33" i="3"/>
  <c r="BN33" i="3"/>
  <c r="BO33" i="3"/>
  <c r="BP33" i="3"/>
  <c r="BQ33" i="3"/>
  <c r="BR33" i="3"/>
  <c r="BS33" i="3"/>
  <c r="BT33" i="3"/>
  <c r="BE34" i="3"/>
  <c r="BF34" i="3"/>
  <c r="BG34" i="3"/>
  <c r="BH34" i="3"/>
  <c r="BI34" i="3"/>
  <c r="BJ34" i="3"/>
  <c r="BK34" i="3"/>
  <c r="BM34" i="3"/>
  <c r="BN34" i="3"/>
  <c r="BO34" i="3"/>
  <c r="BP34" i="3"/>
  <c r="BQ34" i="3"/>
  <c r="BR34" i="3"/>
  <c r="BS34" i="3"/>
  <c r="BT34" i="3"/>
  <c r="BE36" i="3"/>
  <c r="BF36" i="3"/>
  <c r="BG36" i="3"/>
  <c r="BH36" i="3"/>
  <c r="BI36" i="3"/>
  <c r="BJ36" i="3"/>
  <c r="BK36" i="3"/>
  <c r="BM36" i="3"/>
  <c r="BM5" i="3" s="1"/>
  <c r="BN36" i="3"/>
  <c r="BO36" i="3"/>
  <c r="BP36" i="3"/>
  <c r="BQ36" i="3"/>
  <c r="BR36" i="3"/>
  <c r="BS36" i="3"/>
  <c r="BT36" i="3"/>
  <c r="BE37" i="3"/>
  <c r="BF37" i="3"/>
  <c r="BG37" i="3"/>
  <c r="BH37" i="3"/>
  <c r="BI37" i="3"/>
  <c r="BJ37" i="3"/>
  <c r="BK37" i="3"/>
  <c r="BM37" i="3"/>
  <c r="BN37" i="3"/>
  <c r="BO37" i="3"/>
  <c r="BP37" i="3"/>
  <c r="BQ37" i="3"/>
  <c r="BR37" i="3"/>
  <c r="BS37" i="3"/>
  <c r="BT37"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30" i="3"/>
  <c r="AC31" i="3"/>
  <c r="AC32" i="3"/>
  <c r="AC33" i="3"/>
  <c r="AC34" i="3"/>
  <c r="AC35" i="3"/>
  <c r="AC36" i="3"/>
  <c r="AC37" i="3"/>
  <c r="AC38"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C21" i="69"/>
  <c r="E10" i="69"/>
  <c r="E9" i="69"/>
  <c r="C7" i="69"/>
  <c r="AC21" i="37"/>
  <c r="W21" i="37"/>
  <c r="AC21" i="34"/>
  <c r="W21" i="34"/>
  <c r="AC21" i="33"/>
  <c r="W21" i="33"/>
  <c r="U21" i="21"/>
  <c r="G83" i="21"/>
  <c r="C40" i="69"/>
  <c r="F38" i="68"/>
  <c r="E37" i="68"/>
  <c r="F36" i="68"/>
  <c r="F35"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G1" i="80" s="1"/>
  <c r="F3" i="35"/>
  <c r="B11" i="1"/>
  <c r="E11" i="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BC10" i="3"/>
  <c r="BD10" i="3"/>
  <c r="BB10" i="3"/>
  <c r="AH5" i="3"/>
  <c r="AL5" i="3"/>
  <c r="AP5" i="3"/>
  <c r="F35" i="11"/>
  <c r="F36" i="11"/>
  <c r="F38" i="11"/>
  <c r="E37" i="11"/>
  <c r="F20" i="11"/>
  <c r="F21" i="11"/>
  <c r="C21" i="11"/>
  <c r="F7" i="11"/>
  <c r="C7" i="11"/>
  <c r="C5" i="11"/>
  <c r="F12" i="12"/>
  <c r="F13" i="12"/>
  <c r="F15" i="12"/>
  <c r="E14" i="12"/>
  <c r="BC11" i="3"/>
  <c r="BD11" i="3"/>
  <c r="BB11" i="3"/>
  <c r="E19" i="12"/>
  <c r="E20" i="12"/>
  <c r="E17" i="12"/>
  <c r="I55" i="9"/>
  <c r="F55" i="9"/>
  <c r="O53" i="9"/>
  <c r="D89" i="9"/>
  <c r="C89" i="9"/>
  <c r="C87" i="9"/>
  <c r="G12" i="1"/>
  <c r="J55" i="9"/>
  <c r="B31" i="1"/>
  <c r="B52" i="1"/>
  <c r="M20" i="15"/>
  <c r="T4" i="1"/>
  <c r="F15" i="15"/>
  <c r="F17" i="15"/>
  <c r="F18"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S43" i="21"/>
  <c r="U38" i="21"/>
  <c r="S38" i="21"/>
  <c r="S36" i="21"/>
  <c r="W40" i="21"/>
  <c r="J8" i="21"/>
  <c r="AC8" i="21"/>
  <c r="H8" i="21"/>
  <c r="U8" i="21"/>
  <c r="U39" i="21"/>
  <c r="W34" i="21"/>
  <c r="U36" i="21"/>
  <c r="W19" i="21"/>
  <c r="J12" i="21"/>
  <c r="AC12" i="21"/>
  <c r="H12" i="21"/>
  <c r="AB12"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BJ5" i="3"/>
  <c r="BH5" i="3"/>
  <c r="BF5" i="3"/>
  <c r="AC5" i="3"/>
  <c r="BK5" i="3"/>
  <c r="BI5" i="3"/>
  <c r="BG5" i="3"/>
  <c r="BE5" i="3"/>
  <c r="U36" i="40"/>
  <c r="F36" i="43"/>
  <c r="F81" i="43"/>
  <c r="H83" i="43"/>
  <c r="H113" i="43"/>
  <c r="F48" i="43"/>
  <c r="H52" i="43"/>
  <c r="F70" i="43"/>
  <c r="H73" i="43"/>
  <c r="M11" i="43"/>
  <c r="D17" i="43"/>
  <c r="F39" i="43"/>
  <c r="I17" i="43"/>
  <c r="F35" i="43"/>
  <c r="J17" i="43"/>
  <c r="F6" i="1"/>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R10" i="1"/>
  <c r="B10" i="1"/>
  <c r="E10" i="1"/>
  <c r="D1" i="66"/>
  <c r="E10" i="66"/>
  <c r="S13" i="1"/>
  <c r="AR13" i="1" s="1"/>
  <c r="R13" i="1"/>
  <c r="S11" i="1"/>
  <c r="R11" i="1"/>
  <c r="S9" i="1"/>
  <c r="AR9" i="1" s="1"/>
  <c r="R9" i="1"/>
  <c r="J51" i="67"/>
  <c r="C42"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A14" i="21"/>
  <c r="AB8" i="21"/>
  <c r="S8" i="21"/>
  <c r="M3" i="43"/>
  <c r="M1" i="43"/>
  <c r="N8" i="43"/>
  <c r="D120" i="9"/>
  <c r="D121" i="9"/>
  <c r="D7" i="52"/>
  <c r="F34" i="67"/>
  <c r="F62" i="67"/>
  <c r="M20" i="67"/>
  <c r="F34" i="15"/>
  <c r="F62" i="15"/>
  <c r="J56" i="9"/>
  <c r="J57" i="9"/>
  <c r="J59" i="9"/>
  <c r="J61" i="9"/>
  <c r="A24" i="51"/>
  <c r="B18" i="72"/>
  <c r="U29" i="34"/>
  <c r="G1" i="68"/>
  <c r="K1" i="12"/>
  <c r="AR12" i="1"/>
  <c r="T12"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L17" i="43"/>
  <c r="M17" i="43"/>
  <c r="N17" i="43"/>
  <c r="O17" i="43"/>
  <c r="G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B6" i="1"/>
  <c r="E6"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14" i="21"/>
  <c r="U40" i="21"/>
  <c r="U31" i="21"/>
  <c r="U13" i="21"/>
  <c r="AB13" i="21"/>
  <c r="W8" i="21"/>
  <c r="S35" i="21"/>
  <c r="W37" i="21"/>
  <c r="U15" i="21"/>
  <c r="W39" i="21"/>
  <c r="AC14" i="21"/>
  <c r="W30" i="21"/>
  <c r="S46" i="21"/>
  <c r="U45" i="21"/>
  <c r="S29" i="21"/>
  <c r="F13" i="21"/>
  <c r="AA13" i="21"/>
  <c r="H9" i="21"/>
  <c r="J9" i="21"/>
  <c r="U17" i="21"/>
  <c r="W29" i="21"/>
  <c r="S19" i="21"/>
  <c r="S9" i="21"/>
  <c r="AA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11"/>
  <c r="C48" i="11"/>
  <c r="F28" i="67"/>
  <c r="F52" i="9"/>
  <c r="M18" i="67"/>
  <c r="F32" i="67"/>
  <c r="F60" i="67"/>
  <c r="C48" i="69"/>
  <c r="F32" i="15"/>
  <c r="F60" i="15"/>
  <c r="M18" i="15"/>
  <c r="F28" i="15"/>
  <c r="C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R22" i="31"/>
  <c r="W32" i="21"/>
  <c r="AB9" i="21"/>
  <c r="U9" i="21"/>
  <c r="S32" i="21"/>
  <c r="W9" i="21"/>
  <c r="AC9" i="21"/>
  <c r="U32" i="21"/>
  <c r="S10" i="21"/>
  <c r="C30" i="11"/>
  <c r="E6" i="70"/>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AE6" i="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G20" i="43"/>
  <c r="D5" i="43"/>
  <c r="E68" i="39"/>
  <c r="F68" i="39"/>
  <c r="V13" i="71"/>
  <c r="C13" i="71"/>
  <c r="D14" i="71"/>
  <c r="E41" i="43"/>
  <c r="C41" i="43"/>
  <c r="E70" i="39"/>
  <c r="I59" i="34"/>
  <c r="J59" i="34"/>
  <c r="D11" i="71"/>
  <c r="T13" i="71"/>
  <c r="D12" i="71"/>
  <c r="D13" i="71"/>
  <c r="U13" i="71"/>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D8" i="71"/>
  <c r="C7" i="71"/>
  <c r="T11" i="43"/>
  <c r="V11" i="43"/>
  <c r="T12" i="43"/>
  <c r="V12" i="43"/>
  <c r="Y9" i="71"/>
  <c r="Z9" i="71"/>
  <c r="Y8" i="71"/>
  <c r="AA9" i="71"/>
  <c r="AB3" i="71"/>
  <c r="C35" i="43"/>
  <c r="E35" i="43"/>
  <c r="C36" i="43"/>
  <c r="E36" i="43"/>
  <c r="T9" i="43"/>
  <c r="V9" i="43"/>
  <c r="C39" i="43"/>
  <c r="C37" i="43"/>
  <c r="E37" i="43"/>
  <c r="B9" i="71"/>
  <c r="B8" i="71"/>
  <c r="B7" i="71"/>
  <c r="B6" i="71"/>
  <c r="B5" i="71"/>
  <c r="X9" i="71"/>
  <c r="AB9" i="71"/>
  <c r="T15" i="43"/>
  <c r="V15" i="43"/>
  <c r="Z8" i="71"/>
  <c r="Y3" i="71"/>
  <c r="Z3" i="71"/>
  <c r="D9" i="71"/>
  <c r="F9" i="71"/>
  <c r="F8" i="71"/>
  <c r="F7" i="71"/>
  <c r="F6" i="71"/>
  <c r="F5" i="71"/>
  <c r="AF3" i="71"/>
  <c r="P22" i="43"/>
  <c r="C34" i="43"/>
  <c r="T10" i="43"/>
  <c r="V10" i="43"/>
  <c r="C33" i="43"/>
  <c r="T16" i="43"/>
  <c r="V16" i="43"/>
  <c r="T13" i="43"/>
  <c r="V13" i="43"/>
  <c r="T8" i="43"/>
  <c r="V8" i="43"/>
  <c r="C38" i="43"/>
  <c r="G35" i="43"/>
  <c r="I35" i="43"/>
  <c r="G36" i="43"/>
  <c r="I36" i="43"/>
  <c r="K1" i="73"/>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7" i="71"/>
  <c r="C6" i="71"/>
  <c r="M17" i="67"/>
  <c r="M17" i="15"/>
  <c r="F59" i="15"/>
  <c r="P24" i="43"/>
  <c r="B66" i="40"/>
  <c r="P21" i="43"/>
  <c r="E39" i="43"/>
  <c r="G39" i="43"/>
  <c r="I39" i="43"/>
  <c r="P25" i="43"/>
  <c r="P23" i="43"/>
  <c r="B71" i="39"/>
  <c r="E38" i="43"/>
  <c r="G38" i="43"/>
  <c r="I38" i="43"/>
  <c r="G34" i="43"/>
  <c r="I34" i="43"/>
  <c r="E34" i="43"/>
  <c r="G33" i="43"/>
  <c r="I33" i="43"/>
  <c r="E33"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5" i="71"/>
  <c r="M20" i="43"/>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J48" i="35"/>
  <c r="L70" i="39"/>
  <c r="M68" i="39"/>
  <c r="U7" i="21"/>
  <c r="S7" i="21"/>
  <c r="J63" i="40"/>
  <c r="I65" i="40"/>
  <c r="K48" i="35"/>
  <c r="L48" i="35"/>
  <c r="M48" i="35"/>
  <c r="N48" i="35"/>
  <c r="O48" i="35"/>
  <c r="H7" i="35"/>
  <c r="J7" i="35"/>
  <c r="W7" i="21"/>
  <c r="M70" i="39"/>
  <c r="N68" i="39"/>
  <c r="W7" i="35"/>
  <c r="AC7" i="35"/>
  <c r="V38" i="35"/>
  <c r="I38" i="35"/>
  <c r="J65" i="40"/>
  <c r="K63" i="40"/>
  <c r="U7" i="35"/>
  <c r="AB7" i="35"/>
  <c r="T38" i="35"/>
  <c r="G38" i="35"/>
  <c r="F7" i="35"/>
  <c r="O68" i="39"/>
  <c r="O70" i="39"/>
  <c r="N70" i="39"/>
  <c r="S7" i="35"/>
  <c r="AA7" i="35"/>
  <c r="R38" i="35"/>
  <c r="G42" i="35"/>
  <c r="H42" i="35"/>
  <c r="G43" i="35"/>
  <c r="H43" i="35"/>
  <c r="K65" i="40"/>
  <c r="L63" i="40"/>
  <c r="I42" i="35"/>
  <c r="J42" i="35"/>
  <c r="S7" i="39"/>
  <c r="R39" i="35"/>
  <c r="E38" i="35"/>
  <c r="M63" i="40"/>
  <c r="L65" i="40"/>
  <c r="W7" i="39"/>
  <c r="U7" i="39"/>
  <c r="C39" i="35"/>
  <c r="B2" i="35"/>
  <c r="C38" i="35"/>
  <c r="N63" i="40"/>
  <c r="M65" i="40"/>
  <c r="E43" i="35"/>
  <c r="F43" i="35"/>
  <c r="E42" i="35"/>
  <c r="F42" i="35"/>
  <c r="I43" i="35"/>
  <c r="J43" i="35"/>
  <c r="O63" i="40"/>
  <c r="O65" i="40"/>
  <c r="N65" i="40"/>
  <c r="J7" i="40"/>
  <c r="F7" i="40"/>
  <c r="H7" i="40"/>
  <c r="U7" i="40"/>
  <c r="AB7" i="40"/>
  <c r="T42" i="40"/>
  <c r="G42" i="40" s="1"/>
  <c r="AA7" i="40"/>
  <c r="R42" i="40"/>
  <c r="R43" i="40" s="1"/>
  <c r="C42" i="40" s="1"/>
  <c r="S7" i="40"/>
  <c r="AC7" i="40"/>
  <c r="V42" i="40"/>
  <c r="I42" i="40" s="1"/>
  <c r="W7" i="40"/>
  <c r="F36" i="80"/>
  <c r="F42" i="80"/>
  <c r="F40" i="15"/>
  <c r="F16" i="80"/>
  <c r="M8" i="80"/>
  <c r="F9" i="15"/>
  <c r="F13" i="15"/>
  <c r="L48" i="15"/>
  <c r="M9" i="15"/>
  <c r="F16" i="67"/>
  <c r="L48" i="67"/>
  <c r="F8" i="67"/>
  <c r="M8" i="15"/>
  <c r="M22" i="80"/>
  <c r="M27" i="15"/>
  <c r="B13" i="76"/>
  <c r="M22" i="15"/>
  <c r="E2" i="69"/>
  <c r="B7" i="76"/>
  <c r="M26" i="67"/>
  <c r="AO6" i="1"/>
  <c r="J15" i="15"/>
  <c r="F37" i="67"/>
  <c r="D4" i="73"/>
  <c r="D2" i="37"/>
  <c r="D2" i="21"/>
  <c r="J15" i="67"/>
  <c r="E2" i="68"/>
  <c r="E8" i="76"/>
  <c r="F26" i="80"/>
  <c r="F38" i="80"/>
  <c r="F8" i="80"/>
  <c r="M9" i="80"/>
  <c r="F37" i="15"/>
  <c r="F42" i="67"/>
  <c r="AO10" i="1"/>
  <c r="E12" i="76"/>
  <c r="M26" i="80"/>
  <c r="M6" i="67"/>
  <c r="B8" i="76"/>
  <c r="B9" i="76"/>
  <c r="M26" i="15"/>
  <c r="F36" i="67"/>
  <c r="M28" i="67"/>
  <c r="F43" i="67"/>
  <c r="M27" i="67"/>
  <c r="B12" i="76"/>
  <c r="F6" i="80"/>
  <c r="F40" i="80"/>
  <c r="F36" i="15"/>
  <c r="M27" i="80"/>
  <c r="AO11" i="1"/>
  <c r="D3" i="73"/>
  <c r="E11" i="76"/>
  <c r="D7" i="73"/>
  <c r="F7" i="73"/>
  <c r="D2" i="33"/>
  <c r="B11" i="76"/>
  <c r="F20" i="31"/>
  <c r="F7" i="80"/>
  <c r="F37" i="80"/>
  <c r="F9" i="80"/>
  <c r="D5" i="73"/>
  <c r="L47" i="80"/>
  <c r="F26" i="15"/>
  <c r="F38" i="15"/>
  <c r="F41" i="67"/>
  <c r="M23" i="15"/>
  <c r="D2" i="34"/>
  <c r="M28" i="80"/>
  <c r="M23" i="80"/>
  <c r="L47" i="67"/>
  <c r="D2" i="36"/>
  <c r="D2" i="35"/>
  <c r="F13" i="67"/>
  <c r="E13" i="76"/>
  <c r="C76" i="67"/>
  <c r="M24" i="67"/>
  <c r="F40" i="67"/>
  <c r="L48" i="80"/>
  <c r="F4" i="73"/>
  <c r="C76" i="80"/>
  <c r="E9" i="76"/>
  <c r="M24" i="80"/>
  <c r="E7" i="76"/>
  <c r="F6" i="67"/>
  <c r="AO13" i="1"/>
  <c r="F5" i="73"/>
  <c r="F6" i="15"/>
  <c r="F8" i="15"/>
  <c r="F9" i="67"/>
  <c r="J15" i="80"/>
  <c r="F6" i="73"/>
  <c r="L47" i="15"/>
  <c r="F7" i="67"/>
  <c r="M6" i="80"/>
  <c r="AO12" i="1"/>
  <c r="E10" i="76"/>
  <c r="F26" i="67"/>
  <c r="F3" i="73"/>
  <c r="M9" i="67"/>
  <c r="M8" i="67"/>
  <c r="M6" i="15"/>
  <c r="F38" i="67"/>
  <c r="M29" i="67"/>
  <c r="F13" i="80"/>
  <c r="F16" i="15"/>
  <c r="M21" i="67"/>
  <c r="C76" i="15"/>
  <c r="M24" i="15"/>
  <c r="M23" i="67"/>
  <c r="D6" i="73"/>
  <c r="M28" i="15"/>
  <c r="AO9" i="1"/>
  <c r="F42" i="15"/>
  <c r="F35" i="67"/>
  <c r="M22" i="67"/>
  <c r="B10" i="76"/>
  <c r="C33" i="21" l="1"/>
  <c r="D34" i="77"/>
  <c r="A35" i="77"/>
  <c r="AZ28" i="3"/>
  <c r="T13" i="1"/>
  <c r="AQ13" i="1"/>
  <c r="K7" i="1"/>
  <c r="AP7" i="1" s="1"/>
  <c r="C7" i="12"/>
  <c r="E32" i="6"/>
  <c r="G5" i="3"/>
  <c r="B3" i="3" s="1"/>
  <c r="E503" i="3" s="1"/>
  <c r="BL37" i="3"/>
  <c r="BL36" i="3"/>
  <c r="BL39" i="3"/>
  <c r="AZ39" i="3" s="1"/>
  <c r="BL40" i="3"/>
  <c r="BA40" i="3"/>
  <c r="BA39" i="3"/>
  <c r="BL38" i="3"/>
  <c r="BA38" i="3"/>
  <c r="BA37" i="3"/>
  <c r="AZ37" i="3" s="1"/>
  <c r="BA36" i="3"/>
  <c r="C18" i="9"/>
  <c r="D18" i="9" s="1"/>
  <c r="D35" i="77"/>
  <c r="AZ40" i="3"/>
  <c r="AZ38" i="3"/>
  <c r="AZ36" i="3"/>
  <c r="T9" i="1"/>
  <c r="AQ9" i="1"/>
  <c r="I4" i="6"/>
  <c r="E21" i="6"/>
  <c r="E7" i="12" s="1"/>
  <c r="G27" i="6"/>
  <c r="BA26" i="3"/>
  <c r="BL26" i="3"/>
  <c r="E42" i="40"/>
  <c r="E47" i="40" s="1"/>
  <c r="F47" i="40" s="1"/>
  <c r="BT5" i="3"/>
  <c r="BN5" i="3"/>
  <c r="BD5" i="3"/>
  <c r="BS5" i="3"/>
  <c r="F28" i="6" s="1"/>
  <c r="BQ5" i="3"/>
  <c r="BO5" i="3"/>
  <c r="F29" i="6" s="1"/>
  <c r="BC5" i="3"/>
  <c r="BL5" i="3"/>
  <c r="BR5" i="3"/>
  <c r="G28" i="6" s="1"/>
  <c r="BP5" i="3"/>
  <c r="G29" i="6" s="1"/>
  <c r="AZ26" i="3"/>
  <c r="BA5" i="3"/>
  <c r="BB5" i="3"/>
  <c r="M7" i="1"/>
  <c r="C43" i="40"/>
  <c r="B55" i="40" s="1"/>
  <c r="F55" i="40" s="1"/>
  <c r="G47" i="40"/>
  <c r="H47" i="40" s="1"/>
  <c r="G46" i="40"/>
  <c r="H46" i="40" s="1"/>
  <c r="I46" i="40"/>
  <c r="J46" i="40" s="1"/>
  <c r="AQ11" i="1"/>
  <c r="T11" i="1"/>
  <c r="AR11" i="1"/>
  <c r="O13" i="1"/>
  <c r="P13" i="1" s="1"/>
  <c r="O11" i="1"/>
  <c r="P11" i="1" s="1"/>
  <c r="O9" i="1"/>
  <c r="P9" i="1" s="1"/>
  <c r="B53" i="40"/>
  <c r="F53" i="40" s="1"/>
  <c r="O12" i="1"/>
  <c r="P12" i="1" s="1"/>
  <c r="O10" i="1"/>
  <c r="P10" i="1" s="1"/>
  <c r="K6" i="1"/>
  <c r="AR10" i="1"/>
  <c r="F68" i="67"/>
  <c r="B9" i="70"/>
  <c r="B20" i="31"/>
  <c r="B21" i="31" s="1"/>
  <c r="M7" i="67"/>
  <c r="J6" i="67" s="1"/>
  <c r="F50" i="67"/>
  <c r="F66" i="67"/>
  <c r="Q71" i="67"/>
  <c r="F71" i="67"/>
  <c r="L58" i="15"/>
  <c r="N59" i="15"/>
  <c r="B13" i="70"/>
  <c r="E20" i="43"/>
  <c r="F65" i="67"/>
  <c r="F64" i="67"/>
  <c r="C6" i="67"/>
  <c r="B6" i="70"/>
  <c r="B2" i="36"/>
  <c r="B3" i="36" s="1"/>
  <c r="C27" i="67"/>
  <c r="L59" i="67"/>
  <c r="N59" i="67"/>
  <c r="L58" i="67"/>
  <c r="Q71" i="15"/>
  <c r="F51" i="67"/>
  <c r="C49" i="67" s="1"/>
  <c r="F63" i="67"/>
  <c r="C62" i="67" s="1"/>
  <c r="C34" i="67"/>
  <c r="I54" i="67"/>
  <c r="J57" i="67"/>
  <c r="J55" i="67" s="1"/>
  <c r="J58" i="67" s="1"/>
  <c r="Q50" i="67" s="1"/>
  <c r="L56" i="67"/>
  <c r="B11" i="70"/>
  <c r="B10" i="70"/>
  <c r="J20" i="67"/>
  <c r="F69" i="67"/>
  <c r="F70" i="67"/>
  <c r="B12" i="70"/>
  <c r="Q71" i="80"/>
  <c r="L57" i="15"/>
  <c r="L60" i="15"/>
  <c r="J59" i="15"/>
  <c r="L56" i="15"/>
  <c r="I54" i="15"/>
  <c r="J57" i="15"/>
  <c r="J55" i="15" s="1"/>
  <c r="J58" i="15" s="1"/>
  <c r="Q50" i="15" s="1"/>
  <c r="J60" i="15"/>
  <c r="Q48" i="15" s="1"/>
  <c r="F66" i="15"/>
  <c r="F65" i="15"/>
  <c r="F64" i="15"/>
  <c r="C27" i="15"/>
  <c r="F51" i="15"/>
  <c r="L58" i="80"/>
  <c r="N59" i="80"/>
  <c r="F68" i="80"/>
  <c r="I1" i="73"/>
  <c r="B39" i="1" s="1"/>
  <c r="F51" i="80"/>
  <c r="F68" i="15"/>
  <c r="L57" i="80"/>
  <c r="J60" i="80"/>
  <c r="Q48" i="80" s="1"/>
  <c r="J57" i="80"/>
  <c r="J55" i="80" s="1"/>
  <c r="J58" i="80" s="1"/>
  <c r="Q50" i="80" s="1"/>
  <c r="I54" i="80"/>
  <c r="J59" i="80"/>
  <c r="F66" i="80"/>
  <c r="F65" i="80"/>
  <c r="F64" i="80"/>
  <c r="C27" i="80"/>
  <c r="M7" i="80"/>
  <c r="J6" i="80" s="1"/>
  <c r="F50" i="80"/>
  <c r="C6" i="8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B4" i="49"/>
  <c r="D4" i="49" s="1"/>
  <c r="B13" i="49"/>
  <c r="D13" i="49" s="1"/>
  <c r="B11" i="49"/>
  <c r="D11" i="49" s="1"/>
  <c r="B9" i="49"/>
  <c r="D9" i="49" s="1"/>
  <c r="B7" i="49"/>
  <c r="D7" i="49" s="1"/>
  <c r="B5" i="49"/>
  <c r="D5" i="49" s="1"/>
  <c r="M29" i="80"/>
  <c r="C16" i="80"/>
  <c r="F43" i="80"/>
  <c r="G1" i="73"/>
  <c r="C16" i="67"/>
  <c r="C17" i="67"/>
  <c r="C14" i="67"/>
  <c r="E29" i="6" l="1"/>
  <c r="F33" i="21"/>
  <c r="H33" i="21"/>
  <c r="J33" i="21"/>
  <c r="E533" i="3"/>
  <c r="E445" i="3"/>
  <c r="E305" i="3"/>
  <c r="E215" i="3"/>
  <c r="E69" i="3"/>
  <c r="E410" i="3"/>
  <c r="E180" i="3"/>
  <c r="E511" i="3"/>
  <c r="F71" i="80"/>
  <c r="E563" i="3"/>
  <c r="E561" i="3"/>
  <c r="E143" i="3"/>
  <c r="E388" i="3"/>
  <c r="E530" i="3"/>
  <c r="E134" i="3"/>
  <c r="E387" i="3"/>
  <c r="E336" i="3"/>
  <c r="E172" i="3"/>
  <c r="E278" i="3"/>
  <c r="E538" i="3"/>
  <c r="AR6" i="3"/>
  <c r="E270" i="3"/>
  <c r="E337" i="3"/>
  <c r="E555" i="3"/>
  <c r="E508" i="3"/>
  <c r="E343" i="3"/>
  <c r="E175" i="3"/>
  <c r="E91" i="3"/>
  <c r="E189" i="3"/>
  <c r="E335" i="3"/>
  <c r="AK6" i="3"/>
  <c r="E293" i="3"/>
  <c r="E583" i="3"/>
  <c r="E260" i="3"/>
  <c r="E395" i="3"/>
  <c r="E415" i="3"/>
  <c r="E114" i="3"/>
  <c r="E418" i="3"/>
  <c r="E506" i="3"/>
  <c r="E523" i="3"/>
  <c r="S6" i="3"/>
  <c r="E390" i="3"/>
  <c r="E97" i="3"/>
  <c r="E285" i="3"/>
  <c r="E359" i="3"/>
  <c r="E574" i="3"/>
  <c r="O6" i="3"/>
  <c r="E328" i="3"/>
  <c r="E426" i="3"/>
  <c r="E153" i="3"/>
  <c r="E501" i="3"/>
  <c r="E319" i="3"/>
  <c r="E53" i="3"/>
  <c r="E221" i="3"/>
  <c r="E254" i="3"/>
  <c r="E130" i="3"/>
  <c r="E230" i="3"/>
  <c r="E294" i="3"/>
  <c r="E320" i="3"/>
  <c r="E434" i="3"/>
  <c r="E16" i="3"/>
  <c r="E314" i="3"/>
  <c r="E246" i="3"/>
  <c r="X6" i="3"/>
  <c r="E302" i="3"/>
  <c r="E17" i="3"/>
  <c r="E361" i="3"/>
  <c r="E213" i="3"/>
  <c r="E183" i="3"/>
  <c r="E565" i="3"/>
  <c r="E528" i="3"/>
  <c r="E304" i="3"/>
  <c r="E261" i="3"/>
  <c r="E23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17" i="3"/>
  <c r="E161" i="3"/>
  <c r="E290" i="3"/>
  <c r="E135" i="3"/>
  <c r="E61" i="3"/>
  <c r="E185" i="3"/>
  <c r="E169" i="3"/>
  <c r="E216" i="3"/>
  <c r="E298" i="3"/>
  <c r="E231" i="3"/>
  <c r="E321" i="3"/>
  <c r="E380" i="3"/>
  <c r="E338" i="3"/>
  <c r="E439" i="3"/>
  <c r="E549" i="3"/>
  <c r="E536" i="3"/>
  <c r="I6" i="3"/>
  <c r="E568" i="3"/>
  <c r="E397" i="3"/>
  <c r="E124" i="3"/>
  <c r="E280" i="3"/>
  <c r="E399" i="3"/>
  <c r="AA6" i="3"/>
  <c r="E347" i="3"/>
  <c r="E550" i="3"/>
  <c r="E329" i="3"/>
  <c r="E545" i="3"/>
  <c r="E510" i="3"/>
  <c r="E352" i="3"/>
  <c r="E205" i="3"/>
  <c r="E128" i="3"/>
  <c r="E385" i="3"/>
  <c r="E518" i="3"/>
  <c r="AI6" i="3"/>
  <c r="E578"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535" i="3"/>
  <c r="E567" i="3"/>
  <c r="E227" i="3"/>
  <c r="E353" i="3"/>
  <c r="AN6" i="3"/>
  <c r="E402" i="3"/>
  <c r="E306" i="3"/>
  <c r="E296" i="3"/>
  <c r="E262" i="3"/>
  <c r="E13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74" i="3"/>
  <c r="E367" i="3"/>
  <c r="I3" i="6"/>
  <c r="E558" i="3"/>
  <c r="E566" i="3"/>
  <c r="E505" i="3"/>
  <c r="AP6" i="3"/>
  <c r="E557" i="3"/>
  <c r="E539" i="3"/>
  <c r="E461" i="3"/>
  <c r="E165" i="3"/>
  <c r="E495" i="3"/>
  <c r="E586" i="3"/>
  <c r="E453" i="3"/>
  <c r="E368" i="3"/>
  <c r="E244" i="3"/>
  <c r="E196" i="3"/>
  <c r="E156" i="3"/>
  <c r="E148" i="3"/>
  <c r="E12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4" i="3"/>
  <c r="E284" i="3"/>
  <c r="Y6" i="3"/>
  <c r="E19" i="3"/>
  <c r="E179" i="3"/>
  <c r="E323" i="3"/>
  <c r="E82" i="3"/>
  <c r="E446" i="3"/>
  <c r="E47" i="3"/>
  <c r="E98" i="3"/>
  <c r="E65" i="3"/>
  <c r="E138" i="3"/>
  <c r="E195" i="3"/>
  <c r="E163" i="3"/>
  <c r="E248" i="3"/>
  <c r="E209" i="3"/>
  <c r="E266" i="3"/>
  <c r="E307" i="3"/>
  <c r="E386" i="3"/>
  <c r="E354" i="3"/>
  <c r="E584" i="3"/>
  <c r="E66" i="3"/>
  <c r="E48" i="3"/>
  <c r="E87" i="3"/>
  <c r="E127" i="3"/>
  <c r="E250" i="3"/>
  <c r="E341" i="3"/>
  <c r="E51" i="3"/>
  <c r="E154" i="3"/>
  <c r="E222" i="3"/>
  <c r="E373" i="3"/>
  <c r="B40" i="1"/>
  <c r="F24" i="80" s="1"/>
  <c r="C24" i="80" s="1"/>
  <c r="K15" i="1"/>
  <c r="L19" i="6"/>
  <c r="L20" i="6"/>
  <c r="AZ5" i="3"/>
  <c r="B60" i="40"/>
  <c r="B58" i="40"/>
  <c r="B52" i="40"/>
  <c r="F52" i="40" s="1"/>
  <c r="B51" i="40"/>
  <c r="E46" i="40"/>
  <c r="F46" i="40" s="1"/>
  <c r="B54" i="40"/>
  <c r="F54" i="40" s="1"/>
  <c r="B59" i="40"/>
  <c r="B56" i="40"/>
  <c r="B57" i="40"/>
  <c r="I47" i="40"/>
  <c r="J47" i="40" s="1"/>
  <c r="H6" i="3"/>
  <c r="C11" i="21"/>
  <c r="G3" i="43"/>
  <c r="C11" i="39"/>
  <c r="K8" i="1"/>
  <c r="H16" i="1" s="1"/>
  <c r="D3" i="35"/>
  <c r="B3" i="35" s="1"/>
  <c r="G30" i="6"/>
  <c r="G31" i="6" s="1"/>
  <c r="O7" i="1"/>
  <c r="P7" i="1" s="1"/>
  <c r="E5" i="6"/>
  <c r="E8" i="6"/>
  <c r="E11" i="6"/>
  <c r="E12" i="6"/>
  <c r="E13" i="6"/>
  <c r="E14" i="6"/>
  <c r="E15" i="6"/>
  <c r="E10" i="6"/>
  <c r="AY6" i="3"/>
  <c r="E3" i="6"/>
  <c r="E28" i="6"/>
  <c r="F30" i="6"/>
  <c r="L27" i="6"/>
  <c r="M6" i="1"/>
  <c r="AP6" i="1"/>
  <c r="C36" i="69" s="1"/>
  <c r="C18" i="67"/>
  <c r="C15" i="67"/>
  <c r="J18" i="80"/>
  <c r="C33" i="80"/>
  <c r="C32" i="80"/>
  <c r="F11" i="80"/>
  <c r="C53" i="80" s="1"/>
  <c r="M11" i="80"/>
  <c r="J10" i="80" s="1"/>
  <c r="J5" i="80" s="1"/>
  <c r="F11" i="15"/>
  <c r="F11" i="67"/>
  <c r="M11" i="15"/>
  <c r="M11" i="67"/>
  <c r="J10" i="67" s="1"/>
  <c r="J5" i="67" s="1"/>
  <c r="Q74" i="67"/>
  <c r="Q61" i="67"/>
  <c r="Q73" i="15"/>
  <c r="Q60" i="15"/>
  <c r="D6" i="49"/>
  <c r="C4" i="4"/>
  <c r="D10" i="49"/>
  <c r="E4" i="4"/>
  <c r="B5" i="62" s="1"/>
  <c r="B73" i="72" s="1"/>
  <c r="C49" i="80"/>
  <c r="F25" i="12"/>
  <c r="Q73" i="80"/>
  <c r="Q60" i="80"/>
  <c r="L46" i="15"/>
  <c r="Q66" i="15"/>
  <c r="Q57" i="15"/>
  <c r="Q73" i="67"/>
  <c r="Q60" i="67"/>
  <c r="J18" i="67"/>
  <c r="C32" i="67"/>
  <c r="N28" i="43"/>
  <c r="P28" i="43"/>
  <c r="M28" i="43"/>
  <c r="O28" i="43"/>
  <c r="M29" i="15"/>
  <c r="F43" i="15"/>
  <c r="F7" i="15"/>
  <c r="F24" i="67" l="1"/>
  <c r="C24" i="67" s="1"/>
  <c r="F22" i="68"/>
  <c r="F22" i="11"/>
  <c r="F22" i="69"/>
  <c r="F41" i="69" s="1"/>
  <c r="F24" i="15"/>
  <c r="C24" i="15" s="1"/>
  <c r="AB33" i="21"/>
  <c r="U33" i="21"/>
  <c r="AC33" i="21"/>
  <c r="W33" i="21"/>
  <c r="AA33" i="21"/>
  <c r="S33" i="21"/>
  <c r="G16" i="1"/>
  <c r="B29" i="1"/>
  <c r="Q16" i="1"/>
  <c r="E6" i="3"/>
  <c r="F11" i="39"/>
  <c r="H11" i="39"/>
  <c r="J11" i="39"/>
  <c r="F11" i="21"/>
  <c r="J11" i="21"/>
  <c r="H11" i="21"/>
  <c r="B113" i="43"/>
  <c r="F22" i="43"/>
  <c r="F101" i="43"/>
  <c r="E22" i="43"/>
  <c r="N104" i="46"/>
  <c r="K101" i="43"/>
  <c r="N101" i="43"/>
  <c r="C101" i="43"/>
  <c r="L101" i="43"/>
  <c r="D101" i="43"/>
  <c r="I101" i="43"/>
  <c r="G22" i="43"/>
  <c r="AJ11" i="43"/>
  <c r="AJ13" i="43" s="1"/>
  <c r="AF11" i="43"/>
  <c r="AF13" i="43" s="1"/>
  <c r="AB11" i="43"/>
  <c r="AB13" i="43" s="1"/>
  <c r="Z7" i="43"/>
  <c r="AI11" i="43"/>
  <c r="AI13" i="43" s="1"/>
  <c r="AE11" i="43"/>
  <c r="AE13" i="43" s="1"/>
  <c r="AA11" i="43"/>
  <c r="AA13" i="43" s="1"/>
  <c r="J22" i="43"/>
  <c r="H22" i="43"/>
  <c r="M101" i="43"/>
  <c r="AD11" i="43"/>
  <c r="AD13" i="43" s="1"/>
  <c r="AC11" i="43"/>
  <c r="AC13" i="43" s="1"/>
  <c r="H101" i="43"/>
  <c r="E101" i="43"/>
  <c r="AH11" i="43"/>
  <c r="AH13" i="43" s="1"/>
  <c r="Z11" i="43"/>
  <c r="Z13" i="43" s="1"/>
  <c r="AG11" i="43"/>
  <c r="AG13" i="43" s="1"/>
  <c r="Y11" i="43"/>
  <c r="Y13" i="43" s="1"/>
  <c r="G101" i="43"/>
  <c r="J101" i="43"/>
  <c r="M7" i="15"/>
  <c r="J6" i="15" s="1"/>
  <c r="J18" i="15" s="1"/>
  <c r="C6" i="15"/>
  <c r="F50" i="15"/>
  <c r="C49" i="15" s="1"/>
  <c r="F71" i="15"/>
  <c r="M8" i="1"/>
  <c r="D14" i="12"/>
  <c r="D17" i="12" s="1"/>
  <c r="C17" i="12" s="1"/>
  <c r="E6" i="6"/>
  <c r="M18" i="9"/>
  <c r="B118" i="9" s="1"/>
  <c r="B14" i="74" s="1"/>
  <c r="B1" i="74" s="1"/>
  <c r="D3" i="34"/>
  <c r="B2" i="34" s="1"/>
  <c r="B3" i="34" s="1"/>
  <c r="D3" i="33"/>
  <c r="B2" i="33" s="1"/>
  <c r="B3" i="33" s="1"/>
  <c r="D37" i="11"/>
  <c r="D3" i="37"/>
  <c r="B2" i="37" s="1"/>
  <c r="B3" i="37" s="1"/>
  <c r="D19" i="11"/>
  <c r="C19" i="11" s="1"/>
  <c r="C20" i="11" s="1"/>
  <c r="C17" i="4"/>
  <c r="B4" i="52" s="1"/>
  <c r="B43" i="72" s="1"/>
  <c r="L18" i="9"/>
  <c r="E64" i="39"/>
  <c r="E59" i="40"/>
  <c r="F59" i="40" s="1"/>
  <c r="E62" i="39"/>
  <c r="E57" i="40"/>
  <c r="F57" i="40" s="1"/>
  <c r="E56" i="39"/>
  <c r="F27" i="6"/>
  <c r="E51" i="40"/>
  <c r="F51" i="40" s="1"/>
  <c r="E16" i="6"/>
  <c r="E30" i="6"/>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5" i="39"/>
  <c r="E60" i="40"/>
  <c r="F60" i="40" s="1"/>
  <c r="E63" i="39"/>
  <c r="E58" i="40"/>
  <c r="F58" i="40" s="1"/>
  <c r="E61" i="39"/>
  <c r="E56" i="40"/>
  <c r="F56" i="40" s="1"/>
  <c r="D9" i="68"/>
  <c r="D9" i="11"/>
  <c r="C9" i="11" s="1"/>
  <c r="D9" i="69"/>
  <c r="D19" i="12"/>
  <c r="C19" i="12" s="1"/>
  <c r="C48" i="80"/>
  <c r="C66" i="80" s="1"/>
  <c r="C19" i="67"/>
  <c r="C20" i="67" s="1"/>
  <c r="C26" i="67" s="1"/>
  <c r="F28" i="12"/>
  <c r="F27" i="11"/>
  <c r="F27" i="68"/>
  <c r="F27" i="69"/>
  <c r="C8" i="68"/>
  <c r="F10" i="39"/>
  <c r="J10" i="39"/>
  <c r="H10" i="39"/>
  <c r="H10" i="40"/>
  <c r="F10" i="40"/>
  <c r="J10" i="40"/>
  <c r="O6" i="1"/>
  <c r="J26" i="80"/>
  <c r="J24" i="80"/>
  <c r="C26" i="69"/>
  <c r="D22" i="69" s="1"/>
  <c r="J26" i="67"/>
  <c r="J29" i="67" s="1"/>
  <c r="J24" i="67"/>
  <c r="F41" i="68"/>
  <c r="C60" i="80"/>
  <c r="C53" i="67"/>
  <c r="C48" i="67" s="1"/>
  <c r="C10" i="67"/>
  <c r="C5" i="67" s="1"/>
  <c r="C10" i="80"/>
  <c r="C5" i="80" s="1"/>
  <c r="B4" i="62"/>
  <c r="B71" i="72" s="1"/>
  <c r="K4" i="4"/>
  <c r="B46" i="48" s="1"/>
  <c r="B4" i="72" s="1"/>
  <c r="C10" i="15"/>
  <c r="C53" i="15"/>
  <c r="C48" i="15" s="1"/>
  <c r="C16" i="15"/>
  <c r="C44" i="69" l="1"/>
  <c r="D41" i="69" s="1"/>
  <c r="F31" i="6"/>
  <c r="E27" i="6"/>
  <c r="J104" i="43"/>
  <c r="J103" i="43"/>
  <c r="J102" i="43"/>
  <c r="J109" i="43"/>
  <c r="J105" i="43"/>
  <c r="J107" i="43"/>
  <c r="J106" i="43"/>
  <c r="H105" i="43"/>
  <c r="H102" i="43"/>
  <c r="H104" i="43"/>
  <c r="H103" i="43"/>
  <c r="H107" i="43"/>
  <c r="H109" i="43"/>
  <c r="H106" i="43"/>
  <c r="C5" i="15"/>
  <c r="G103" i="43"/>
  <c r="G109" i="43"/>
  <c r="G107" i="43"/>
  <c r="G105" i="43"/>
  <c r="G106" i="43"/>
  <c r="G102" i="43"/>
  <c r="G104" i="43"/>
  <c r="E104" i="43"/>
  <c r="E109" i="43"/>
  <c r="E105" i="43"/>
  <c r="E102" i="43"/>
  <c r="E106" i="43"/>
  <c r="E103" i="43"/>
  <c r="E107" i="43"/>
  <c r="M109" i="43"/>
  <c r="M106" i="43"/>
  <c r="M107" i="43"/>
  <c r="M104" i="43"/>
  <c r="M103" i="43"/>
  <c r="M102" i="43"/>
  <c r="M105" i="43"/>
  <c r="D109" i="43"/>
  <c r="D104" i="43"/>
  <c r="D107" i="43"/>
  <c r="D103" i="43"/>
  <c r="D106" i="43"/>
  <c r="D105" i="43"/>
  <c r="D102" i="43"/>
  <c r="C104" i="43"/>
  <c r="C106" i="43"/>
  <c r="C107" i="43"/>
  <c r="C103" i="43"/>
  <c r="C102" i="43"/>
  <c r="C105" i="43"/>
  <c r="C109" i="43"/>
  <c r="K103" i="43"/>
  <c r="K102" i="43"/>
  <c r="K106" i="43"/>
  <c r="K104" i="43"/>
  <c r="K109" i="43"/>
  <c r="K107" i="43"/>
  <c r="K105" i="43"/>
  <c r="D22" i="43"/>
  <c r="AB11" i="21"/>
  <c r="T48" i="21" s="1"/>
  <c r="G48" i="21" s="1"/>
  <c r="U11" i="21"/>
  <c r="AA11" i="21"/>
  <c r="R48" i="21" s="1"/>
  <c r="S11" i="21"/>
  <c r="U11" i="39"/>
  <c r="AB11" i="39"/>
  <c r="I109" i="43"/>
  <c r="I102" i="43"/>
  <c r="I107" i="43"/>
  <c r="I105" i="43"/>
  <c r="I106" i="43"/>
  <c r="I104" i="43"/>
  <c r="I103" i="43"/>
  <c r="L109" i="43"/>
  <c r="L105" i="43"/>
  <c r="L102" i="43"/>
  <c r="L107" i="43"/>
  <c r="L106" i="43"/>
  <c r="L103" i="43"/>
  <c r="L104" i="43"/>
  <c r="N102" i="43"/>
  <c r="N103" i="43"/>
  <c r="N106" i="43"/>
  <c r="N104" i="43"/>
  <c r="N107" i="43"/>
  <c r="N109" i="43"/>
  <c r="N105" i="43"/>
  <c r="F104" i="43"/>
  <c r="F102" i="43"/>
  <c r="F103" i="43"/>
  <c r="F107" i="43"/>
  <c r="F109" i="43"/>
  <c r="F106" i="43"/>
  <c r="F105" i="43"/>
  <c r="I118" i="43"/>
  <c r="J118" i="43" s="1"/>
  <c r="K118" i="43" s="1"/>
  <c r="L118" i="43" s="1"/>
  <c r="M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B115" i="43"/>
  <c r="D118" i="43"/>
  <c r="E118" i="43" s="1"/>
  <c r="F118" i="43" s="1"/>
  <c r="I115" i="43"/>
  <c r="J115" i="43" s="1"/>
  <c r="K115" i="43" s="1"/>
  <c r="L115" i="43" s="1"/>
  <c r="M115" i="43" s="1"/>
  <c r="G118" i="43"/>
  <c r="H118" i="43" s="1"/>
  <c r="B118" i="43"/>
  <c r="C118" i="43" s="1"/>
  <c r="B117" i="43"/>
  <c r="C117" i="43" s="1"/>
  <c r="D115" i="43"/>
  <c r="E115" i="43" s="1"/>
  <c r="F115" i="43" s="1"/>
  <c r="G115" i="43" s="1"/>
  <c r="H115" i="43" s="1"/>
  <c r="W11" i="21"/>
  <c r="AC11" i="21"/>
  <c r="V48" i="21" s="1"/>
  <c r="I48" i="21" s="1"/>
  <c r="W11" i="39"/>
  <c r="AC11" i="39"/>
  <c r="AA11" i="39"/>
  <c r="S11" i="39"/>
  <c r="J10" i="15"/>
  <c r="J5" i="15" s="1"/>
  <c r="C32" i="15"/>
  <c r="C33" i="15"/>
  <c r="O8" i="1"/>
  <c r="P8" i="1" s="1"/>
  <c r="M14" i="1"/>
  <c r="K16" i="1"/>
  <c r="C34" i="69"/>
  <c r="D20" i="12"/>
  <c r="C20" i="12" s="1"/>
  <c r="C18" i="12" s="1"/>
  <c r="D10" i="68"/>
  <c r="C10" i="68" s="1"/>
  <c r="D10" i="11"/>
  <c r="C10" i="11" s="1"/>
  <c r="D10" i="69"/>
  <c r="C10" i="69" s="1"/>
  <c r="C9" i="69"/>
  <c r="C9" i="68"/>
  <c r="D20" i="6"/>
  <c r="D21" i="6"/>
  <c r="M19" i="9"/>
  <c r="C118" i="9" s="1"/>
  <c r="C14" i="74" s="1"/>
  <c r="B2" i="74" s="1"/>
  <c r="D25" i="6"/>
  <c r="D15" i="6"/>
  <c r="D22" i="6"/>
  <c r="D23" i="6"/>
  <c r="D14" i="6"/>
  <c r="D6" i="6"/>
  <c r="D9" i="6"/>
  <c r="D10" i="6"/>
  <c r="L19" i="9"/>
  <c r="D29" i="6"/>
  <c r="D19" i="6"/>
  <c r="D26" i="6"/>
  <c r="C18" i="4"/>
  <c r="D8" i="6"/>
  <c r="D24" i="6"/>
  <c r="D5" i="6"/>
  <c r="D12" i="6"/>
  <c r="D11" i="6"/>
  <c r="D13" i="6"/>
  <c r="D28" i="6"/>
  <c r="E61" i="40"/>
  <c r="F61" i="40" s="1"/>
  <c r="B2" i="40" s="1"/>
  <c r="B3" i="40" s="1"/>
  <c r="E66" i="39"/>
  <c r="C7" i="74"/>
  <c r="C8" i="74"/>
  <c r="P6" i="1"/>
  <c r="AA10" i="40"/>
  <c r="S10" i="40"/>
  <c r="AB10" i="39"/>
  <c r="T47" i="39" s="1"/>
  <c r="G47" i="39" s="1"/>
  <c r="U10" i="39"/>
  <c r="AA10" i="39"/>
  <c r="R47" i="39" s="1"/>
  <c r="S10" i="39"/>
  <c r="C47" i="69"/>
  <c r="D45" i="69" s="1"/>
  <c r="C29" i="69"/>
  <c r="D27" i="69" s="1"/>
  <c r="F45" i="69"/>
  <c r="C47" i="11"/>
  <c r="D45" i="11" s="1"/>
  <c r="W10" i="40"/>
  <c r="AC10" i="40"/>
  <c r="U10" i="40"/>
  <c r="AB10" i="40"/>
  <c r="AC10" i="39"/>
  <c r="V47" i="39" s="1"/>
  <c r="I47" i="39" s="1"/>
  <c r="W10" i="39"/>
  <c r="C47" i="68"/>
  <c r="D45" i="68" s="1"/>
  <c r="F45" i="68"/>
  <c r="C66" i="15"/>
  <c r="C60" i="15"/>
  <c r="C38" i="15"/>
  <c r="C23" i="67"/>
  <c r="C29" i="67" s="1"/>
  <c r="C38" i="67"/>
  <c r="C38" i="80"/>
  <c r="C60" i="67"/>
  <c r="C66" i="67"/>
  <c r="D19" i="68" l="1"/>
  <c r="D37" i="68" s="1"/>
  <c r="D19" i="69"/>
  <c r="D37" i="69" s="1"/>
  <c r="C37" i="69" s="1"/>
  <c r="K20" i="6"/>
  <c r="K19" i="6"/>
  <c r="K23" i="6"/>
  <c r="M23" i="6" s="1"/>
  <c r="I23" i="6" s="1"/>
  <c r="K21" i="6"/>
  <c r="K26" i="6"/>
  <c r="M26" i="6" s="1"/>
  <c r="I26" i="6" s="1"/>
  <c r="K25" i="6"/>
  <c r="M25" i="6" s="1"/>
  <c r="I25" i="6" s="1"/>
  <c r="K24" i="6"/>
  <c r="M24" i="6" s="1"/>
  <c r="I24" i="6" s="1"/>
  <c r="K22" i="6"/>
  <c r="M22" i="6" s="1"/>
  <c r="I22" i="6" s="1"/>
  <c r="E31" i="6"/>
  <c r="S3" i="43"/>
  <c r="T3" i="43" s="1"/>
  <c r="V3" i="43" s="1"/>
  <c r="C23" i="43"/>
  <c r="C21" i="43" s="1"/>
  <c r="S7" i="43"/>
  <c r="T7" i="43" s="1"/>
  <c r="V7" i="43" s="1"/>
  <c r="S2" i="43"/>
  <c r="T2" i="43" s="1"/>
  <c r="V2" i="43" s="1"/>
  <c r="C26" i="43" s="1"/>
  <c r="B2" i="43" s="1"/>
  <c r="S5" i="43"/>
  <c r="T5" i="43" s="1"/>
  <c r="V5" i="43" s="1"/>
  <c r="S6" i="43"/>
  <c r="T6" i="43" s="1"/>
  <c r="V6" i="43" s="1"/>
  <c r="S4" i="43"/>
  <c r="T4" i="43" s="1"/>
  <c r="V4" i="43" s="1"/>
  <c r="I52" i="21"/>
  <c r="J52" i="21" s="1"/>
  <c r="C115" i="43"/>
  <c r="D113" i="43" s="1"/>
  <c r="R49" i="21"/>
  <c r="E48" i="21"/>
  <c r="G52" i="21"/>
  <c r="H52" i="21" s="1"/>
  <c r="G53" i="21"/>
  <c r="H53" i="21" s="1"/>
  <c r="J26" i="15"/>
  <c r="J24" i="15"/>
  <c r="C8" i="69"/>
  <c r="C5" i="69" s="1"/>
  <c r="D30" i="6"/>
  <c r="D16" i="6"/>
  <c r="C19" i="69"/>
  <c r="C35" i="69"/>
  <c r="C38" i="69"/>
  <c r="O14" i="1"/>
  <c r="O16" i="1" s="1"/>
  <c r="M16" i="1"/>
  <c r="A7" i="51"/>
  <c r="B7" i="72" s="1"/>
  <c r="C4" i="52"/>
  <c r="B45" i="72" s="1"/>
  <c r="A10" i="51"/>
  <c r="B9" i="72" s="1"/>
  <c r="D27" i="6"/>
  <c r="D7" i="74"/>
  <c r="D8" i="74"/>
  <c r="R48" i="39"/>
  <c r="E47" i="39"/>
  <c r="G51" i="39"/>
  <c r="H51" i="39" s="1"/>
  <c r="G52" i="39"/>
  <c r="H52" i="39" s="1"/>
  <c r="I51" i="39"/>
  <c r="J51" i="39" s="1"/>
  <c r="I52" i="39"/>
  <c r="J52" i="39" s="1"/>
  <c r="C13" i="12"/>
  <c r="C36" i="67"/>
  <c r="C13" i="67"/>
  <c r="Q49" i="67"/>
  <c r="C33" i="67"/>
  <c r="C31" i="67" s="1"/>
  <c r="J14" i="67"/>
  <c r="J19" i="67"/>
  <c r="J17" i="67" s="1"/>
  <c r="C57" i="67"/>
  <c r="J59" i="67"/>
  <c r="B6" i="76"/>
  <c r="D31" i="6" l="1"/>
  <c r="C20" i="69"/>
  <c r="C25" i="69" s="1"/>
  <c r="C23" i="69"/>
  <c r="S22" i="6"/>
  <c r="H22" i="6"/>
  <c r="R22" i="6" s="1"/>
  <c r="S25" i="6"/>
  <c r="H25" i="6"/>
  <c r="R25" i="6" s="1"/>
  <c r="M21" i="6"/>
  <c r="I21" i="6" s="1"/>
  <c r="S8" i="1"/>
  <c r="K27" i="6"/>
  <c r="M19" i="6"/>
  <c r="S6" i="1"/>
  <c r="S24" i="6"/>
  <c r="H24" i="6"/>
  <c r="R24" i="6" s="1"/>
  <c r="S26" i="6"/>
  <c r="H26" i="6"/>
  <c r="R26" i="6" s="1"/>
  <c r="S23" i="6"/>
  <c r="H23" i="6"/>
  <c r="R23" i="6" s="1"/>
  <c r="M20" i="6"/>
  <c r="I20" i="6" s="1"/>
  <c r="S7" i="1"/>
  <c r="B2" i="76"/>
  <c r="E52" i="21"/>
  <c r="F52" i="21" s="1"/>
  <c r="E53" i="21"/>
  <c r="F53" i="21" s="1"/>
  <c r="I53" i="21"/>
  <c r="J53" i="21" s="1"/>
  <c r="C49" i="21"/>
  <c r="B2" i="21" s="1"/>
  <c r="B3" i="21" s="1"/>
  <c r="C48" i="21"/>
  <c r="C6" i="12" s="1"/>
  <c r="C8" i="12" s="1"/>
  <c r="B3" i="43"/>
  <c r="C29" i="43"/>
  <c r="C33" i="69"/>
  <c r="C39" i="69" s="1"/>
  <c r="P14" i="1"/>
  <c r="P16" i="1" s="1"/>
  <c r="C11" i="12" s="1"/>
  <c r="C12" i="12" s="1"/>
  <c r="I5" i="6"/>
  <c r="I6" i="6"/>
  <c r="L16" i="1"/>
  <c r="N16" i="1"/>
  <c r="B21" i="1" s="1"/>
  <c r="C24" i="69"/>
  <c r="E52" i="39"/>
  <c r="F52" i="39" s="1"/>
  <c r="E51" i="39"/>
  <c r="F51" i="39" s="1"/>
  <c r="C48" i="39"/>
  <c r="C47" i="39"/>
  <c r="C56" i="67"/>
  <c r="C65" i="67" s="1"/>
  <c r="C75" i="67"/>
  <c r="C37" i="67"/>
  <c r="C30" i="67" s="1"/>
  <c r="C39" i="67" s="1"/>
  <c r="Q70" i="67"/>
  <c r="C61" i="67"/>
  <c r="C59" i="67" s="1"/>
  <c r="C64" i="67"/>
  <c r="J13" i="67"/>
  <c r="J23" i="67" s="1"/>
  <c r="J22" i="67"/>
  <c r="C17" i="15"/>
  <c r="C17" i="80"/>
  <c r="C42" i="69" l="1"/>
  <c r="C28" i="69"/>
  <c r="C27" i="69" s="1"/>
  <c r="C22" i="69"/>
  <c r="C15" i="12"/>
  <c r="H20" i="6"/>
  <c r="R20" i="6" s="1"/>
  <c r="R7" i="1" s="1"/>
  <c r="S20" i="6"/>
  <c r="I19" i="6"/>
  <c r="M27" i="6"/>
  <c r="T8" i="1"/>
  <c r="AR8" i="1"/>
  <c r="E8" i="70"/>
  <c r="AQ8" i="1"/>
  <c r="T7" i="1"/>
  <c r="AQ7" i="1"/>
  <c r="AR7" i="1"/>
  <c r="E7" i="70"/>
  <c r="AQ6" i="1"/>
  <c r="AR6" i="1"/>
  <c r="T6" i="1"/>
  <c r="T16" i="1" s="1"/>
  <c r="S16" i="1"/>
  <c r="S21" i="6"/>
  <c r="H21" i="6"/>
  <c r="R21" i="6" s="1"/>
  <c r="R8" i="1" s="1"/>
  <c r="C30" i="43"/>
  <c r="E30" i="43" s="1"/>
  <c r="C27" i="43" s="1"/>
  <c r="E29" i="43"/>
  <c r="C43" i="69"/>
  <c r="C41" i="69" s="1"/>
  <c r="C46" i="69"/>
  <c r="C45" i="69" s="1"/>
  <c r="C28" i="11"/>
  <c r="C27" i="11" s="1"/>
  <c r="C29" i="68"/>
  <c r="D27" i="68" s="1"/>
  <c r="B23" i="1"/>
  <c r="C44" i="68"/>
  <c r="D41" i="68" s="1"/>
  <c r="C44" i="11"/>
  <c r="D41" i="11" s="1"/>
  <c r="B24" i="1"/>
  <c r="C24" i="68"/>
  <c r="C24" i="11"/>
  <c r="C29" i="11"/>
  <c r="D27" i="11" s="1"/>
  <c r="B56" i="39"/>
  <c r="F56" i="39" s="1"/>
  <c r="B57" i="39"/>
  <c r="F57" i="39" s="1"/>
  <c r="B58" i="39"/>
  <c r="F58" i="39" s="1"/>
  <c r="B59" i="39"/>
  <c r="F59" i="39" s="1"/>
  <c r="B60" i="39"/>
  <c r="F60" i="39" s="1"/>
  <c r="B61" i="39"/>
  <c r="F61" i="39" s="1"/>
  <c r="B62" i="39"/>
  <c r="F62" i="39" s="1"/>
  <c r="B63" i="39"/>
  <c r="F63" i="39" s="1"/>
  <c r="B64" i="39"/>
  <c r="F64" i="39" s="1"/>
  <c r="B65" i="39"/>
  <c r="F65" i="39" s="1"/>
  <c r="J16" i="67"/>
  <c r="J25" i="67" s="1"/>
  <c r="C80" i="67"/>
  <c r="C79" i="67" s="1"/>
  <c r="L60" i="80"/>
  <c r="Q69" i="67"/>
  <c r="Q68" i="67" s="1"/>
  <c r="C40" i="67"/>
  <c r="C58" i="67"/>
  <c r="C67" i="67" s="1"/>
  <c r="C68" i="67" s="1"/>
  <c r="E6" i="76"/>
  <c r="C14" i="80"/>
  <c r="L51" i="67"/>
  <c r="F35" i="15"/>
  <c r="F35" i="80"/>
  <c r="M21" i="80"/>
  <c r="M21" i="15"/>
  <c r="C14" i="15"/>
  <c r="C31" i="69" l="1"/>
  <c r="E2" i="70"/>
  <c r="J20" i="15"/>
  <c r="C34" i="15"/>
  <c r="C31" i="15" s="1"/>
  <c r="F63" i="15"/>
  <c r="C62" i="15" s="1"/>
  <c r="C15" i="80"/>
  <c r="C18" i="80"/>
  <c r="C18" i="15"/>
  <c r="C15" i="15"/>
  <c r="J20" i="80"/>
  <c r="F63" i="80"/>
  <c r="C62" i="80" s="1"/>
  <c r="C34" i="80"/>
  <c r="C31" i="80" s="1"/>
  <c r="H19" i="6"/>
  <c r="S19" i="6"/>
  <c r="S27" i="6" s="1"/>
  <c r="I27" i="6"/>
  <c r="E2" i="76"/>
  <c r="B3" i="76" s="1"/>
  <c r="C49" i="69"/>
  <c r="C23" i="11"/>
  <c r="C26" i="68"/>
  <c r="D22" i="68" s="1"/>
  <c r="C25" i="11"/>
  <c r="C26" i="11"/>
  <c r="D22" i="11" s="1"/>
  <c r="F11" i="12"/>
  <c r="C14" i="12" s="1"/>
  <c r="C16" i="12" s="1"/>
  <c r="C21" i="12" s="1"/>
  <c r="C22" i="12" s="1"/>
  <c r="F50" i="69"/>
  <c r="F50" i="11"/>
  <c r="J53" i="67"/>
  <c r="J53" i="80"/>
  <c r="J53" i="15"/>
  <c r="C29" i="12"/>
  <c r="D28" i="12" s="1"/>
  <c r="F34" i="68"/>
  <c r="F50" i="68"/>
  <c r="F34" i="11"/>
  <c r="M59" i="67"/>
  <c r="M59" i="80"/>
  <c r="L59" i="80" s="1"/>
  <c r="M59" i="15"/>
  <c r="L59" i="15" s="1"/>
  <c r="C26" i="12"/>
  <c r="D25" i="12" s="1"/>
  <c r="Q66" i="80"/>
  <c r="L46" i="80"/>
  <c r="Q57" i="80"/>
  <c r="F66" i="39"/>
  <c r="B2" i="39" s="1"/>
  <c r="Q67" i="67"/>
  <c r="L57" i="67"/>
  <c r="L60" i="67" s="1"/>
  <c r="C71" i="67"/>
  <c r="C45" i="67"/>
  <c r="C46" i="67" s="1"/>
  <c r="Q65" i="67"/>
  <c r="C43" i="67"/>
  <c r="Q56" i="67"/>
  <c r="Q47" i="67"/>
  <c r="C83" i="67"/>
  <c r="C82" i="67" s="1"/>
  <c r="C19" i="15" l="1"/>
  <c r="C20" i="15" s="1"/>
  <c r="C23" i="15" s="1"/>
  <c r="C51" i="69"/>
  <c r="C52" i="69" s="1"/>
  <c r="B2" i="69" s="1"/>
  <c r="B3" i="69" s="1"/>
  <c r="C19" i="80"/>
  <c r="C20" i="80" s="1"/>
  <c r="C23" i="80" s="1"/>
  <c r="R19" i="6"/>
  <c r="H27" i="6"/>
  <c r="L56" i="80"/>
  <c r="Q52" i="80"/>
  <c r="F1" i="80"/>
  <c r="Q74" i="80"/>
  <c r="Q61" i="80"/>
  <c r="C34" i="11"/>
  <c r="C37" i="11"/>
  <c r="C36" i="11"/>
  <c r="C34" i="68"/>
  <c r="C37" i="68"/>
  <c r="C36" i="68"/>
  <c r="F1" i="15"/>
  <c r="Q52" i="15"/>
  <c r="Q52" i="67"/>
  <c r="F1" i="67"/>
  <c r="J60" i="67"/>
  <c r="Q61" i="15"/>
  <c r="Q74" i="15"/>
  <c r="C22" i="11"/>
  <c r="C31" i="11" s="1"/>
  <c r="C6" i="68"/>
  <c r="B3" i="39"/>
  <c r="Q66" i="67"/>
  <c r="Q75" i="67" s="1"/>
  <c r="Q57" i="67"/>
  <c r="Q62" i="67" s="1"/>
  <c r="AE7" i="1"/>
  <c r="AE8" i="1"/>
  <c r="C57" i="69" l="1"/>
  <c r="C56" i="69" s="1"/>
  <c r="C26" i="15"/>
  <c r="C29" i="15" s="1"/>
  <c r="C26" i="80"/>
  <c r="C29" i="80" s="1"/>
  <c r="R27" i="6"/>
  <c r="R6" i="1"/>
  <c r="R16" i="1" s="1"/>
  <c r="Q48" i="67"/>
  <c r="Q53" i="67" s="1"/>
  <c r="L46" i="67"/>
  <c r="D2" i="67" s="1"/>
  <c r="C35" i="68"/>
  <c r="C38" i="68"/>
  <c r="C35" i="11"/>
  <c r="C38" i="11"/>
  <c r="C33" i="11" s="1"/>
  <c r="C7" i="68"/>
  <c r="C5" i="68" s="1"/>
  <c r="F41" i="80"/>
  <c r="F41" i="15"/>
  <c r="J29" i="80" l="1"/>
  <c r="F69" i="80"/>
  <c r="F69" i="15"/>
  <c r="J29" i="15"/>
  <c r="J14" i="15"/>
  <c r="C57" i="15"/>
  <c r="Q49" i="15"/>
  <c r="C36" i="15"/>
  <c r="J19" i="15"/>
  <c r="J17" i="15" s="1"/>
  <c r="C13" i="15"/>
  <c r="C13" i="80"/>
  <c r="J14" i="80"/>
  <c r="C36" i="80"/>
  <c r="Q49" i="80"/>
  <c r="J19" i="80"/>
  <c r="J17" i="80" s="1"/>
  <c r="C57" i="80"/>
  <c r="C39" i="11"/>
  <c r="C43" i="11" s="1"/>
  <c r="C42" i="11"/>
  <c r="C33" i="68"/>
  <c r="B3" i="67"/>
  <c r="B2" i="67"/>
  <c r="C20" i="68"/>
  <c r="C25" i="68" s="1"/>
  <c r="C23" i="68"/>
  <c r="J13" i="15" l="1"/>
  <c r="J23" i="15" s="1"/>
  <c r="J22" i="15"/>
  <c r="C37" i="15"/>
  <c r="C30" i="15" s="1"/>
  <c r="C39" i="15" s="1"/>
  <c r="C75" i="15"/>
  <c r="Q70" i="15"/>
  <c r="C56" i="15"/>
  <c r="C65" i="15" s="1"/>
  <c r="C64" i="15"/>
  <c r="C61" i="15"/>
  <c r="C59" i="15" s="1"/>
  <c r="C61" i="80"/>
  <c r="C59" i="80" s="1"/>
  <c r="C64" i="80"/>
  <c r="J13" i="80"/>
  <c r="J23" i="80" s="1"/>
  <c r="J22" i="80"/>
  <c r="C56" i="80"/>
  <c r="C65" i="80" s="1"/>
  <c r="C75" i="80"/>
  <c r="Q70" i="80"/>
  <c r="C37" i="80"/>
  <c r="C30" i="80" s="1"/>
  <c r="C39" i="80" s="1"/>
  <c r="C46" i="11"/>
  <c r="C45" i="11" s="1"/>
  <c r="C41" i="11"/>
  <c r="C39" i="68"/>
  <c r="C46" i="68" s="1"/>
  <c r="C45" i="68" s="1"/>
  <c r="C42" i="68"/>
  <c r="C22" i="68"/>
  <c r="C28" i="68"/>
  <c r="C27" i="68" s="1"/>
  <c r="L51" i="80"/>
  <c r="L51" i="15"/>
  <c r="Q67" i="15" l="1"/>
  <c r="J16" i="80"/>
  <c r="J25" i="80" s="1"/>
  <c r="C58" i="15"/>
  <c r="C67" i="15" s="1"/>
  <c r="C68" i="15" s="1"/>
  <c r="C80" i="15"/>
  <c r="C79" i="15" s="1"/>
  <c r="J16" i="15"/>
  <c r="J25" i="15" s="1"/>
  <c r="Q69" i="15"/>
  <c r="Q68" i="15" s="1"/>
  <c r="C40" i="15"/>
  <c r="Q67" i="80"/>
  <c r="C58" i="80"/>
  <c r="C67" i="80" s="1"/>
  <c r="C68" i="80" s="1"/>
  <c r="C40" i="80"/>
  <c r="Q69" i="80"/>
  <c r="Q68" i="80" s="1"/>
  <c r="C80" i="80"/>
  <c r="C79" i="80" s="1"/>
  <c r="C49" i="11"/>
  <c r="C51" i="11" s="1"/>
  <c r="C52" i="11" s="1"/>
  <c r="B2" i="11" s="1"/>
  <c r="B3" i="11" s="1"/>
  <c r="C43" i="68"/>
  <c r="C41" i="68" s="1"/>
  <c r="C49" i="68" s="1"/>
  <c r="C51" i="68" s="1"/>
  <c r="C31" i="68"/>
  <c r="Q65" i="15" l="1"/>
  <c r="Q75" i="15" s="1"/>
  <c r="C83" i="15"/>
  <c r="C82" i="15" s="1"/>
  <c r="Q56" i="15"/>
  <c r="Q62" i="15" s="1"/>
  <c r="B2" i="15"/>
  <c r="C43" i="15"/>
  <c r="Q47" i="15"/>
  <c r="Q53" i="15" s="1"/>
  <c r="C71" i="15"/>
  <c r="C46" i="15"/>
  <c r="C46" i="80"/>
  <c r="C71" i="80"/>
  <c r="B2" i="80"/>
  <c r="C43" i="80"/>
  <c r="Q47" i="80"/>
  <c r="Q53" i="80" s="1"/>
  <c r="Q56" i="80"/>
  <c r="Q62" i="80" s="1"/>
  <c r="Q65" i="80"/>
  <c r="Q75" i="80" s="1"/>
  <c r="C83" i="80"/>
  <c r="C82" i="80" s="1"/>
  <c r="C56" i="11"/>
  <c r="C57" i="11" s="1"/>
  <c r="C52" i="68"/>
  <c r="B2" i="68" s="1"/>
  <c r="AO8" i="1"/>
  <c r="D19" i="9"/>
  <c r="AO7" i="1"/>
  <c r="B8" i="70" l="1"/>
  <c r="B3" i="15"/>
  <c r="B7" i="70"/>
  <c r="B2" i="70" s="1"/>
  <c r="B3" i="70" s="1"/>
  <c r="B3" i="80"/>
  <c r="D6" i="12" s="1"/>
  <c r="D8" i="12" s="1"/>
  <c r="C4" i="12" s="1"/>
  <c r="C57" i="68"/>
  <c r="C56" i="68" s="1"/>
  <c r="D21" i="9"/>
  <c r="D102" i="9"/>
  <c r="B3" i="68"/>
  <c r="D35" i="9"/>
  <c r="D20" i="9"/>
  <c r="D34" i="9"/>
  <c r="C31" i="12" l="1"/>
  <c r="C23" i="12"/>
  <c r="D103" i="9"/>
  <c r="C30" i="12" l="1"/>
  <c r="C28" i="12" s="1"/>
  <c r="C27" i="12"/>
  <c r="C25" i="12" s="1"/>
  <c r="C32" i="12" l="1"/>
  <c r="B2" i="12" s="1"/>
  <c r="C19" i="9"/>
  <c r="G19" i="9" l="1"/>
  <c r="D22" i="9"/>
  <c r="C102" i="9"/>
  <c r="C21" i="9"/>
  <c r="B3" i="12"/>
  <c r="C20" i="9"/>
  <c r="G20" i="9" l="1"/>
  <c r="C103" i="9"/>
  <c r="C32" i="9"/>
  <c r="D27" i="9"/>
  <c r="G21" i="9"/>
  <c r="C35" i="9" l="1"/>
  <c r="F118" i="9" s="1"/>
  <c r="H118" i="9"/>
  <c r="C104" i="9" l="1"/>
  <c r="I118" i="9"/>
  <c r="D14" i="74"/>
  <c r="H101" i="9"/>
  <c r="H119" i="9"/>
  <c r="H5" i="52" s="1"/>
  <c r="H4" i="52"/>
  <c r="G118" i="9"/>
  <c r="G4" i="52" s="1"/>
  <c r="B52" i="72" s="1"/>
  <c r="F4" i="52"/>
  <c r="B51" i="72" s="1"/>
  <c r="F119" i="9"/>
  <c r="F5" i="52" s="1"/>
  <c r="B53" i="72" s="1"/>
  <c r="C34" i="9"/>
  <c r="D118" i="9" s="1"/>
  <c r="D4" i="52" l="1"/>
  <c r="B47" i="72" s="1"/>
  <c r="D119" i="9"/>
  <c r="D5" i="52" s="1"/>
  <c r="B49" i="72" s="1"/>
  <c r="D5" i="53"/>
  <c r="H107" i="9"/>
  <c r="D45" i="9"/>
  <c r="M48" i="9"/>
  <c r="C105" i="9"/>
  <c r="I4" i="52"/>
  <c r="H102" i="9"/>
  <c r="D7" i="53" s="1"/>
  <c r="B21" i="72" s="1"/>
  <c r="E118" i="9"/>
  <c r="E4" i="52" s="1"/>
  <c r="B48" i="72" s="1"/>
  <c r="F14" i="74"/>
  <c r="E14" i="74"/>
  <c r="B5" i="74"/>
  <c r="M49" i="9" l="1"/>
  <c r="D13" i="53"/>
  <c r="D122" i="9"/>
  <c r="H108" i="9"/>
  <c r="D15" i="53" s="1"/>
  <c r="B31" i="72" s="1"/>
  <c r="D5" i="74"/>
  <c r="C5" i="74"/>
  <c r="D53" i="9"/>
  <c r="D55" i="9"/>
  <c r="M53" i="9" s="1"/>
  <c r="C85" i="9"/>
  <c r="C64" i="9"/>
  <c r="C63" i="9" s="1"/>
  <c r="C67" i="9" s="1"/>
  <c r="C78" i="9"/>
  <c r="C73" i="9" s="1"/>
  <c r="C93" i="9"/>
  <c r="C86" i="9" s="1"/>
  <c r="D52" i="9"/>
  <c r="C72" i="9"/>
  <c r="D6" i="53"/>
  <c r="B22" i="72" s="1"/>
  <c r="B20" i="72"/>
  <c r="C79" i="9" l="1"/>
  <c r="C80" i="9" s="1"/>
  <c r="E80" i="9" s="1"/>
  <c r="E81" i="9" s="1"/>
  <c r="C68" i="9"/>
  <c r="D54" i="9" s="1"/>
  <c r="D59" i="9"/>
  <c r="M55" i="9" s="1"/>
  <c r="B30" i="72"/>
  <c r="D14" i="53"/>
  <c r="B32" i="72" s="1"/>
  <c r="C95" i="9"/>
  <c r="D123" i="9"/>
  <c r="D9" i="52" s="1"/>
  <c r="G14" i="74"/>
  <c r="B6" i="74" s="1"/>
  <c r="D8" i="52"/>
  <c r="L64" i="9"/>
  <c r="M64" i="9" s="1"/>
  <c r="L68" i="9"/>
  <c r="M68" i="9" s="1"/>
  <c r="L65" i="9"/>
  <c r="M65" i="9" s="1"/>
  <c r="L66" i="9"/>
  <c r="M66" i="9" s="1"/>
  <c r="L63" i="9"/>
  <c r="M63" i="9" s="1"/>
  <c r="L67" i="9"/>
  <c r="M67" i="9" s="1"/>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<sst xmlns="http://schemas.openxmlformats.org/spreadsheetml/2006/main" count="8268" uniqueCount="3347">
  <si>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</si>
  <si>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</si>
  <si>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</si>
  <si>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</si>
  <si>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</si>
  <si>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</si>
  <si>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</si>
  <si>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</si>
  <si>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</si>
  <si>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</si>
  <si>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</si>
  <si>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</si>
  <si>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</si>
  <si>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</si>
  <si>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</si>
  <si>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</si>
  <si>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</si>
  <si>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</si>
  <si>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</si>
  <si>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</si>
  <si>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</si>
  <si>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</si>
  <si>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</si>
  <si>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</si>
  <si>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</si>
  <si>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</si>
  <si>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</si>
  <si>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</si>
  <si>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</si>
  <si>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</si>
  <si>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</si>
  <si>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</si>
  <si>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</si>
  <si>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</si>
  <si>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</si>
  <si>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</si>
  <si>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</si>
  <si>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</si>
  <si>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</si>
  <si>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</si>
  <si>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</si>
  <si>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</si>
  <si>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</si>
  <si>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</si>
  <si>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</si>
  <si>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</si>
  <si>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</si>
  <si>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</si>
  <si>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</si>
  <si>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</si>
  <si>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</si>
  <si>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</si>
  <si>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</si>
  <si>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</si>
  <si>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</si>
  <si>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</si>
  <si>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</si>
  <si>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</si>
  <si>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</si>
  <si>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</si>
  <si>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</si>
  <si>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</si>
  <si>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</si>
  <si>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</si>
  <si>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</si>
  <si>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</si>
  <si>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</si>
  <si>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</si>
  <si>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</si>
  <si>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</si>
  <si>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</si>
  <si>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</si>
  <si>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</si>
  <si>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</si>
  <si>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</si>
  <si>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</si>
  <si>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</si>
  <si>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</si>
  <si>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</si>
  <si>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</si>
  <si>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</si>
  <si>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</si>
  <si>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</si>
  <si>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</si>
  <si>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</si>
  <si>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</si>
  <si>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</si>
  <si>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</si>
  <si>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</si>
  <si>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</si>
  <si>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</si>
  <si>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</si>
  <si>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</si>
  <si>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</si>
  <si>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</si>
  <si>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</si>
  <si>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</si>
  <si>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</si>
  <si>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</si>
  <si>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</si>
  <si>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</si>
  <si>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</si>
  <si>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</si>
  <si>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</si>
  <si>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</si>
  <si>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</si>
  <si>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</si>
  <si>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</si>
  <si>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</si>
  <si>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</si>
  <si>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</si>
  <si>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</si>
  <si>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</si>
  <si>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</si>
  <si>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</si>
  <si>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</si>
  <si>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</si>
  <si>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</si>
  <si>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</si>
  <si>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</si>
  <si>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</si>
  <si>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</si>
  <si>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</si>
  <si>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</si>
  <si>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</si>
  <si>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</si>
  <si>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</si>
  <si>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</si>
  <si>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</si>
  <si>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</si>
  <si>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</si>
  <si>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</si>
  <si>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</si>
  <si>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</si>
  <si>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</si>
  <si>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</si>
  <si>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</si>
  <si>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</si>
  <si>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</si>
  <si>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</si>
  <si>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</si>
  <si>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</si>
  <si>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</si>
  <si>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</si>
  <si>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</si>
  <si>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</si>
  <si>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</si>
  <si>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</si>
  <si>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</si>
  <si>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</si>
  <si>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</si>
  <si>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</si>
  <si>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</si>
  <si>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</si>
  <si>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</si>
  <si>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</si>
  <si>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</si>
  <si>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</si>
  <si>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</si>
  <si>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</si>
  <si>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</si>
  <si>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</si>
  <si>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</si>
  <si>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</si>
  <si>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</si>
  <si>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</si>
  <si>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</si>
  <si>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</si>
  <si>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</si>
  <si>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</si>
  <si>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</si>
  <si>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</si>
  <si>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</si>
  <si>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</si>
  <si>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</si>
  <si>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</si>
  <si>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</si>
  <si>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</si>
  <si>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</si>
  <si>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</si>
  <si>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</si>
  <si>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</si>
  <si>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</si>
  <si>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</si>
  <si>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</si>
  <si>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</si>
  <si>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</si>
  <si>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</si>
  <si>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</si>
  <si>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</si>
  <si>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</si>
  <si>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</si>
  <si>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</si>
  <si>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</si>
  <si>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</si>
  <si>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</si>
  <si>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</si>
  <si>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</si>
  <si>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</si>
  <si>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</si>
  <si>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</si>
  <si>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</si>
  <si>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</si>
  <si>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</si>
  <si>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</si>
  <si>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</si>
  <si>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</si>
  <si>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</si>
  <si>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</si>
  <si>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</si>
  <si>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</si>
  <si>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</si>
  <si>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</si>
  <si>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</si>
  <si>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</si>
  <si>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</si>
  <si>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</si>
  <si>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</si>
  <si>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</si>
  <si>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</si>
  <si>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</si>
  <si>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</si>
  <si>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</si>
  <si>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</si>
  <si>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</si>
  <si>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</si>
  <si>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</si>
  <si>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</si>
  <si>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</si>
  <si>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</si>
  <si>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</si>
  <si>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</si>
  <si>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</si>
  <si>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</si>
  <si>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</si>
  <si>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</si>
  <si>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</si>
  <si>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</si>
  <si>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</si>
  <si>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</si>
  <si>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</si>
  <si>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</si>
  <si>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</si>
  <si>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</si>
  <si>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</si>
  <si>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</si>
  <si>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</si>
  <si>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</si>
  <si>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</si>
  <si>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</si>
  <si>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</si>
  <si>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</si>
  <si>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</si>
  <si>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</si>
  <si>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</si>
  <si>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</si>
  <si>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</si>
  <si>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</si>
  <si>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</si>
  <si>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</si>
  <si>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</si>
  <si>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</si>
  <si>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</si>
  <si>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</si>
  <si>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</si>
  <si>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</si>
  <si>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</si>
  <si>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</si>
  <si>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</si>
  <si>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</si>
  <si>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</si>
  <si>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</si>
  <si>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</si>
  <si>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</si>
  <si>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</si>
  <si>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</si>
  <si>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</si>
  <si>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</si>
  <si>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</si>
  <si>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</si>
  <si>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</si>
  <si>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</si>
  <si>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</si>
  <si>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</si>
  <si>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</si>
  <si>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</si>
  <si>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</si>
  <si>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</si>
  <si>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</si>
  <si>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</si>
  <si>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</si>
  <si>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</si>
  <si>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</si>
  <si>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</si>
  <si>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</si>
  <si>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</si>
  <si>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</si>
  <si>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</si>
  <si>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</si>
  <si>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</si>
  <si>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</si>
  <si>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</si>
  <si>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</si>
  <si>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</si>
  <si>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</si>
  <si>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</si>
  <si>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</si>
  <si>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</si>
  <si>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</si>
  <si>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</si>
  <si>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</si>
  <si>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</si>
  <si>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</si>
  <si>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</si>
  <si>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</si>
  <si>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</si>
  <si>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</si>
  <si>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</si>
  <si>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</si>
  <si>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</si>
  <si>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</si>
  <si>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</si>
  <si>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</si>
  <si>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</si>
  <si>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</si>
  <si>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</si>
  <si>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</si>
  <si>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</si>
  <si>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</si>
  <si>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</si>
  <si>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</si>
  <si>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</si>
  <si>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</si>
  <si>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</si>
  <si>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</si>
  <si>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</si>
  <si>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</si>
  <si>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</si>
  <si>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</si>
  <si>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</si>
  <si>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</si>
  <si>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</si>
  <si>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</si>
  <si>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</si>
  <si>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</si>
  <si>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</si>
  <si>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</si>
  <si>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</si>
  <si>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</si>
  <si>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</si>
  <si>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</si>
  <si>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</si>
  <si>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</si>
  <si>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</si>
  <si>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</si>
  <si>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</si>
  <si>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</si>
  <si>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</si>
  <si>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</si>
  <si>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</si>
  <si>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</si>
  <si>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</si>
  <si>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</si>
  <si>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</si>
  <si>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</si>
  <si>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</si>
  <si>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</si>
  <si>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</si>
  <si>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</si>
  <si>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</si>
  <si>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</si>
  <si>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</si>
  <si>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</si>
  <si>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</si>
  <si>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</si>
  <si>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</si>
  <si>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</si>
  <si>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</si>
  <si>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</si>
  <si>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</si>
  <si>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</si>
  <si>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</si>
  <si>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</si>
  <si>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</si>
  <si>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</si>
  <si>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</si>
  <si>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</si>
  <si>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</si>
  <si>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</si>
  <si>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</si>
  <si>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</si>
  <si>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</si>
  <si>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</si>
  <si>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</si>
  <si>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</si>
  <si>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</si>
  <si>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</si>
  <si>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</si>
  <si>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</si>
  <si>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</si>
  <si>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</si>
  <si>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</si>
  <si>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</si>
  <si>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</si>
  <si>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</si>
  <si>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</si>
  <si>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</si>
  <si>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</si>
  <si>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</si>
  <si>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</si>
  <si>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</si>
  <si>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</si>
  <si>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</si>
  <si>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</si>
  <si>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</si>
  <si>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</si>
  <si>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</si>
  <si>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</si>
  <si>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</si>
  <si>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</si>
  <si>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</si>
  <si>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</si>
  <si>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</si>
  <si>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</si>
  <si>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</si>
  <si>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</si>
  <si>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</si>
  <si>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</si>
  <si>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</si>
  <si>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</si>
  <si>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</si>
  <si>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</si>
  <si>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</si>
  <si>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</si>
  <si>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</si>
  <si>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</si>
  <si>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</si>
  <si>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</si>
  <si>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</si>
  <si>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</si>
  <si>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</si>
  <si>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</si>
  <si>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</si>
  <si>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</si>
  <si>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</si>
  <si>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</si>
  <si>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</si>
  <si>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</si>
  <si>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</si>
  <si>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</si>
  <si>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</si>
  <si>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</si>
  <si>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</si>
  <si>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</si>
  <si>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</si>
  <si>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</si>
  <si>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</si>
  <si>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</si>
  <si>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</si>
  <si>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</si>
  <si>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</si>
  <si>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</si>
  <si>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</si>
  <si>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</si>
  <si>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</si>
  <si>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</si>
  <si>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</si>
  <si>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</si>
  <si>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</si>
  <si>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</si>
  <si>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</si>
  <si>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</si>
  <si>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</si>
  <si>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</si>
  <si>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</si>
  <si>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</si>
  <si>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</si>
  <si>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</si>
  <si>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</si>
  <si>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</si>
  <si>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</si>
  <si>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</si>
  <si>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</si>
  <si>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</si>
  <si>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</si>
  <si>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</si>
  <si>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</si>
  <si>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</si>
  <si>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</si>
  <si>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</si>
  <si>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</si>
  <si>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</si>
  <si>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</si>
  <si>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</si>
  <si>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</si>
  <si>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</si>
  <si>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</si>
  <si>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</si>
  <si>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</si>
  <si>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</si>
  <si>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</si>
  <si>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</si>
  <si>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</si>
  <si>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</si>
  <si>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</si>
  <si>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</si>
  <si>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</si>
  <si>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</si>
  <si>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</si>
  <si>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</si>
  <si>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</si>
  <si>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</si>
  <si>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</si>
  <si>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</si>
  <si>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</si>
  <si>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</si>
  <si>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</si>
  <si>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</si>
  <si>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</si>
  <si>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</si>
  <si>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</si>
  <si>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</si>
  <si>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</si>
  <si>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</si>
  <si>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</si>
  <si>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</si>
  <si>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</si>
  <si>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</si>
  <si>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</si>
  <si>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</si>
  <si>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</si>
  <si>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</si>
  <si>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</si>
  <si>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</si>
  <si>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</si>
  <si>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</si>
  <si>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</si>
  <si>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</si>
  <si>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</si>
  <si>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</si>
  <si>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</si>
  <si>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</si>
  <si>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</si>
  <si>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</si>
  <si>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</si>
  <si>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</si>
  <si>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</si>
  <si>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</si>
  <si>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</si>
  <si>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</si>
  <si>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</si>
  <si>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</si>
  <si>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</si>
  <si>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</si>
  <si>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</si>
  <si>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</si>
  <si>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</si>
  <si>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</si>
  <si>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</si>
  <si>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</si>
  <si>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</si>
  <si>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</si>
  <si>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</si>
  <si>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</si>
  <si>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</si>
  <si>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</si>
  <si>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</si>
  <si>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</si>
  <si>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</si>
  <si>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</si>
  <si>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</si>
  <si>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</si>
  <si>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</si>
  <si>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</si>
  <si>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</si>
  <si>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</si>
  <si>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</si>
  <si>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</si>
  <si>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</si>
  <si>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</si>
  <si>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</si>
  <si>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</si>
  <si>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</si>
  <si>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</si>
  <si>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</si>
  <si>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</si>
  <si>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</si>
  <si>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</si>
  <si>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</si>
  <si>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</si>
  <si>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</si>
  <si>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</si>
  <si>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</si>
  <si>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</si>
  <si>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</si>
  <si>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</si>
  <si>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</si>
  <si>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</si>
  <si>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</si>
  <si>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</si>
  <si>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</si>
  <si>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</si>
  <si>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</si>
  <si>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</si>
  <si>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</si>
  <si>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</si>
  <si>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</si>
  <si>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</si>
  <si>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</si>
  <si>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</si>
  <si>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</si>
  <si>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</si>
  <si>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</si>
  <si>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</si>
  <si>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</si>
  <si>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</si>
  <si>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</si>
  <si>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</si>
  <si>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</si>
  <si>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</si>
  <si>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</si>
  <si>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</si>
  <si>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</si>
  <si>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</si>
  <si>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</si>
  <si>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</si>
  <si>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</si>
  <si>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</si>
  <si>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</si>
  <si>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</si>
  <si>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</si>
  <si>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</si>
  <si>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</si>
  <si>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</si>
  <si>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</si>
  <si>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</si>
  <si>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</si>
  <si>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</si>
  <si>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</si>
  <si>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</si>
  <si>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</si>
  <si>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</si>
  <si>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</si>
  <si>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</si>
  <si>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</si>
  <si>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</si>
  <si>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</si>
  <si>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</si>
  <si>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</si>
  <si>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</si>
  <si>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</si>
  <si>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</si>
  <si>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</si>
  <si>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</si>
  <si>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</si>
  <si>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</si>
  <si>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</si>
  <si>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</si>
  <si>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</si>
  <si>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</si>
  <si>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</si>
  <si>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</si>
  <si>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</si>
  <si>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</si>
  <si>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</si>
  <si>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</si>
  <si>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</si>
  <si>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</si>
  <si>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</si>
  <si>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</si>
  <si>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</si>
  <si>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</si>
  <si>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</si>
  <si>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</si>
  <si>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</si>
  <si>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</si>
  <si>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</si>
  <si>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</si>
  <si>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</si>
  <si>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</si>
  <si>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</si>
  <si>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</si>
  <si>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</si>
  <si>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</si>
  <si>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</si>
  <si>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</si>
  <si>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</si>
  <si>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</si>
  <si>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</si>
  <si>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</si>
  <si>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</si>
  <si>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</si>
  <si>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</si>
  <si>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</si>
  <si>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</si>
  <si>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</si>
  <si>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</si>
  <si>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</si>
  <si>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</si>
  <si>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</si>
  <si>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</si>
  <si>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</si>
  <si>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</si>
  <si>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</si>
  <si>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</si>
  <si>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</si>
  <si>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</si>
  <si>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</si>
  <si>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</si>
  <si>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</si>
  <si>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</si>
  <si>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</si>
  <si>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</si>
  <si>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</si>
  <si>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</si>
  <si>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</si>
  <si>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</si>
  <si>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</si>
  <si>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</si>
  <si>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</si>
  <si>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</si>
  <si>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</si>
  <si>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</si>
  <si>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</si>
  <si>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</si>
  <si>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</si>
  <si>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</si>
  <si>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</si>
  <si>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</si>
  <si>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</si>
  <si>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</si>
  <si>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</si>
  <si>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</si>
  <si>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</si>
  <si>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</si>
  <si>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</si>
  <si>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</si>
  <si>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</si>
  <si>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</si>
  <si>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</si>
  <si>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</si>
  <si>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</si>
  <si>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</si>
  <si>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</si>
  <si>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</si>
  <si>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</si>
  <si>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</si>
  <si>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</si>
  <si>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</si>
  <si>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</si>
  <si>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</si>
  <si>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</si>
  <si>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</si>
  <si>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</si>
  <si>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</si>
  <si>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</si>
  <si>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</si>
  <si>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</si>
  <si>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</si>
  <si>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</si>
  <si>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</si>
  <si>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</si>
  <si>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</si>
  <si>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</si>
  <si>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</si>
  <si>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</si>
  <si>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</si>
  <si>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</si>
  <si>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</si>
  <si>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</si>
  <si>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</si>
  <si>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</si>
  <si>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</si>
  <si>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</si>
  <si>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</si>
  <si>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</si>
  <si>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</si>
  <si>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</si>
  <si>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</si>
  <si>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</si>
  <si>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</si>
  <si>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</si>
  <si>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</si>
  <si>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</si>
  <si>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</si>
  <si>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</si>
  <si>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</si>
  <si>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</si>
  <si>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</si>
  <si>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</si>
  <si>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</si>
  <si>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</si>
  <si>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</si>
  <si>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</si>
  <si>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</si>
  <si>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</si>
  <si>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</si>
  <si>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</si>
  <si>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</si>
  <si>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</si>
  <si>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</si>
  <si>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</si>
  <si>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</si>
  <si>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</si>
  <si>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</si>
  <si>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</si>
  <si>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</si>
  <si>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</si>
  <si>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</si>
  <si>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</si>
  <si>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</si>
  <si>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</si>
  <si>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</si>
  <si>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</si>
  <si>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</si>
  <si>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</si>
  <si>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</si>
  <si>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</si>
  <si>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</si>
  <si>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</si>
  <si>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</si>
  <si>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</si>
  <si>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</si>
  <si>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</si>
  <si>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</si>
  <si>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</si>
  <si>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</si>
  <si>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</si>
  <si>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</si>
  <si>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</si>
  <si>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</si>
  <si>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</si>
  <si>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</si>
  <si>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</si>
  <si>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</si>
  <si>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</si>
  <si>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</si>
  <si>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</si>
  <si>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</si>
  <si>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</si>
  <si>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</si>
  <si>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</si>
  <si>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</si>
  <si>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</si>
  <si>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</si>
  <si>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</si>
  <si>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</si>
  <si>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</si>
  <si>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</si>
  <si>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</si>
  <si>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</si>
  <si>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</si>
  <si>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</si>
  <si>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</si>
  <si>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</si>
  <si>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</si>
  <si>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</si>
  <si>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</si>
  <si>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</si>
  <si>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</si>
  <si>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</si>
  <si>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</si>
  <si>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</si>
  <si>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</si>
  <si>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</si>
  <si>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</si>
  <si>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</si>
  <si>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</si>
  <si>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</si>
  <si>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</si>
  <si>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</si>
  <si>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</si>
  <si>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</si>
  <si>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</si>
  <si>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</si>
  <si>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</si>
  <si>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</si>
  <si>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</si>
  <si>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</si>
  <si>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</si>
  <si>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</si>
  <si>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</si>
  <si>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</si>
  <si>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</si>
  <si>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</si>
  <si>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</si>
  <si>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</si>
  <si>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</si>
  <si>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</si>
  <si>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</si>
  <si>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</si>
  <si>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</si>
  <si>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</si>
  <si>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</si>
  <si>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</si>
  <si>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</si>
  <si>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</si>
  <si>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</si>
  <si>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</si>
  <si>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</si>
  <si>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</si>
  <si>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</si>
  <si>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</si>
  <si>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</si>
  <si>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</si>
  <si>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</si>
  <si>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</si>
  <si>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</si>
  <si>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</si>
  <si>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</si>
  <si>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</si>
  <si>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</si>
  <si>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</si>
  <si>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</si>
  <si>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</si>
  <si>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</si>
  <si>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</si>
  <si>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</si>
  <si>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</si>
  <si>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</si>
  <si>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</si>
  <si>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</si>
  <si>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</si>
  <si>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</si>
  <si>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</si>
  <si>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</si>
  <si>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</si>
  <si>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</si>
  <si>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</si>
  <si>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</si>
  <si>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</si>
  <si>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</si>
  <si>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</si>
  <si>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</si>
  <si>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</si>
  <si>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</si>
  <si>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</si>
  <si>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</si>
  <si>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</si>
  <si>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</si>
  <si>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</si>
  <si>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</si>
  <si>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</si>
  <si>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</si>
  <si>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</si>
  <si>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</si>
  <si>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</si>
  <si>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</si>
  <si>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</si>
  <si>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</si>
  <si>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</si>
  <si>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</si>
  <si>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</si>
  <si>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</si>
  <si>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</si>
  <si>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</si>
  <si>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</si>
  <si>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</si>
  <si>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</si>
  <si>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</si>
  <si>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</si>
  <si>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</si>
  <si>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</si>
  <si>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</si>
  <si>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</si>
  <si>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</si>
  <si>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</si>
  <si>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</si>
  <si>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</si>
  <si>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</si>
  <si>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</si>
  <si>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</si>
  <si>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</si>
  <si>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</si>
  <si>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</si>
  <si>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</si>
  <si>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</si>
  <si>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</si>
  <si>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</si>
  <si>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</si>
  <si>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</si>
  <si>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</si>
  <si>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</si>
  <si>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</si>
  <si>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</si>
  <si>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</si>
  <si>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</si>
  <si>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</si>
  <si>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</si>
  <si>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</si>
  <si>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</si>
  <si>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</si>
  <si>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</si>
  <si>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</si>
  <si>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</si>
  <si>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</si>
  <si>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</si>
  <si>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</si>
  <si>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</si>
  <si>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</si>
  <si>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</si>
  <si>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</si>
  <si>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</si>
  <si>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</si>
  <si>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</si>
  <si>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</si>
  <si>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</si>
  <si>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</si>
  <si>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</si>
  <si>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</si>
  <si>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</si>
  <si>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</si>
  <si>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</si>
  <si>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</si>
  <si>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</si>
  <si>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</si>
  <si>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</si>
  <si>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</si>
  <si>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</si>
  <si>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</si>
  <si>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</si>
  <si>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</si>
  <si>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</si>
  <si>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</si>
  <si>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</si>
  <si>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</si>
  <si>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</si>
  <si>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</si>
  <si>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</si>
  <si>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</si>
  <si>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</si>
  <si>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</si>
  <si>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</si>
  <si>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</si>
  <si>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</si>
  <si>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</si>
  <si>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</si>
  <si>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</si>
  <si>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</si>
  <si>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</si>
  <si>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</si>
  <si>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</si>
  <si>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</si>
  <si>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</si>
  <si>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</si>
  <si>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</si>
  <si>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</si>
  <si>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</si>
  <si>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</si>
  <si>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</si>
  <si>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</si>
  <si>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</si>
  <si>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</si>
  <si>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</si>
  <si>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</si>
  <si>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</si>
  <si>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</si>
  <si>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</si>
  <si>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</si>
  <si>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</si>
  <si>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</si>
  <si>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</si>
  <si>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</si>
  <si>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</si>
  <si>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</si>
  <si>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</si>
  <si>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</si>
  <si>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</si>
  <si>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</si>
  <si>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</si>
  <si>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</si>
  <si>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</si>
  <si>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</si>
  <si>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</si>
  <si>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</si>
  <si>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</si>
  <si>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</si>
  <si>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</si>
  <si>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</si>
  <si>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</si>
  <si>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</si>
  <si>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</si>
  <si>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</si>
  <si>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</si>
  <si>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</si>
  <si>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</si>
  <si>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</si>
  <si>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</si>
  <si>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</si>
  <si>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</si>
  <si>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</si>
  <si>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</si>
  <si>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</si>
  <si>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</si>
  <si>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</si>
  <si>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</si>
  <si>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</si>
  <si>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</si>
  <si>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</si>
  <si>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</si>
  <si>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</si>
  <si>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</si>
  <si>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</si>
  <si>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</si>
  <si>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</si>
  <si>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</si>
  <si>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</si>
  <si>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</si>
  <si>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</si>
  <si>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</si>
  <si>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</si>
  <si>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</si>
  <si>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</si>
  <si>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</si>
  <si>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</si>
  <si>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</si>
  <si>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</si>
  <si>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</si>
  <si>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</si>
  <si>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</si>
  <si>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</si>
  <si>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</si>
  <si>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</si>
  <si>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</si>
  <si>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</si>
  <si>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</si>
  <si>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</si>
  <si>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</si>
  <si>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</si>
  <si>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</si>
  <si>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</si>
  <si>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</si>
  <si>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</si>
  <si>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</si>
  <si>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</si>
  <si>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</si>
  <si>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</si>
  <si>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</si>
  <si>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</si>
  <si>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</si>
  <si>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</si>
  <si>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</si>
  <si>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</si>
  <si>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</si>
  <si>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</si>
  <si>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</si>
  <si>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</si>
  <si>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</si>
  <si>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</si>
  <si>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</si>
  <si>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</si>
  <si>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</si>
  <si>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</si>
  <si>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</si>
  <si>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</si>
  <si>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</si>
  <si>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</si>
  <si>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</si>
  <si>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</si>
  <si>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</si>
  <si>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</si>
  <si>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</si>
  <si>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</si>
  <si>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</si>
  <si>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</si>
  <si>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</si>
  <si>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</si>
  <si>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</si>
  <si>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</si>
  <si>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</si>
  <si>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</si>
  <si>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</si>
  <si>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</si>
  <si>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</si>
  <si>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</si>
  <si>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</si>
  <si>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</si>
  <si>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</si>
  <si>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</si>
  <si>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</si>
  <si>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</si>
  <si>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</si>
  <si>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</si>
  <si>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</si>
  <si>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</si>
  <si>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</si>
  <si>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</si>
  <si>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</si>
  <si>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</si>
  <si>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</si>
  <si>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</si>
  <si>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</si>
  <si>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</si>
  <si>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</si>
  <si>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</si>
  <si>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</si>
  <si>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</si>
  <si>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</si>
  <si>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</si>
  <si>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</si>
  <si>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</si>
  <si>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</si>
  <si>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</si>
  <si>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</si>
  <si>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</si>
  <si>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</si>
  <si>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</si>
  <si>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</si>
  <si>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</si>
  <si>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</si>
  <si>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</si>
  <si>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</si>
  <si>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</si>
  <si>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</si>
  <si>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</si>
  <si>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</si>
  <si>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</si>
  <si>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</si>
  <si>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</si>
  <si>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</si>
  <si>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</si>
  <si>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</si>
  <si>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</si>
  <si>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</si>
  <si>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</si>
  <si>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</si>
  <si>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</si>
  <si>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</si>
  <si>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</si>
  <si>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</si>
  <si>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</si>
  <si>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</si>
  <si>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</si>
  <si>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</si>
  <si>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</si>
  <si>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</si>
  <si>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</si>
  <si>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</si>
  <si>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</si>
  <si>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</si>
  <si>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</si>
  <si>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</si>
  <si>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</si>
  <si>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</si>
  <si>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</si>
  <si>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</si>
  <si>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</si>
  <si>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</si>
  <si>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</si>
  <si>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</si>
  <si>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</si>
  <si>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</si>
  <si>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</si>
  <si>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</si>
  <si>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</si>
  <si>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</si>
  <si>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</si>
  <si>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</si>
  <si>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</si>
  <si>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</si>
  <si>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</si>
  <si>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</si>
  <si>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</si>
  <si>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</si>
  <si>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</si>
  <si>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</si>
  <si>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</si>
  <si>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</si>
  <si>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</si>
  <si>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</si>
  <si>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</si>
  <si>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</si>
  <si>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</si>
  <si>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</si>
  <si>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</si>
  <si>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</si>
  <si>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</si>
  <si>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</si>
  <si>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</si>
  <si>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</si>
  <si>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</si>
  <si>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</si>
  <si>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</si>
  <si>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</si>
  <si>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</si>
  <si>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</si>
  <si>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</si>
  <si>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</si>
  <si>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</si>
  <si>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</si>
  <si>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</si>
  <si>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</si>
  <si>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</si>
  <si>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</si>
  <si>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</si>
  <si>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</si>
  <si>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</si>
  <si>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</si>
  <si>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</si>
  <si>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</si>
  <si>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</si>
  <si>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</si>
  <si>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</si>
  <si>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</si>
  <si>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</si>
  <si>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</si>
  <si>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</si>
  <si>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</si>
  <si>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</si>
  <si>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</si>
  <si>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</si>
  <si>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</si>
  <si>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</si>
  <si>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</si>
  <si>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</si>
  <si>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</si>
  <si>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</si>
  <si>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</si>
  <si>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</si>
  <si>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</si>
  <si>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</si>
  <si>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</si>
  <si>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</si>
  <si>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</si>
  <si>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</si>
  <si>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</si>
  <si>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</si>
  <si>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</si>
  <si>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</si>
  <si>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</si>
  <si>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</si>
  <si>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</si>
  <si>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</si>
  <si>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</si>
  <si>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</si>
  <si>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</si>
  <si>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</si>
  <si>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</si>
  <si>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</si>
  <si>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</si>
  <si>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</si>
  <si>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</si>
  <si>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</si>
  <si>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</si>
  <si>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</si>
  <si>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</si>
  <si>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</si>
  <si>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</si>
  <si>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</si>
  <si>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</si>
  <si>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</si>
  <si>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</si>
  <si>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</si>
  <si>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</si>
  <si>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</si>
  <si>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</si>
  <si>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</si>
  <si>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</si>
  <si>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</si>
  <si>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</si>
  <si>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</si>
  <si>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</si>
  <si>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</si>
  <si>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</si>
  <si>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</si>
  <si>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</si>
  <si>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</si>
  <si>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</si>
  <si>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</si>
  <si>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</si>
  <si>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</si>
  <si>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</si>
  <si>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</si>
  <si>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</si>
  <si>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</si>
  <si>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</si>
  <si>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</si>
  <si>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</si>
  <si>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</si>
  <si>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</si>
  <si>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</si>
  <si>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</si>
  <si>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</si>
  <si>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</si>
  <si>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</si>
  <si>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</si>
  <si>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</si>
  <si>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</si>
  <si>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</si>
  <si>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</si>
  <si>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</si>
  <si>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</si>
  <si>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</si>
  <si>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</si>
  <si>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</si>
  <si>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</si>
  <si>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</si>
  <si>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</si>
  <si>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</si>
  <si>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</si>
  <si>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</si>
  <si>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</si>
  <si>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</si>
  <si>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</si>
  <si>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</si>
  <si>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</si>
  <si>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</si>
  <si>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</si>
  <si>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</si>
  <si>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</si>
  <si>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</si>
  <si>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</si>
  <si>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</si>
  <si>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</si>
  <si>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</si>
  <si>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</si>
  <si>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</si>
  <si>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</si>
  <si>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</si>
  <si>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</si>
  <si>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</si>
  <si>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</si>
  <si>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</si>
  <si>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</si>
  <si>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</si>
  <si>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</si>
  <si>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</si>
  <si>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</si>
  <si>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</si>
  <si>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</si>
  <si>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</si>
  <si>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</si>
  <si>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</si>
  <si>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</si>
  <si>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</si>
  <si>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</si>
  <si>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</si>
  <si>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</si>
  <si>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</si>
  <si>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</si>
  <si>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</si>
  <si>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</si>
  <si>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</si>
  <si>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</si>
  <si>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</si>
  <si>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</si>
  <si>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</si>
  <si>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</si>
  <si>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</si>
  <si>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</si>
  <si>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</si>
  <si>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</si>
  <si>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</si>
  <si>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</si>
  <si>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</si>
  <si>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</si>
  <si>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</si>
  <si>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</si>
  <si>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</si>
  <si>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</si>
  <si>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</si>
  <si>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</si>
  <si>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</si>
  <si>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</si>
  <si>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</si>
  <si>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</si>
  <si>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</si>
  <si>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</si>
  <si>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</si>
  <si>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</si>
  <si>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</si>
  <si>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</si>
  <si>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</si>
  <si>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</si>
  <si>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</si>
  <si>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</si>
  <si>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</si>
  <si>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</si>
  <si>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</si>
  <si>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</si>
  <si>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</si>
  <si>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</si>
  <si>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</si>
  <si>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</si>
  <si>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</si>
  <si>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</si>
  <si>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</si>
  <si>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</si>
  <si>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</si>
  <si>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</si>
  <si>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</si>
  <si>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</si>
  <si>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</si>
  <si>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</si>
  <si>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</si>
  <si>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</si>
  <si>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</si>
  <si>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</si>
  <si>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</si>
  <si>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</si>
  <si>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</si>
  <si>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</si>
  <si>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</si>
  <si>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</si>
  <si>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</si>
  <si>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</si>
  <si>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</si>
  <si>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</si>
  <si>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</si>
  <si>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</si>
  <si>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</si>
  <si>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</si>
  <si>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</si>
  <si>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</si>
  <si>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</si>
  <si>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</si>
  <si>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</si>
  <si>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</si>
  <si>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</si>
  <si>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</si>
  <si>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</si>
  <si>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</si>
  <si>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</si>
  <si>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</si>
  <si>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</si>
  <si>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</si>
  <si>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</si>
  <si>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</si>
  <si>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</si>
  <si>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</si>
  <si>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</si>
  <si>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</si>
  <si>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</si>
  <si>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</si>
  <si>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</si>
  <si>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</si>
  <si>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</si>
  <si>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</si>
  <si>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</si>
  <si>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</si>
  <si>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</si>
  <si>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</si>
  <si>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</si>
  <si>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</si>
  <si>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</si>
  <si>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</si>
  <si>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</si>
  <si>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</si>
  <si>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</si>
  <si>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</si>
  <si>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</si>
  <si>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</si>
  <si>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</si>
  <si>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</si>
  <si>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</si>
  <si>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</si>
  <si>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</si>
  <si>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</si>
  <si>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</si>
  <si>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</si>
  <si>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</si>
  <si>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</si>
  <si>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</si>
  <si>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</si>
  <si>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</si>
  <si>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</si>
  <si>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</si>
  <si>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</si>
  <si>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</si>
  <si>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</si>
  <si>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</si>
  <si>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</si>
  <si>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</si>
  <si>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</si>
  <si>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</si>
  <si>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</si>
  <si>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</si>
  <si>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</si>
  <si>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</si>
  <si>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</si>
  <si>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</si>
  <si>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</si>
  <si>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</si>
  <si>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</si>
  <si>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</si>
  <si>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</si>
  <si>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</si>
  <si>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</si>
  <si>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</si>
  <si>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</si>
  <si>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</si>
  <si>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</si>
  <si>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</si>
  <si>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</si>
  <si>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</si>
  <si>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</si>
  <si>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</si>
  <si>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</si>
  <si>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</si>
  <si>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</si>
  <si>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</si>
  <si>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</si>
  <si>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</si>
  <si>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</si>
  <si>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</si>
  <si>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</si>
  <si>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</si>
  <si>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</si>
  <si>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</si>
  <si>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</si>
  <si>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</si>
  <si>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</si>
  <si>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</si>
  <si>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</si>
  <si>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</si>
  <si>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</si>
  <si>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</si>
  <si>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</si>
  <si>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</si>
  <si>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</si>
  <si>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</si>
  <si>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</si>
  <si>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</si>
  <si>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</si>
  <si>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</si>
  <si>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</si>
  <si>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</si>
  <si>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</si>
  <si>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</si>
  <si>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</si>
  <si>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</si>
  <si>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</si>
  <si>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</si>
  <si>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</si>
  <si>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</si>
  <si>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</si>
  <si>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</si>
  <si>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</si>
  <si>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</si>
  <si>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</si>
  <si>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</si>
  <si>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</si>
  <si>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</si>
  <si>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</si>
  <si>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</si>
  <si>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</si>
  <si>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</si>
  <si>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</si>
  <si>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</si>
  <si>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</si>
  <si>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</si>
  <si>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</si>
  <si>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</si>
  <si>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</si>
  <si>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</si>
  <si>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</si>
  <si>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</si>
  <si>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</si>
  <si>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</si>
  <si>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</si>
  <si>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</si>
  <si>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</si>
  <si>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</si>
  <si>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</si>
  <si>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</si>
  <si>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</si>
  <si>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</si>
  <si>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</si>
  <si>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</si>
  <si>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</si>
  <si>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</si>
  <si>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</si>
  <si>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</si>
  <si>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</si>
  <si>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</si>
  <si>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</si>
  <si>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</si>
  <si>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</si>
  <si>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</si>
  <si>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</si>
  <si>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</si>
  <si>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</si>
  <si>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</si>
  <si>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</si>
  <si>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</si>
  <si>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</si>
  <si>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</si>
  <si>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</si>
  <si>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</si>
  <si>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</si>
  <si>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</si>
  <si>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</si>
  <si>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</si>
  <si>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</si>
  <si>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</si>
  <si>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</si>
  <si>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</si>
  <si>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</si>
  <si>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</si>
  <si>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</si>
  <si>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</si>
  <si>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</si>
  <si>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</si>
  <si>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</si>
  <si>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</si>
  <si>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</si>
  <si>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</si>
  <si>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</si>
  <si>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</si>
  <si>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</si>
  <si>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</si>
  <si>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</si>
  <si>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</si>
  <si>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</si>
  <si>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</si>
  <si>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</si>
  <si>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</si>
  <si>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</si>
  <si>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</si>
  <si>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</si>
  <si>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</si>
  <si>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</si>
  <si>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</si>
  <si>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</si>
  <si>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</si>
  <si>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</si>
  <si>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</si>
  <si>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</si>
  <si>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</si>
  <si>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</si>
  <si>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</si>
  <si>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</si>
  <si>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</si>
  <si>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</si>
  <si>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</si>
  <si>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</si>
  <si>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</si>
  <si>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</si>
  <si>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</si>
  <si>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</si>
  <si>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</si>
  <si>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</si>
  <si>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</si>
  <si>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</si>
  <si>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</si>
  <si>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</si>
  <si>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</si>
  <si>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</si>
  <si>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</si>
  <si>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</si>
  <si>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</si>
  <si>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</si>
  <si>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</si>
  <si>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</si>
  <si>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</si>
  <si>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</si>
  <si>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</si>
  <si>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</si>
  <si>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</si>
  <si>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</si>
  <si>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</si>
  <si>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</si>
  <si>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</si>
  <si>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</si>
  <si>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</si>
  <si>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</si>
  <si>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</si>
  <si>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</si>
  <si>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</si>
  <si>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</si>
  <si>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</si>
  <si>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</si>
  <si>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</si>
  <si>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</si>
  <si>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</si>
  <si>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</si>
  <si>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</si>
  <si>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</si>
  <si>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</si>
  <si>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</si>
  <si>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</si>
  <si>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</si>
  <si>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</si>
  <si>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</si>
  <si>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</si>
  <si>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</si>
  <si>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</si>
  <si>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</si>
  <si>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</si>
  <si>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</si>
  <si>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</si>
  <si>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</si>
  <si>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</si>
  <si>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</si>
  <si>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</si>
  <si>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</si>
  <si>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</si>
  <si>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</si>
  <si>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</si>
  <si>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</si>
  <si>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</si>
  <si>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</si>
  <si>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</si>
  <si>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</si>
  <si>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</si>
  <si>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</si>
  <si>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</si>
  <si>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</si>
  <si>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</si>
  <si>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</si>
  <si>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</si>
  <si>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</si>
  <si>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</si>
  <si>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</si>
  <si>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</si>
  <si>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</si>
  <si>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</si>
  <si>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</si>
  <si>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</si>
  <si>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</si>
  <si>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</si>
  <si>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</si>
  <si>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</si>
  <si>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</si>
  <si>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</si>
  <si>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</si>
  <si>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</si>
  <si>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</si>
  <si>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</si>
  <si>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</si>
  <si>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</si>
  <si>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</si>
  <si>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</si>
  <si>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</si>
  <si>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</si>
  <si>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</si>
  <si>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</si>
  <si>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</si>
  <si>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</si>
  <si>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</si>
  <si>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</si>
  <si>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</si>
  <si>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</si>
  <si>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</si>
  <si>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</si>
  <si>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</si>
  <si>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</si>
  <si>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</si>
  <si>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</si>
  <si>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</si>
  <si>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</si>
  <si>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</si>
  <si>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</si>
  <si>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</si>
  <si>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</si>
  <si>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</si>
  <si>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</si>
  <si>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</si>
  <si>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</si>
  <si>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</si>
  <si>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</si>
  <si>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</si>
  <si>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</si>
  <si>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</si>
  <si>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</si>
  <si>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</si>
  <si>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</si>
  <si>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</si>
  <si>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</si>
  <si>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</si>
  <si>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</si>
  <si>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</si>
  <si>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</si>
  <si>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</si>
  <si>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</si>
  <si>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</si>
  <si>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</si>
  <si>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</si>
  <si>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</si>
  <si>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</si>
  <si>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</si>
  <si>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</si>
  <si>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</si>
  <si>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</si>
  <si>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</si>
  <si>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</si>
  <si>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</si>
  <si>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</si>
  <si>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</si>
  <si>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</si>
  <si>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</si>
  <si>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</si>
  <si>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</si>
  <si>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</si>
  <si>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</si>
  <si>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</si>
  <si>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</si>
  <si>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</si>
  <si>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</si>
  <si>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</si>
  <si>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</si>
  <si>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</si>
  <si>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</si>
  <si>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</si>
  <si>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</si>
  <si>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</si>
  <si>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</si>
  <si>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</si>
  <si>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</si>
  <si>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</si>
  <si>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</si>
  <si>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</si>
  <si>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</si>
  <si>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</si>
  <si>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</si>
  <si>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</si>
  <si>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</si>
  <si>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</si>
  <si>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</si>
  <si>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</si>
  <si>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</si>
  <si>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</si>
  <si>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</si>
  <si>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</si>
  <si>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</si>
  <si>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</si>
  <si>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</si>
  <si>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</si>
  <si>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</si>
  <si>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</si>
  <si>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</si>
  <si>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</si>
  <si>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</si>
  <si>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</si>
  <si>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</si>
  <si>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</si>
  <si>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</si>
  <si>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</si>
  <si>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</si>
  <si>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</si>
  <si>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</si>
  <si>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</si>
  <si>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</si>
  <si>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</si>
  <si>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</si>
  <si>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</si>
  <si>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</si>
  <si>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</si>
  <si>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</si>
  <si>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</si>
  <si>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</si>
  <si>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</si>
  <si>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</si>
  <si>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</si>
  <si>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</si>
  <si>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</si>
  <si>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</si>
  <si>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</si>
  <si>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</si>
  <si>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</si>
  <si>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</si>
  <si>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</si>
  <si>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</si>
  <si>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</si>
  <si>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</si>
  <si>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</si>
  <si>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</si>
  <si>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</si>
  <si>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</si>
  <si>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</si>
  <si>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</si>
  <si>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</si>
  <si>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</si>
  <si>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</si>
  <si>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</si>
  <si>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</si>
  <si>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</si>
  <si>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</si>
  <si>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</si>
  <si>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</si>
  <si>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</si>
  <si>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</si>
  <si>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</si>
  <si>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</si>
  <si>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</si>
  <si>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</si>
  <si>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</si>
  <si>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</si>
  <si>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</si>
  <si>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</si>
  <si>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</si>
  <si>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</si>
  <si>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</si>
  <si>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</si>
  <si>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</si>
  <si>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</si>
  <si>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</si>
  <si>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</si>
  <si>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</si>
  <si>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</si>
  <si>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</si>
  <si>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</si>
  <si>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</si>
  <si>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</si>
  <si>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</si>
  <si>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</si>
  <si>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</si>
  <si>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</si>
  <si>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</si>
  <si>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</si>
  <si>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</si>
  <si>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</si>
  <si>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</si>
  <si>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</si>
  <si>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</si>
  <si>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</si>
  <si>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</si>
  <si>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</si>
  <si>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</si>
  <si>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</si>
  <si>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</si>
  <si>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</si>
  <si>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</si>
  <si>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</si>
  <si>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</si>
  <si>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</si>
  <si>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</si>
  <si>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</si>
  <si>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</si>
  <si>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</si>
  <si>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</si>
  <si>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</si>
  <si>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</si>
  <si>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</si>
  <si>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</si>
  <si>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</si>
  <si>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</si>
  <si>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</si>
  <si>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</si>
  <si>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</si>
  <si>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</si>
  <si>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</si>
  <si>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</si>
  <si>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</si>
  <si>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</si>
  <si>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</si>
  <si>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</si>
  <si>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</si>
  <si>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</si>
  <si>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</si>
  <si>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</si>
  <si>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</si>
  <si>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</si>
  <si>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</si>
  <si>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</si>
  <si>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</si>
  <si>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</si>
  <si>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</si>
  <si>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</si>
  <si>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</si>
  <si>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</si>
  <si>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</si>
  <si>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</si>
  <si>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</si>
  <si>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</si>
  <si>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</si>
  <si>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</si>
  <si>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</si>
  <si>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</si>
  <si>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</si>
  <si>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</si>
  <si>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</si>
  <si>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</si>
  <si>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</si>
  <si>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</si>
  <si>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</si>
  <si>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</si>
  <si>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</si>
  <si>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</si>
  <si>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</si>
  <si>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</si>
  <si>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</si>
  <si>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</si>
  <si>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</si>
  <si>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</si>
  <si>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</si>
  <si>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</si>
  <si>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</si>
  <si>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</si>
  <si>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</si>
  <si>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</si>
  <si>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</si>
  <si>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</si>
  <si>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</si>
  <si>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</si>
  <si>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</si>
  <si>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</si>
  <si>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</si>
  <si>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</si>
  <si>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</si>
  <si>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</si>
  <si>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</si>
  <si>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</si>
  <si>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</si>
  <si>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</si>
  <si>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</si>
  <si>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</si>
  <si>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</si>
  <si>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</si>
  <si>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</si>
  <si>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</si>
  <si>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</si>
  <si>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</si>
  <si>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</si>
  <si>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</si>
  <si>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</si>
  <si>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</si>
  <si>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</si>
  <si>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</si>
  <si>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</si>
  <si>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</si>
  <si>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</si>
  <si>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</si>
  <si>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</si>
  <si>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</si>
  <si>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</si>
  <si>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</si>
  <si>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</si>
  <si>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</si>
  <si>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</si>
  <si>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</si>
  <si>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</si>
  <si>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</si>
  <si>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</si>
  <si>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</si>
  <si>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</si>
  <si>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</si>
  <si>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</si>
  <si>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</si>
  <si>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</si>
  <si>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</si>
  <si>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</si>
  <si>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</si>
  <si>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</si>
  <si>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</si>
  <si>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</si>
  <si>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</si>
  <si>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</si>
  <si>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</si>
  <si>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</si>
  <si>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</si>
  <si>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</si>
  <si>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</si>
  <si>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</si>
  <si>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</si>
  <si>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</si>
  <si>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</si>
  <si>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</si>
  <si>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</si>
  <si>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</si>
  <si>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</si>
  <si>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</si>
  <si>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</si>
  <si>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</si>
  <si>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</si>
  <si>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</si>
  <si>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</si>
  <si>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</si>
  <si>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</si>
  <si>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</si>
  <si>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</si>
  <si>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</si>
  <si>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</si>
  <si>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</si>
  <si>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</si>
  <si>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</si>
  <si>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</si>
  <si>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</si>
  <si>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</si>
  <si>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</si>
  <si>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</si>
  <si>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</si>
  <si>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</si>
  <si>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</si>
  <si>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</si>
  <si>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</si>
  <si>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</si>
  <si>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</si>
  <si>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</si>
  <si>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</si>
  <si>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</si>
  <si>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</si>
  <si>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</si>
  <si>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</si>
  <si>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</si>
  <si>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</si>
  <si>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</si>
  <si>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</si>
  <si>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</si>
  <si>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</si>
  <si>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</si>
  <si>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</si>
  <si>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</si>
  <si>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</si>
  <si>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</si>
  <si>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</si>
  <si>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</si>
  <si>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</si>
  <si>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</si>
  <si>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</si>
  <si>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</si>
  <si>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</si>
  <si>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</si>
  <si>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</si>
  <si>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</si>
  <si>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</si>
  <si>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</si>
  <si>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</si>
  <si>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</si>
  <si>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</si>
  <si>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</si>
  <si>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</si>
  <si>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</si>
  <si>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</si>
  <si>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</si>
  <si>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</si>
  <si>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</si>
  <si>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</si>
  <si>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</si>
  <si>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</si>
  <si>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</si>
  <si>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</si>
  <si>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</si>
  <si>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</si>
  <si>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</si>
  <si>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</si>
  <si>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</si>
  <si>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</si>
  <si>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</si>
  <si>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</si>
  <si>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</si>
  <si>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</si>
  <si>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</si>
  <si>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</si>
  <si>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</si>
  <si>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</si>
  <si>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</si>
  <si>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</si>
  <si>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</si>
  <si>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</si>
  <si>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</si>
  <si>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</si>
  <si>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</si>
  <si>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</si>
  <si>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</si>
  <si>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</si>
  <si>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</si>
  <si>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</si>
  <si>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</si>
  <si>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</si>
  <si>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</si>
  <si>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</si>
  <si>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</si>
  <si>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</si>
  <si>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</si>
  <si>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</si>
  <si>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</si>
  <si>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</si>
  <si>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</si>
  <si>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</si>
  <si>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</si>
  <si>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</si>
  <si>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</si>
  <si>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</si>
  <si>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</si>
  <si>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</si>
  <si>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</si>
  <si>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</si>
  <si>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</si>
  <si>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</si>
  <si>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</si>
  <si>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</si>
  <si>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</si>
  <si>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</si>
  <si>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</si>
  <si>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</si>
  <si>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</si>
  <si>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</si>
  <si>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</si>
  <si>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</si>
  <si>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</si>
  <si>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</si>
  <si>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</si>
  <si>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</si>
  <si>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</si>
  <si>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</si>
  <si>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</si>
  <si>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</si>
  <si>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</si>
  <si>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</si>
  <si>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</si>
  <si>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</si>
  <si>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</si>
  <si>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</si>
  <si>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</si>
  <si>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</si>
  <si>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</si>
  <si>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</si>
  <si>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</si>
  <si>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</si>
  <si>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</si>
  <si>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</si>
  <si>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</si>
  <si>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</si>
  <si>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</si>
  <si>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</si>
  <si>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</si>
  <si>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</si>
  <si>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</si>
  <si>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</si>
  <si>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</si>
  <si>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</si>
  <si>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</si>
  <si>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</si>
  <si>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</si>
  <si>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</si>
  <si>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</si>
  <si>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</si>
  <si>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</si>
  <si>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</si>
  <si>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</si>
  <si>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</si>
  <si>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</si>
  <si>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</si>
  <si>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</si>
  <si>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</si>
  <si>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</si>
  <si>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</si>
  <si>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</si>
  <si>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</si>
  <si>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</si>
  <si>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</si>
  <si>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</si>
  <si>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</si>
  <si>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</si>
  <si>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</si>
  <si>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</si>
  <si>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</si>
  <si>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</si>
  <si>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</si>
  <si>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</si>
  <si>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</si>
  <si>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</si>
  <si>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</si>
  <si>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</si>
  <si>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</si>
  <si>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</si>
  <si>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</si>
  <si>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</si>
  <si>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</si>
  <si>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</si>
  <si>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</si>
  <si>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</si>
  <si>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</si>
  <si>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</si>
  <si>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</si>
  <si>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</si>
  <si>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</si>
  <si>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</si>
  <si>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</si>
  <si>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</si>
  <si>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</si>
  <si>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</si>
  <si>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</si>
  <si>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</si>
  <si>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</si>
  <si>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</si>
  <si>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</si>
  <si>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</si>
  <si>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</si>
  <si>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</si>
  <si>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</si>
  <si>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</si>
  <si>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</si>
  <si>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</si>
  <si>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</si>
  <si>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</si>
  <si>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</si>
  <si>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</si>
  <si>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</si>
  <si>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</si>
  <si>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</si>
  <si>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</si>
  <si>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</si>
  <si>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</si>
  <si>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</si>
  <si>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</si>
  <si>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</si>
  <si>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</si>
  <si>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</si>
  <si>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</si>
  <si>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</si>
  <si>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</si>
  <si>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</si>
  <si>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</si>
  <si>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</si>
  <si>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</si>
  <si>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</si>
  <si>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</si>
  <si>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</si>
  <si>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</si>
  <si>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</si>
  <si>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</si>
  <si>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</si>
  <si>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</si>
  <si>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</si>
  <si>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</si>
  <si>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</si>
  <si>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</si>
  <si>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</si>
  <si>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</si>
  <si>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</si>
  <si>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</si>
  <si>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</si>
  <si>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</si>
  <si>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</si>
  <si>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</si>
  <si>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</si>
  <si>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</si>
  <si>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</si>
  <si>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</si>
  <si>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</si>
  <si>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</si>
  <si>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</si>
  <si>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</si>
  <si>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</si>
  <si>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</si>
  <si>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</si>
  <si>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</si>
  <si>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</si>
  <si>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</si>
  <si>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</si>
  <si>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</si>
  <si>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</si>
  <si>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</si>
  <si>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</si>
  <si>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</si>
  <si>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</si>
  <si>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</si>
  <si>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</si>
  <si>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</si>
  <si>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</si>
  <si>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</si>
  <si>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</si>
  <si>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</si>
  <si>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</si>
  <si>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</si>
  <si>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</si>
  <si>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</si>
  <si>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</si>
  <si>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</si>
  <si>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</si>
  <si>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</si>
  <si>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</si>
  <si>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</si>
  <si>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</si>
  <si>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</si>
  <si>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</si>
  <si>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</si>
  <si>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</si>
  <si>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</si>
  <si>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</si>
  <si>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</si>
  <si>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</si>
  <si>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</si>
  <si>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</si>
  <si>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</si>
  <si>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</si>
  <si>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</si>
  <si>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</si>
  <si>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</si>
  <si>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</si>
  <si>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</si>
  <si>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</si>
  <si>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</si>
  <si>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</si>
  <si>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</si>
  <si>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</si>
  <si>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</si>
  <si>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</si>
  <si>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</si>
  <si>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</si>
  <si>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</si>
  <si>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</si>
  <si>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</si>
  <si>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</si>
  <si>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</si>
  <si>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</si>
  <si>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</si>
  <si>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</si>
  <si>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</si>
  <si>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</si>
  <si>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</si>
  <si>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</si>
  <si>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</si>
  <si>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</si>
  <si>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</si>
  <si>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</si>
  <si>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</si>
  <si>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</si>
  <si>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</si>
  <si>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</si>
  <si>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</si>
  <si>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</si>
  <si>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</si>
  <si>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</si>
  <si>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</si>
  <si>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</si>
  <si>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</si>
  <si>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</si>
  <si>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</si>
  <si>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</si>
  <si>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</si>
  <si>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</si>
  <si>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</si>
  <si>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</si>
  <si>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</si>
  <si>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</si>
  <si>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</si>
  <si>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</si>
  <si>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</si>
  <si>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</si>
  <si>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</si>
  <si>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</si>
  <si>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</si>
  <si>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</si>
  <si>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</si>
  <si>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</si>
  <si>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</si>
  <si>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</si>
  <si>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</si>
  <si>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</si>
  <si>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</si>
  <si>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</si>
  <si>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</si>
  <si>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</si>
  <si>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</si>
  <si>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</si>
  <si>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</si>
  <si>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</si>
  <si>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</si>
  <si>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</si>
  <si>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</si>
  <si>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</si>
  <si>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</si>
  <si>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</si>
  <si>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</si>
  <si>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</si>
  <si>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</si>
  <si>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</si>
  <si>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</si>
  <si>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</si>
  <si>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</si>
  <si>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</si>
  <si>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</si>
  <si>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</si>
  <si>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</si>
  <si>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</si>
  <si>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</si>
  <si>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</si>
  <si>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</si>
  <si>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</si>
  <si>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</si>
  <si>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</si>
  <si>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</si>
  <si>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</si>
  <si>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</si>
  <si>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</si>
  <si>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</si>
  <si>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</si>
  <si>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</si>
  <si>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</si>
  <si>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</si>
  <si>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</si>
  <si>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</si>
  <si>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</si>
  <si>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</si>
  <si>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</si>
  <si>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</si>
  <si>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</si>
  <si>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</si>
  <si>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</si>
  <si>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</si>
  <si>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</si>
  <si>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</si>
  <si>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</si>
  <si>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</si>
  <si>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</si>
  <si>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</si>
  <si>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</si>
  <si>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</si>
  <si>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</si>
  <si>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</si>
  <si>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</si>
  <si>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</si>
  <si>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</si>
  <si>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</si>
  <si>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</si>
  <si>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</si>
  <si>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</si>
  <si>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</si>
  <si>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</si>
  <si>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</si>
  <si>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</si>
  <si>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</si>
  <si>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</si>
  <si>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</si>
  <si>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</si>
  <si>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</si>
  <si>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</si>
  <si>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</si>
  <si>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</si>
  <si>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</si>
  <si>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</si>
  <si>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</si>
  <si>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</si>
  <si>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</si>
  <si>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</si>
  <si>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</si>
  <si>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</si>
  <si>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</si>
  <si>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</si>
  <si>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</si>
  <si>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</si>
  <si>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</si>
  <si>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</si>
  <si>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</si>
  <si>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</si>
  <si>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</si>
  <si>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</si>
  <si>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</si>
  <si>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</si>
  <si>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</si>
  <si>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</si>
  <si>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</si>
  <si>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</si>
  <si>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</si>
  <si>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</si>
  <si>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</si>
  <si>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</si>
  <si>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</si>
  <si>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</si>
  <si>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</si>
  <si>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</si>
  <si>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</si>
  <si>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</si>
  <si>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</si>
  <si>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</si>
  <si>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</si>
  <si>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</si>
  <si>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</si>
  <si>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</si>
  <si>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</si>
  <si>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</si>
  <si>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</si>
  <si>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</si>
  <si>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</si>
  <si>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</si>
  <si>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</si>
  <si>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</si>
  <si>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</si>
  <si>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</si>
  <si>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</si>
  <si>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</si>
  <si>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</si>
  <si>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</si>
  <si>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</si>
  <si>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</si>
  <si>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</si>
  <si>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</si>
  <si>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</si>
  <si>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</si>
  <si>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</si>
  <si>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</si>
  <si>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</si>
  <si>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</si>
  <si>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</si>
  <si>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</si>
  <si>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</si>
  <si>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</si>
  <si>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</si>
  <si>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</si>
  <si>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</si>
  <si>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</si>
  <si>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</si>
  <si>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</si>
  <si>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</si>
  <si>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</si>
  <si>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</si>
  <si>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</si>
  <si>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</si>
  <si>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</si>
  <si>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</si>
  <si>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</si>
  <si>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</si>
  <si>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</si>
  <si>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</si>
  <si>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</si>
  <si>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</si>
  <si>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</si>
  <si>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</si>
  <si>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</si>
  <si>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</si>
  <si>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</si>
  <si>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</si>
  <si>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</si>
  <si>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</si>
  <si>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</si>
  <si>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</si>
  <si>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</si>
  <si>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</si>
  <si>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</si>
  <si>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</si>
  <si>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</si>
  <si>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</si>
  <si>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</si>
  <si>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</si>
  <si>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</si>
  <si>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</si>
  <si>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</si>
  <si>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</si>
  <si>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</si>
  <si>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</si>
  <si>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</si>
  <si>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</si>
  <si>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</si>
  <si>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</si>
  <si>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</si>
  <si>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</si>
  <si>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</si>
  <si>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</si>
  <si>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</si>
  <si>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</si>
  <si>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</si>
  <si>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</si>
  <si>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</si>
  <si>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</si>
  <si>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</si>
  <si>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</si>
  <si>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</si>
  <si>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</si>
  <si>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</si>
  <si>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</si>
  <si>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</si>
  <si>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</si>
  <si>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</si>
  <si>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</si>
  <si>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</si>
  <si>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</si>
  <si>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</si>
  <si>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</si>
  <si>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</si>
  <si>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</si>
  <si>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</si>
  <si>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</si>
  <si>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</si>
  <si>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</si>
  <si>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</si>
  <si>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</si>
  <si>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</si>
  <si>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</si>
  <si>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</si>
  <si>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</si>
  <si>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</si>
  <si>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</si>
  <si>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</si>
  <si>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</si>
  <si>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</si>
  <si>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</si>
  <si>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</si>
  <si>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</si>
  <si>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</si>
  <si>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</si>
  <si>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</si>
  <si>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</si>
  <si>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</si>
  <si>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</si>
  <si>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</si>
  <si>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</si>
  <si>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</si>
  <si>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</si>
  <si>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</si>
  <si>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</si>
  <si>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</si>
  <si>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</si>
  <si>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</si>
  <si>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</si>
  <si>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</si>
  <si>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</si>
  <si>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</si>
  <si>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</si>
  <si>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</si>
  <si>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</si>
  <si>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</si>
  <si>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</si>
  <si>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</si>
  <si>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</si>
  <si>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</si>
  <si>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</si>
  <si>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</si>
  <si>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</si>
  <si>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</si>
  <si>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</si>
  <si>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</si>
  <si>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</si>
  <si>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</si>
  <si>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</si>
  <si>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</si>
  <si>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</si>
  <si>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</si>
  <si>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</si>
  <si>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</si>
  <si>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</si>
  <si>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</si>
  <si>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</si>
  <si>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</si>
  <si>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</si>
  <si>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</si>
  <si>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</si>
  <si>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</si>
  <si>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</si>
  <si>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</si>
  <si>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</si>
  <si>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</si>
  <si>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</si>
  <si>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</si>
  <si>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</si>
  <si>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</si>
  <si>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</si>
  <si>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</si>
  <si>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</si>
  <si>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</si>
  <si>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</si>
  <si>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</si>
  <si>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</si>
  <si>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</si>
  <si>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</si>
  <si>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</si>
  <si>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</si>
  <si>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</si>
  <si>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</si>
  <si>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</si>
  <si>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</si>
  <si>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</si>
  <si>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</si>
  <si>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</si>
  <si>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</si>
  <si>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</si>
  <si>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</si>
  <si>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</si>
  <si>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</si>
  <si>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</si>
  <si>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</si>
  <si>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</si>
  <si>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</si>
  <si>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</si>
  <si>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</si>
  <si>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</si>
  <si>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</si>
  <si>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</si>
  <si>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</si>
  <si>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</si>
  <si>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</si>
  <si>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</si>
  <si>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</si>
  <si>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</si>
  <si>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</si>
  <si>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</si>
  <si>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</si>
  <si>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</si>
  <si>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</si>
  <si>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</si>
  <si>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</si>
  <si>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</si>
  <si>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</si>
  <si>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</si>
  <si>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</si>
  <si>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</si>
  <si>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</si>
  <si>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</si>
  <si>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</si>
  <si>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</si>
  <si>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</si>
  <si>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</si>
  <si>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</si>
  <si>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</si>
  <si>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</si>
  <si>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</si>
  <si>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</si>
  <si>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</si>
  <si>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</si>
  <si>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</si>
  <si>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</si>
  <si>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</si>
  <si>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</si>
  <si>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</si>
  <si>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</si>
  <si>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</si>
  <si>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</si>
  <si>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</si>
  <si>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</si>
  <si>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</si>
  <si>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</si>
  <si>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</si>
  <si>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</si>
  <si>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</si>
  <si>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</si>
  <si>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</si>
  <si>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</si>
  <si>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</si>
  <si>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</si>
  <si>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</si>
  <si>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</si>
  <si>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</si>
  <si>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</si>
  <si>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</si>
  <si>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</si>
  <si>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</si>
  <si>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</si>
  <si>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</si>
  <si>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</si>
  <si>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</si>
  <si>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</si>
  <si>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</si>
  <si>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</si>
  <si>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</si>
  <si>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</si>
  <si>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</si>
  <si>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</si>
  <si>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</si>
  <si>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</si>
  <si>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</si>
  <si>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</si>
  <si>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</si>
  <si>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</si>
  <si>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</si>
  <si>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</si>
  <si>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</si>
  <si>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</si>
  <si>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</si>
  <si>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</si>
  <si>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</si>
  <si>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</si>
  <si>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</si>
  <si>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</si>
  <si>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</si>
  <si>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</si>
  <si>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</si>
  <si>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</si>
  <si>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</si>
  <si>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</si>
  <si>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</si>
  <si>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</si>
  <si>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</si>
  <si>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</si>
  <si>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</si>
  <si>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</si>
  <si>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</si>
  <si>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</si>
  <si>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</si>
  <si>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</si>
  <si>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</si>
  <si>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</si>
  <si>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</si>
  <si>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</si>
  <si>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</si>
  <si>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</si>
  <si>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</si>
  <si>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</si>
  <si>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</si>
  <si>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</si>
  <si>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</si>
  <si>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</si>
  <si>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</si>
  <si>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</si>
  <si>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</si>
  <si>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</si>
  <si>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</si>
  <si>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</si>
  <si>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</si>
  <si>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</si>
  <si>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</si>
  <si>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</si>
  <si>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</si>
  <si>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</si>
  <si>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</si>
  <si>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</si>
  <si>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</si>
  <si>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</si>
  <si>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</si>
  <si>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</si>
  <si>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</si>
  <si>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</si>
  <si>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</si>
  <si>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</si>
  <si>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</si>
  <si>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</si>
  <si>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</si>
  <si>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</si>
  <si>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</si>
  <si>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</si>
  <si>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</si>
  <si>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</si>
  <si>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</si>
  <si>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</si>
  <si>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</si>
  <si>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</si>
  <si>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</si>
  <si>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</si>
  <si>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</si>
  <si>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</si>
  <si>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</si>
  <si>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</si>
  <si>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</si>
  <si>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</si>
  <si>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</si>
  <si>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</si>
  <si>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</si>
  <si>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</si>
  <si>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</si>
  <si>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</si>
  <si>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</si>
  <si>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</si>
  <si>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</si>
  <si>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</si>
  <si>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</si>
  <si>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</si>
  <si>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</si>
  <si>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</si>
  <si>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</si>
  <si>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</si>
  <si>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</si>
  <si>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</si>
  <si>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</si>
  <si>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</si>
  <si>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</si>
  <si>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</si>
  <si>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</si>
  <si>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</si>
  <si>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</si>
  <si>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</si>
  <si>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</si>
  <si>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</si>
  <si>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</si>
  <si>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</si>
  <si>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</si>
  <si>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</si>
  <si>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王鹏</t>
  </si>
  <si>
    <t>崔锴</t>
  </si>
  <si>
    <t>天津瑞光房地产开发有限公司</t>
    <phoneticPr fontId="6" type="noConversion"/>
  </si>
  <si>
    <t>抵押</t>
  </si>
  <si>
    <t>房地产抵押价值</t>
  </si>
  <si>
    <t>其他：</t>
  </si>
  <si>
    <t>企业</t>
  </si>
  <si>
    <t>天津</t>
    <phoneticPr fontId="6" type="noConversion"/>
  </si>
  <si>
    <t>海河教育园区瑞明路与雅馨路交口西南侧</t>
  </si>
  <si>
    <t>海河教育园区瑞明路与雅馨路交口西南侧</t>
    <phoneticPr fontId="6" type="noConversion"/>
  </si>
  <si>
    <t>出让</t>
  </si>
  <si>
    <t>浙商金汇信托股份有限公司</t>
    <phoneticPr fontId="6" type="noConversion"/>
  </si>
  <si>
    <t>是</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</si>
  <si>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</si>
  <si>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通路</t>
  </si>
  <si>
    <t>通电</t>
  </si>
  <si>
    <t>通讯</t>
  </si>
  <si>
    <t>通上水</t>
  </si>
  <si>
    <t>通下水</t>
  </si>
  <si>
    <t>居住项目</t>
  </si>
  <si>
    <t>低密度住宅</t>
  </si>
  <si>
    <r>
      <t>92863</t>
    </r>
    <r>
      <rPr>
        <sz val="10"/>
        <color theme="9" tint="-0.249977111117893"/>
        <rFont val="宋体"/>
        <family val="3"/>
        <charset val="134"/>
      </rPr>
      <t>㎡土地面积</t>
    </r>
    <phoneticPr fontId="6" type="noConversion"/>
  </si>
  <si>
    <t>《不动产登记证明》</t>
    <phoneticPr fontId="86" type="noConversion"/>
  </si>
  <si>
    <t>地上</t>
  </si>
  <si>
    <t>住宅</t>
  </si>
  <si>
    <t>洋房</t>
  </si>
  <si>
    <t>1#</t>
  </si>
  <si>
    <t>2#</t>
  </si>
  <si>
    <t>3#</t>
  </si>
  <si>
    <t>4#</t>
  </si>
  <si>
    <t>5#</t>
  </si>
  <si>
    <t>6#</t>
  </si>
  <si>
    <t>7#</t>
  </si>
  <si>
    <t>8#</t>
  </si>
  <si>
    <t>9#</t>
  </si>
  <si>
    <t>10#</t>
  </si>
  <si>
    <t>11#</t>
  </si>
  <si>
    <t>12#</t>
  </si>
  <si>
    <t>13#</t>
  </si>
  <si>
    <t>14#</t>
  </si>
  <si>
    <t>15#</t>
  </si>
  <si>
    <t>16#</t>
  </si>
  <si>
    <t>17#</t>
  </si>
  <si>
    <t>18#</t>
  </si>
  <si>
    <t>19#</t>
  </si>
  <si>
    <t>20#</t>
  </si>
  <si>
    <t>21#</t>
  </si>
  <si>
    <t>22#</t>
  </si>
  <si>
    <t>23#</t>
  </si>
  <si>
    <t>24#</t>
  </si>
  <si>
    <t>地下</t>
  </si>
  <si>
    <t>车库</t>
  </si>
  <si>
    <t>地下车库</t>
    <phoneticPr fontId="7" type="noConversion"/>
  </si>
  <si>
    <t>否</t>
  </si>
  <si>
    <t>https://law.esnai.com/view/148305/</t>
  </si>
  <si>
    <t>https://zhishi.fang.com/xf/tj_25989.html</t>
  </si>
  <si>
    <t xml:space="preserve">3#楼（7F/-1F）层高/地库层数
桩基施工：已完成
地下室：已完成
主体：已完成
砌体：0层
二结构：0层
门窗框：0层
内抹：0层
外抹：0层
外保温：0层
外墙涂料：0层
阳台栏杆：0层
门窗扇玻璃：0层
地坪：0层
公区湿作业：0层
公区装修完成：0层
</t>
    <phoneticPr fontId="140" type="noConversion"/>
  </si>
  <si>
    <t xml:space="preserve">21#楼（7F/-1F）层高/地库层数
桩基施工：已完成
地下室：已完成
主体：已完成
砌体：3层
二结构：0层
门窗框：0层
内抹：0层
外抹：0层
外保温：0层
外墙涂料：0层
阳台栏杆：0层
门窗扇玻璃：0层
地坪：0层
公区湿作业：0层
公区装修完成：0层
</t>
    <phoneticPr fontId="140" type="noConversion"/>
  </si>
  <si>
    <t xml:space="preserve">5#楼（7F/-1F）层高/地库层数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</si>
  <si>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19#楼（7F/-1F）层高/地库层数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</si>
  <si>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1#楼（6F/0F）层高/地库层数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</si>
  <si>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24#楼（6F/0F）层高/地库层数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</si>
  <si>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11#楼（7F/-1F）层高/地库层数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</si>
  <si>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</si>
  <si>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</si>
  <si>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15#楼（7F/-1F）层高/地库层数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</si>
  <si>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14#楼（7F/-1F）层高/地库层数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</si>
  <si>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12#楼（6F/0F）层高/地库层数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</si>
  <si>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8#楼（7F/-1F）层高/地库层数
桩基施工：已完成
地下室：已完成
主体：已完成
砌体：已完成
二结构：已完成
门窗框：已完成
内抹：已完成
外抹：已完成
外保温：已完成
外墙涂料：0层
阳台栏杆：0层
门窗扇玻璃：3层
地坪：7层
公区湿作业：0层
公区装修完成：0层
</t>
    <phoneticPr fontId="140" type="noConversion"/>
  </si>
  <si>
    <t xml:space="preserve">6#楼（7F/-1F）层高/地库层数
桩基施工：已完成
地下室：已完成
主体：已完成
砌体：已完成
二结构：已完成
门窗框：已完成
内抹：已完成
外抹：已完成
外保温：已完成
外墙涂料：0层
阳台栏杆：0层
门窗扇玻璃：7层
地坪：已完成
公区湿作业：0层
公区装修完成：0层
</t>
    <phoneticPr fontId="140" type="noConversion"/>
  </si>
  <si>
    <t xml:space="preserve">地库（1F）层数
地库结构
基础：已完成
结构：-1层（顶板浇筑为准）
砌筑：10%
地库装饰
抹灰：0%
地坪：0%
车库划线：0%
地库安装
防火分区安装：4个/6个（按防火分区划分）
项目额外补充项
</t>
    <phoneticPr fontId="140" type="noConversion"/>
  </si>
  <si>
    <t>公共设施</t>
    <phoneticPr fontId="140" type="noConversion"/>
  </si>
  <si>
    <t>幼儿园</t>
    <phoneticPr fontId="140" type="noConversion"/>
  </si>
  <si>
    <t>人防车库</t>
    <phoneticPr fontId="140" type="noConversion"/>
  </si>
  <si>
    <t xml:space="preserve">一期（毛坯竣备、毛坯交付）：
总包单位：荣盛建设集团有限公司
业态：住宅(地下1层),车位,幼儿园
建筑面积：6.10万 总货值：14.05亿
开工:2019-8-1    开盘:2019-12-13
封顶:2020-5-30    落架:2020-6-30
竣备：2021-4-15
全景计划竣工：2021-07-15
合同交付：2021-9-15
</t>
    <phoneticPr fontId="140" type="noConversion"/>
  </si>
  <si>
    <t xml:space="preserve">二期（毛坯竣备、毛坯交付）：
总包单位：春昇建设集团有限公司
业态：住宅(地下1层),车位
建筑面积：3.03万 总货值：6.79亿
开工:2020-3-15    开盘:2021-6-20
封顶:2021-4-1   落架:2021-6-1
竣备:2021-9-10
全景计划竣工：2021-11-1
合同交付：2022-05-30
</t>
    <phoneticPr fontId="140" type="noConversion"/>
  </si>
  <si>
    <t xml:space="preserve">三期（精装竣备、精装交付）：
总包单位：春昇建设集团有限公司
业态：住宅(无地下室）
建筑面积：2.7万 总货值：3.72亿
开工:2020-10-30  
封顶:2021-8-19   落架:2021-11-28
竣备：2022-8-10
全景计划竣工：2022-12-10
合同交付：2023-2-8
</t>
    <phoneticPr fontId="140" type="noConversion"/>
  </si>
  <si>
    <t>楼号</t>
    <phoneticPr fontId="140" type="noConversion"/>
  </si>
  <si>
    <t>工程进度</t>
    <phoneticPr fontId="140" type="noConversion"/>
  </si>
  <si>
    <t>进度描述</t>
    <phoneticPr fontId="140" type="noConversion"/>
  </si>
  <si>
    <t xml:space="preserve">13#楼（6F/0F）层高/地库层数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</si>
  <si>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2#楼（7F/-1F）层高/地库层数
桩基施工：已完成
地下室：已完成
主体：已完成
砌体：已完成
二结构：已完成
门窗框：已完成
内抹：已完成
外抹：已完成
外保温：7层
外墙涂料：0层    阳台栏杆：0层    门窗扇玻璃：0层
地坪：0层    公区湿作业：0层    公区装修完成：0层
</t>
    <phoneticPr fontId="140" type="noConversion"/>
  </si>
  <si>
    <t xml:space="preserve">4#楼（7F/-1F）层高/地库层数
桩基施工：已完成
地下室：已完成
主体：已完成
砌体：已完成
二结构：已完成
门窗框：已完成
内抹：已完成
外抹：已完成
外保温：已完成
外墙涂料：0层    阳台栏杆：0层    门窗扇玻璃：0层
地坪：4层    公区湿作业：0层    公区装修完成：0层
</t>
    <phoneticPr fontId="140" type="noConversion"/>
  </si>
  <si>
    <t xml:space="preserve">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</si>
  <si>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10#楼（6F/-1F）层高/地库层数
桩基施工：已完成
地下室：已完成
主体：已完成
砌体：已完成
二结构：已完成
门窗框：已完成
内抹：已完成
外抹：已完成
外保温：已完成
外墙涂料：0层    栏杆：0层    门窗扇玻璃：3层
地坪：0层    公区湿作业：0层    公区装修完成：0层
</t>
    <phoneticPr fontId="140" type="noConversion"/>
  </si>
  <si>
    <t>主体完工、砌体完工、二次结构完工、门窗框完工、内外抹灰完成、保温层至7层</t>
    <phoneticPr fontId="140" type="noConversion"/>
  </si>
  <si>
    <t>主体完工、砌体完工、二次结构完工、门窗框完工、内外抹灰完成、保温层完成</t>
    <phoneticPr fontId="140" type="noConversion"/>
  </si>
  <si>
    <t>主体完工、砌体完工、二次结构完工、门窗框完工、内外抹灰完成、保温层完成、门窗框及玻璃安装完成</t>
    <phoneticPr fontId="140" type="noConversion"/>
  </si>
  <si>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</si>
  <si>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</si>
  <si>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主体完工、砌体完工、二次结构完工</t>
    <phoneticPr fontId="140" type="noConversion"/>
  </si>
  <si>
    <t>主体完工、砌体完工、二次结构完工、门窗框完工、内外抹灰完成、保温层完成、门窗框及玻璃安装完成、公共装修3层</t>
    <phoneticPr fontId="140" type="noConversion"/>
  </si>
  <si>
    <t>砌筑完成10%，其他楼下部分已完成</t>
    <phoneticPr fontId="140" type="noConversion"/>
  </si>
  <si>
    <t>主体完工、砌体4层</t>
    <phoneticPr fontId="140" type="noConversion"/>
  </si>
  <si>
    <t>主体完工</t>
    <phoneticPr fontId="140" type="noConversion"/>
  </si>
  <si>
    <t>小计</t>
    <phoneticPr fontId="140" type="noConversion"/>
  </si>
  <si>
    <t>小计</t>
    <phoneticPr fontId="140" type="noConversion"/>
  </si>
  <si>
    <t>假设开发法</t>
  </si>
  <si>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</si>
  <si>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</si>
  <si>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</si>
  <si>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</si>
  <si>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</si>
  <si>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</si>
  <si>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</si>
  <si>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</si>
  <si>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</si>
  <si>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</si>
  <si>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</si>
  <si>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</si>
  <si>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</si>
  <si>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</si>
  <si>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亩价</t>
    <phoneticPr fontId="3" type="noConversion"/>
  </si>
  <si>
    <t>溢价率</t>
  </si>
  <si>
    <t>受让单位</t>
  </si>
  <si>
    <t>土地星级</t>
  </si>
  <si>
    <t>天津海河教育园区雅馨路与嘉明路交口西南侧</t>
  </si>
  <si>
    <t>天津市</t>
  </si>
  <si>
    <t>综合用地(含住宅)</t>
  </si>
  <si>
    <t>≤1.4</t>
  </si>
  <si>
    <t>挂牌</t>
  </si>
  <si>
    <t>城镇住宅、商服</t>
  </si>
  <si>
    <t>2020-06-24</t>
  </si>
  <si>
    <t>北京金科德远置业有限公司</t>
  </si>
  <si>
    <t>4星</t>
  </si>
  <si>
    <t>海河教育园区和慧南路与吉明路交口东南侧</t>
  </si>
  <si>
    <t>2020-01-22</t>
  </si>
  <si>
    <t>天津睿鸿置业有限公司</t>
  </si>
  <si>
    <t>天津海河教育园区雅润路与福明路交口西南侧</t>
  </si>
  <si>
    <t>2019-12-13</t>
  </si>
  <si>
    <t>天津金泰丰房地产开发有限公司</t>
  </si>
  <si>
    <t>天津海河教育园区和慧南路与同德路交口东南侧</t>
  </si>
  <si>
    <t>≤1.35</t>
  </si>
  <si>
    <t>城镇住宅用地、商服用地</t>
  </si>
  <si>
    <t>2019-07-26</t>
  </si>
  <si>
    <t>中海置业(天津)有限公司</t>
  </si>
  <si>
    <t>津海河园(挂)2019-062号:天津海河教育园区雅润路与同心路交口西北侧;津海河园(挂)2019-063号:天津海河教育园区和慧南路与同心路交口东南侧</t>
  </si>
  <si>
    <t>津海河园(挂)2019-062号:≤1.*5;津海河园(挂)2019-063号:≤1.4</t>
  </si>
  <si>
    <t>津海河园(挂)2019-062号:商服;津海河园(挂)2019-063号:城镇住宅、商服</t>
  </si>
  <si>
    <t>2019-05-29</t>
  </si>
  <si>
    <t>重庆华宇业丰实业有限公司</t>
  </si>
  <si>
    <t>3星</t>
  </si>
  <si>
    <t>2019-05-10</t>
  </si>
  <si>
    <t>天津元合百诚房地产开发有限公司</t>
  </si>
  <si>
    <t>海河教育园区文慧北路与雅观路交口东北侧</t>
  </si>
  <si>
    <t>2018-08-29</t>
  </si>
  <si>
    <t>路劲(天津隽隆企业管理有限公司)</t>
  </si>
  <si>
    <t>雅居乐(天津雅兴房地产开发有限公司)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</si>
  <si>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</si>
  <si>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</si>
  <si>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</si>
  <si>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</si>
  <si>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</si>
  <si>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</si>
  <si>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天津海河教育园区同砚路与雅馨路交口西南侧</t>
  </si>
  <si>
    <t>≤1.3499</t>
  </si>
  <si>
    <t>2016-03-11</t>
  </si>
  <si>
    <t>北京卓信瑞通投资有限公司</t>
  </si>
  <si>
    <t>天津海河教育园区同砚路与雅馨路交口东南侧</t>
  </si>
  <si>
    <t>天津旭浩房地产开发有限公司</t>
  </si>
  <si>
    <t>天津海河教育园区泰明路与雅馨路交口西南侧</t>
  </si>
  <si>
    <t>≤1.399</t>
  </si>
  <si>
    <t>2016-03-09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</si>
  <si>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</si>
  <si>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</si>
  <si>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</si>
  <si>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</si>
  <si>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</si>
  <si>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</si>
  <si>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津南区咸水沽镇</t>
  </si>
  <si>
    <t>居住、科教用地、商业</t>
  </si>
  <si>
    <t>2010-04-28</t>
  </si>
  <si>
    <t>北京富力城房地产开发有限公司</t>
  </si>
  <si>
    <t>津南区小站镇津歧公路东侧</t>
  </si>
  <si>
    <t>＜1.6</t>
  </si>
  <si>
    <t>拍卖</t>
  </si>
  <si>
    <t>居住、商业</t>
  </si>
  <si>
    <t>2008-01-18</t>
  </si>
  <si>
    <t>天津世纪海湾投资有限公司</t>
  </si>
  <si>
    <t>津南区咸水沽镇紫江路与津沽路交口处</t>
  </si>
  <si>
    <t>居住、商业用地</t>
  </si>
  <si>
    <t>2007-06-29</t>
  </si>
  <si>
    <t>永泰房地产(集团)有限公司</t>
  </si>
  <si>
    <t>2星</t>
  </si>
  <si>
    <t>地面价（元/㎡）</t>
    <phoneticPr fontId="140" type="noConversion"/>
  </si>
  <si>
    <t>已成交672套，成交面积64925.49㎡，成交货值133121万元</t>
  </si>
  <si>
    <t>海河教育园区津沽公路与雅泽路交口东北侧</t>
    <phoneticPr fontId="140" type="noConversion"/>
  </si>
  <si>
    <t>景瑞翰邻</t>
    <phoneticPr fontId="3" type="noConversion"/>
  </si>
  <si>
    <t>龙湖天宸</t>
    <phoneticPr fontId="3" type="noConversion"/>
  </si>
  <si>
    <t>鲁能泰山7号</t>
    <phoneticPr fontId="3" type="noConversion"/>
  </si>
  <si>
    <t>阳光城·文澜府</t>
    <phoneticPr fontId="3" type="noConversion"/>
  </si>
  <si>
    <t>住宅</t>
    <phoneticPr fontId="31" type="noConversion"/>
  </si>
  <si>
    <r>
      <t>70</t>
    </r>
    <r>
      <rPr>
        <sz val="11"/>
        <color indexed="8"/>
        <rFont val="宋体"/>
        <family val="3"/>
        <charset val="134"/>
      </rPr>
      <t>、</t>
    </r>
    <r>
      <rPr>
        <sz val="11"/>
        <color indexed="8"/>
        <rFont val="Arial"/>
        <family val="2"/>
      </rPr>
      <t>40</t>
    </r>
    <phoneticPr fontId="31" type="noConversion"/>
  </si>
  <si>
    <t>人防</t>
    <phoneticPr fontId="3" type="noConversion"/>
  </si>
  <si>
    <t>较好</t>
  </si>
  <si>
    <t>销售日（周、月）报、净签约指标</t>
  </si>
  <si>
    <t>统计日期：2019-09-01 截至到  2021-02-28     制表日期：2021-03-05</t>
  </si>
  <si>
    <t>公司名称</t>
  </si>
  <si>
    <t>项目名称</t>
  </si>
  <si>
    <t>分期名称</t>
  </si>
  <si>
    <t>项目可售量</t>
  </si>
  <si>
    <t>楼栋</t>
  </si>
  <si>
    <t>套数(套)</t>
  </si>
  <si>
    <t>面积（M2）</t>
  </si>
  <si>
    <t>可售总价（元）</t>
  </si>
  <si>
    <t>净签约套数</t>
  </si>
  <si>
    <t>净签约面积</t>
  </si>
  <si>
    <t>净签约金额</t>
  </si>
  <si>
    <t>津冀区域公司</t>
  </si>
  <si>
    <t>天津海河教育园文澜府</t>
  </si>
  <si>
    <t>天津海河教育园文澜府-地块A</t>
  </si>
  <si>
    <t>阳光文苑10号楼</t>
  </si>
  <si>
    <t>阳光文苑11号楼</t>
  </si>
  <si>
    <t>阳光文苑12号楼</t>
  </si>
  <si>
    <t>阳光文苑13号楼</t>
  </si>
  <si>
    <t>阳光文苑14号楼</t>
  </si>
  <si>
    <t>阳光文苑15号楼</t>
  </si>
  <si>
    <t>阳光文苑17号楼</t>
  </si>
  <si>
    <t>阳光文苑19号楼</t>
  </si>
  <si>
    <t>阳光文苑1号楼</t>
  </si>
  <si>
    <t>阳光文苑21号楼</t>
  </si>
  <si>
    <t>阳光文苑24号楼</t>
  </si>
  <si>
    <t>阳光文苑2号楼</t>
  </si>
  <si>
    <t>阳光文苑3号楼</t>
  </si>
  <si>
    <t>阳光文苑4号楼</t>
  </si>
  <si>
    <t>阳光文苑5号楼</t>
  </si>
  <si>
    <t>阳光文苑6号楼</t>
  </si>
  <si>
    <t>阳光文苑7号楼</t>
  </si>
  <si>
    <t>阳光文苑8号楼</t>
  </si>
  <si>
    <t>阳光文苑9号楼</t>
  </si>
  <si>
    <t>分期小计</t>
  </si>
  <si>
    <t>项目小计</t>
  </si>
  <si>
    <t>公司合计</t>
  </si>
  <si>
    <t>集团总计</t>
  </si>
  <si>
    <t>预售证面积</t>
    <phoneticPr fontId="140" type="noConversion"/>
  </si>
  <si>
    <t>施工证面积</t>
    <phoneticPr fontId="140" type="noConversion"/>
  </si>
  <si>
    <t>9#</t>
    <phoneticPr fontId="140" type="noConversion"/>
  </si>
  <si>
    <t>七通</t>
  </si>
  <si>
    <t>规则</t>
  </si>
  <si>
    <t>规则</t>
    <phoneticPr fontId="31" type="noConversion"/>
  </si>
  <si>
    <t>较好</t>
    <phoneticPr fontId="31" type="noConversion"/>
  </si>
  <si>
    <t>剩余面积</t>
    <phoneticPr fontId="140" type="noConversion"/>
  </si>
  <si>
    <t>小计</t>
    <phoneticPr fontId="140" type="noConversion"/>
  </si>
  <si>
    <t>其他省市系数</t>
  </si>
  <si>
    <t>未包含在土地购买价格中</t>
  </si>
  <si>
    <t>全部缴纳</t>
  </si>
  <si>
    <t>住宅</t>
    <phoneticPr fontId="25" type="noConversion"/>
  </si>
  <si>
    <t>已全部缴纳</t>
  </si>
  <si>
    <t>售价</t>
  </si>
  <si>
    <t>车位</t>
  </si>
  <si>
    <t>车位</t>
    <phoneticPr fontId="32" type="noConversion"/>
  </si>
  <si>
    <t>在建（套用方法）</t>
  </si>
  <si>
    <t>押一</t>
  </si>
  <si>
    <t>按租金收入计税</t>
  </si>
  <si>
    <t>钢混</t>
  </si>
  <si>
    <t>非生产用房</t>
  </si>
  <si>
    <t>收益法-车位</t>
  </si>
  <si>
    <t>收益法-车位</t>
    <phoneticPr fontId="16" type="noConversion"/>
  </si>
  <si>
    <t>收益法-自持</t>
  </si>
  <si>
    <t>收益法-自持</t>
    <phoneticPr fontId="16" type="noConversion"/>
  </si>
  <si>
    <t>比较法</t>
  </si>
  <si>
    <t>总价</t>
  </si>
  <si>
    <t>成本比率</t>
  </si>
  <si>
    <t>已包含在土地取得成本中</t>
  </si>
  <si>
    <t>是否自持</t>
    <phoneticPr fontId="31" type="noConversion"/>
  </si>
  <si>
    <t>自定义</t>
  </si>
  <si>
    <t>自持</t>
    <phoneticPr fontId="140" type="noConversion"/>
  </si>
  <si>
    <t>测绘面积</t>
    <phoneticPr fontId="140" type="noConversion"/>
  </si>
  <si>
    <t>六通</t>
  </si>
  <si>
    <t>五通</t>
  </si>
  <si>
    <t>四通</t>
  </si>
  <si>
    <t>三通</t>
  </si>
  <si>
    <t>60-70（含）</t>
  </si>
  <si>
    <t>洋房</t>
    <phoneticPr fontId="25" type="noConversion"/>
  </si>
  <si>
    <t>钢混</t>
    <phoneticPr fontId="25" type="noConversion"/>
  </si>
  <si>
    <t>高档</t>
  </si>
  <si>
    <t>高档</t>
    <phoneticPr fontId="25" type="noConversion"/>
  </si>
  <si>
    <t>精装修</t>
  </si>
  <si>
    <t>精装修</t>
    <phoneticPr fontId="25" type="noConversion"/>
  </si>
  <si>
    <t>普通装修</t>
    <phoneticPr fontId="25" type="noConversion"/>
  </si>
  <si>
    <t>毛坯</t>
  </si>
  <si>
    <t>毛坯</t>
    <phoneticPr fontId="25" type="noConversion"/>
  </si>
  <si>
    <t>专业</t>
  </si>
  <si>
    <t>专业</t>
    <phoneticPr fontId="25" type="noConversion"/>
  </si>
  <si>
    <t>住宅-可售洋房</t>
  </si>
  <si>
    <t>住宅-可售洋房</t>
    <phoneticPr fontId="7" type="noConversion"/>
  </si>
  <si>
    <t>住宅-自持洋房</t>
  </si>
  <si>
    <t>住宅-自持洋房</t>
    <phoneticPr fontId="7" type="noConversion"/>
  </si>
  <si>
    <t>10%</t>
    <phoneticPr fontId="31" type="noConversion"/>
  </si>
  <si>
    <t>30%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</si>
</sst>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FF0000"/>
      <name val="宋体"/>
      <family val="3"/>
      <charset val="134"/>
      <scheme val="minor"/>
    </font>
    <font>
      <sz val="11"/>
      <color rgb="FFFF0000"/>
      <name val="宋体"/>
      <family val="3"/>
      <charset val="134"/>
      <scheme val="minor"/>
    </font>
    <font>
      <sz val="10"/>
      <color rgb="FFFF0000"/>
      <name val="宋体"/>
      <family val="3"/>
      <charset val="134"/>
      <scheme val="minor"/>
    </font>
    <font>
      <b/>
      <sz val="10"/>
      <color rgb="FF000000"/>
      <name val="楷体_GB2312"/>
      <family val="3"/>
      <charset val="134"/>
    </font>
    <font>
      <b/>
      <sz val="14"/>
      <color indexed="8"/>
      <name val="微软雅黑"/>
      <family val="2"/>
      <charset val="134"/>
    </font>
    <font>
      <b/>
      <sz val="11"/>
      <color indexed="11"/>
      <name val="微软雅黑"/>
      <family val="2"/>
      <charset val="134"/>
    </font>
    <font>
      <b/>
      <sz val="10"/>
      <color indexed="14"/>
      <name val="微软雅黑"/>
      <family val="2"/>
      <charset val="134"/>
    </font>
    <font>
      <b/>
      <sz val="10"/>
      <color indexed="9"/>
      <name val="微软雅黑"/>
      <family val="2"/>
      <charset val="134"/>
    </font>
    <font>
      <u/>
      <sz val="10"/>
      <color indexed="17"/>
      <name val="微软雅黑"/>
      <family val="2"/>
      <charset val="134"/>
    </font>
    <font>
      <sz val="10"/>
      <color indexed="18"/>
      <name val="微软雅黑"/>
      <family val="2"/>
      <charset val="134"/>
    </font>
    <font>
      <b/>
      <sz val="10"/>
      <color indexed="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9"/>
        <bgColor indexed="0"/>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23" xfId="0" applyFont="1" applyBorder="1" applyAlignment="1" applyProtection="1">
      <alignment vertical="center" wrapText="1"/>
      <protection locked="0"/>
    </xf>
    <xf numFmtId="176" fontId="46" fillId="9" borderId="1" xfId="0" applyNumberFormat="1" applyFont="1" applyFill="1" applyBorder="1" applyAlignment="1" applyProtection="1">
      <alignment vertical="center" wrapText="1"/>
      <protection locked="0"/>
    </xf>
    <xf numFmtId="0" fontId="46" fillId="9" borderId="0" xfId="0" applyFont="1" applyFill="1" applyAlignment="1" applyProtection="1">
      <alignment horizontal="center" vertical="center" wrapText="1"/>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8" fillId="20" borderId="0" xfId="0" applyFont="1" applyFill="1">
      <alignment vertical="center"/>
    </xf>
    <xf numFmtId="0" fontId="0" fillId="20" borderId="0" xfId="0" applyFill="1">
      <alignment vertical="center"/>
    </xf>
    <xf numFmtId="0" fontId="111" fillId="0" borderId="0" xfId="0" applyFont="1" applyAlignment="1">
      <alignment vertical="center" wrapText="1"/>
    </xf>
    <xf numFmtId="0" fontId="0" fillId="0" borderId="1" xfId="0" applyBorder="1">
      <alignment vertical="center"/>
    </xf>
    <xf numFmtId="10" fontId="0" fillId="0" borderId="1" xfId="0" applyNumberFormat="1" applyBorder="1">
      <alignment vertical="center"/>
    </xf>
    <xf numFmtId="0" fontId="98" fillId="0" borderId="1" xfId="0" applyFont="1" applyBorder="1">
      <alignment vertical="center"/>
    </xf>
    <xf numFmtId="0" fontId="0" fillId="20" borderId="1" xfId="0" applyFill="1" applyBorder="1">
      <alignment vertical="center"/>
    </xf>
    <xf numFmtId="10" fontId="0" fillId="20" borderId="1" xfId="0" applyNumberFormat="1" applyFill="1" applyBorder="1">
      <alignment vertical="center"/>
    </xf>
    <xf numFmtId="0" fontId="98" fillId="20" borderId="1" xfId="0" applyFont="1" applyFill="1" applyBorder="1">
      <alignment vertical="center"/>
    </xf>
    <xf numFmtId="0" fontId="0" fillId="0" borderId="1" xfId="0" applyFill="1" applyBorder="1">
      <alignment vertical="center"/>
    </xf>
    <xf numFmtId="0" fontId="140" fillId="0" borderId="0" xfId="0" applyFont="1">
      <alignment vertical="center"/>
    </xf>
    <xf numFmtId="0" fontId="140" fillId="0" borderId="1" xfId="0" applyFont="1" applyBorder="1" applyAlignment="1">
      <alignment vertical="center" wrapText="1"/>
    </xf>
    <xf numFmtId="0" fontId="140" fillId="20" borderId="1" xfId="0" applyFont="1" applyFill="1" applyBorder="1" applyAlignment="1">
      <alignment vertical="center" wrapText="1"/>
    </xf>
    <xf numFmtId="0" fontId="140" fillId="0" borderId="1" xfId="0" applyFont="1" applyBorder="1">
      <alignment vertical="center"/>
    </xf>
    <xf numFmtId="10" fontId="111" fillId="0" borderId="1" xfId="0" applyNumberFormat="1" applyFont="1" applyBorder="1" applyAlignment="1">
      <alignment vertical="center" wrapText="1"/>
    </xf>
    <xf numFmtId="10" fontId="111" fillId="20" borderId="1" xfId="0" applyNumberFormat="1" applyFont="1" applyFill="1" applyBorder="1" applyAlignment="1">
      <alignment vertical="center" wrapText="1"/>
    </xf>
    <xf numFmtId="10" fontId="256" fillId="0" borderId="1" xfId="0" applyNumberFormat="1" applyFont="1" applyBorder="1" applyAlignment="1">
      <alignment vertical="center" wrapText="1"/>
    </xf>
    <xf numFmtId="0" fontId="254" fillId="0" borderId="1" xfId="0" applyFont="1" applyBorder="1" applyAlignment="1">
      <alignment vertical="center" wrapText="1"/>
    </xf>
    <xf numFmtId="10" fontId="256" fillId="20" borderId="1" xfId="0" applyNumberFormat="1" applyFont="1" applyFill="1" applyBorder="1" applyAlignment="1">
      <alignment vertical="center" wrapText="1"/>
    </xf>
    <xf numFmtId="0" fontId="255" fillId="5" borderId="1" xfId="0" applyFont="1" applyFill="1" applyBorder="1">
      <alignment vertical="center"/>
    </xf>
    <xf numFmtId="10" fontId="255" fillId="5" borderId="1" xfId="0" applyNumberFormat="1" applyFont="1" applyFill="1" applyBorder="1">
      <alignment vertical="center"/>
    </xf>
    <xf numFmtId="0" fontId="0" fillId="0" borderId="0" xfId="0" applyAlignment="1">
      <alignment wrapText="1"/>
    </xf>
    <xf numFmtId="0" fontId="19" fillId="0" borderId="0" xfId="0" applyFont="1" applyAlignment="1">
      <alignment wrapText="1"/>
    </xf>
    <xf numFmtId="1" fontId="0" fillId="0" borderId="0" xfId="0" applyNumberFormat="1" applyAlignment="1"/>
    <xf numFmtId="0" fontId="0" fillId="9" borderId="0" xfId="0" applyFill="1" applyAlignment="1"/>
    <xf numFmtId="0" fontId="0" fillId="9" borderId="0" xfId="0" applyFill="1" applyAlignment="1">
      <alignment wrapText="1"/>
    </xf>
    <xf numFmtId="1" fontId="0" fillId="9" borderId="0" xfId="0" applyNumberFormat="1" applyFill="1" applyAlignment="1"/>
    <xf numFmtId="0" fontId="0" fillId="20" borderId="0" xfId="0" applyFill="1" applyAlignment="1"/>
    <xf numFmtId="0" fontId="0" fillId="20" borderId="0" xfId="0" applyFill="1" applyAlignment="1">
      <alignment wrapText="1"/>
    </xf>
    <xf numFmtId="1" fontId="0" fillId="20" borderId="0" xfId="0" applyNumberFormat="1" applyFill="1" applyAlignment="1"/>
    <xf numFmtId="0" fontId="98" fillId="0" borderId="0" xfId="0" applyFont="1" applyAlignment="1">
      <alignment wrapText="1"/>
    </xf>
    <xf numFmtId="0" fontId="257" fillId="0" borderId="0" xfId="0" applyFont="1" applyAlignment="1">
      <alignment vertical="center" wrapText="1"/>
    </xf>
    <xf numFmtId="0" fontId="0" fillId="0" borderId="0" xfId="0" applyFill="1" applyAlignment="1"/>
    <xf numFmtId="0" fontId="0" fillId="0" borderId="0" xfId="0" applyFill="1" applyAlignment="1">
      <alignment wrapText="1"/>
    </xf>
    <xf numFmtId="1" fontId="0" fillId="0" borderId="0" xfId="0" applyNumberFormat="1" applyFill="1" applyAlignment="1"/>
    <xf numFmtId="197" fontId="0" fillId="20" borderId="0" xfId="0" applyNumberFormat="1" applyFill="1" applyAlignment="1">
      <alignment wrapText="1"/>
    </xf>
    <xf numFmtId="177" fontId="0" fillId="0" borderId="0" xfId="0" applyNumberFormat="1" applyAlignment="1"/>
    <xf numFmtId="177" fontId="0" fillId="0" borderId="0" xfId="0" applyNumberFormat="1" applyFill="1" applyAlignment="1"/>
    <xf numFmtId="177" fontId="0" fillId="20" borderId="0" xfId="0" applyNumberFormat="1" applyFill="1" applyAlignment="1"/>
    <xf numFmtId="177" fontId="0" fillId="0" borderId="0" xfId="0" applyNumberFormat="1" applyAlignment="1">
      <alignment vertical="center"/>
    </xf>
    <xf numFmtId="177" fontId="0" fillId="9" borderId="0" xfId="0" applyNumberFormat="1" applyFill="1" applyAlignment="1"/>
    <xf numFmtId="0" fontId="98" fillId="2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46" fillId="0" borderId="4"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20" borderId="1" xfId="0" applyFill="1" applyBorder="1" applyProtection="1">
      <alignment vertical="center"/>
      <protection locked="0"/>
    </xf>
    <xf numFmtId="0" fontId="49" fillId="20" borderId="1" xfId="0" applyFont="1" applyFill="1" applyBorder="1" applyAlignment="1" applyProtection="1">
      <alignment horizontal="center" vertical="center" wrapText="1"/>
      <protection locked="0"/>
    </xf>
    <xf numFmtId="0" fontId="98" fillId="20" borderId="1" xfId="0" applyFont="1" applyFill="1" applyBorder="1" applyProtection="1">
      <alignment vertical="center"/>
      <protection locked="0"/>
    </xf>
    <xf numFmtId="0" fontId="49" fillId="21" borderId="1" xfId="0" applyFont="1" applyFill="1" applyBorder="1" applyAlignment="1" applyProtection="1">
      <alignment horizontal="center" vertical="center" wrapText="1"/>
      <protection locked="0"/>
    </xf>
    <xf numFmtId="0" fontId="79" fillId="21" borderId="1" xfId="0" applyFont="1" applyFill="1" applyBorder="1" applyAlignment="1" applyProtection="1">
      <alignment horizontal="center" vertical="center" wrapText="1"/>
      <protection locked="0"/>
    </xf>
    <xf numFmtId="0" fontId="0" fillId="0" borderId="0" xfId="0" applyAlignment="1"/>
    <xf numFmtId="0" fontId="259" fillId="22" borderId="158" xfId="0" applyFont="1" applyFill="1" applyBorder="1" applyAlignment="1" applyProtection="1">
      <alignment horizontal="center" vertical="center" wrapText="1" readingOrder="1"/>
      <protection locked="0"/>
    </xf>
    <xf numFmtId="0" fontId="259" fillId="22" borderId="158" xfId="0" applyFont="1" applyFill="1" applyBorder="1" applyAlignment="1" applyProtection="1">
      <alignment horizontal="center" vertical="top" wrapText="1" readingOrder="1"/>
      <protection locked="0"/>
    </xf>
    <xf numFmtId="0" fontId="262" fillId="0" borderId="165" xfId="0" applyFont="1" applyBorder="1" applyAlignment="1" applyProtection="1">
      <alignment vertical="top" wrapText="1" readingOrder="1"/>
      <protection locked="0"/>
    </xf>
    <xf numFmtId="0" fontId="263" fillId="0" borderId="165" xfId="0" applyFont="1" applyBorder="1" applyAlignment="1" applyProtection="1">
      <alignment vertical="top" wrapText="1" readingOrder="1"/>
      <protection locked="0"/>
    </xf>
    <xf numFmtId="198" fontId="263" fillId="0" borderId="165" xfId="0" applyNumberFormat="1" applyFont="1" applyBorder="1" applyAlignment="1" applyProtection="1">
      <alignment vertical="top" wrapText="1" readingOrder="1"/>
      <protection locked="0"/>
    </xf>
    <xf numFmtId="0" fontId="261" fillId="25" borderId="164" xfId="0" applyFont="1" applyFill="1" applyBorder="1" applyAlignment="1" applyProtection="1">
      <alignment vertical="top" wrapText="1" readingOrder="1"/>
      <protection locked="0"/>
    </xf>
    <xf numFmtId="198" fontId="261" fillId="25" borderId="164" xfId="0" applyNumberFormat="1" applyFont="1" applyFill="1" applyBorder="1" applyAlignment="1" applyProtection="1">
      <alignment vertical="top" wrapText="1" readingOrder="1"/>
      <protection locked="0"/>
    </xf>
    <xf numFmtId="0" fontId="261" fillId="24" borderId="163" xfId="0" applyFont="1" applyFill="1" applyBorder="1" applyAlignment="1" applyProtection="1">
      <alignment vertical="top" wrapText="1" readingOrder="1"/>
      <protection locked="0"/>
    </xf>
    <xf numFmtId="198" fontId="261" fillId="24" borderId="163" xfId="0" applyNumberFormat="1" applyFont="1" applyFill="1" applyBorder="1" applyAlignment="1" applyProtection="1">
      <alignment vertical="top" wrapText="1" readingOrder="1"/>
      <protection locked="0"/>
    </xf>
    <xf numFmtId="0" fontId="260" fillId="23" borderId="162" xfId="0" applyFont="1" applyFill="1" applyBorder="1" applyAlignment="1" applyProtection="1">
      <alignment vertical="top" wrapText="1" readingOrder="1"/>
      <protection locked="0"/>
    </xf>
    <xf numFmtId="198" fontId="260" fillId="23" borderId="162" xfId="0" applyNumberFormat="1" applyFont="1" applyFill="1" applyBorder="1" applyAlignment="1" applyProtection="1">
      <alignment vertical="top" wrapText="1" readingOrder="1"/>
      <protection locked="0"/>
    </xf>
    <xf numFmtId="0" fontId="264" fillId="26" borderId="172" xfId="0" applyFont="1" applyFill="1" applyBorder="1" applyAlignment="1" applyProtection="1">
      <alignment vertical="top" wrapText="1" readingOrder="1"/>
      <protection locked="0"/>
    </xf>
    <xf numFmtId="198" fontId="264" fillId="26" borderId="172" xfId="0" applyNumberFormat="1" applyFont="1" applyFill="1" applyBorder="1" applyAlignment="1" applyProtection="1">
      <alignment vertical="top" wrapText="1" readingOrder="1"/>
      <protection locked="0"/>
    </xf>
    <xf numFmtId="0" fontId="259" fillId="22" borderId="173" xfId="0" applyFont="1" applyFill="1" applyBorder="1" applyAlignment="1" applyProtection="1">
      <alignment horizontal="center" vertical="center" wrapText="1" readingOrder="1"/>
      <protection locked="0"/>
    </xf>
    <xf numFmtId="176" fontId="0" fillId="0" borderId="0" xfId="0" applyNumberFormat="1" applyAlignment="1"/>
    <xf numFmtId="0" fontId="0" fillId="21" borderId="0" xfId="0" applyFill="1">
      <alignment vertical="center"/>
    </xf>
    <xf numFmtId="0" fontId="98" fillId="21" borderId="0" xfId="0" applyFont="1" applyFill="1">
      <alignment vertical="center"/>
    </xf>
    <xf numFmtId="0" fontId="0" fillId="21" borderId="1" xfId="0" applyFill="1" applyBorder="1">
      <alignmen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98" fillId="0" borderId="0" xfId="0" applyFont="1" applyFill="1">
      <alignment vertical="center"/>
    </xf>
    <xf numFmtId="0" fontId="98" fillId="0" borderId="1" xfId="0" applyFont="1" applyFill="1" applyBorder="1">
      <alignment vertical="center"/>
    </xf>
    <xf numFmtId="0" fontId="0" fillId="0" borderId="15" xfId="0" applyFill="1" applyBorder="1">
      <alignment vertical="center"/>
    </xf>
    <xf numFmtId="0" fontId="255" fillId="5" borderId="15" xfId="0" applyFont="1" applyFill="1" applyBorder="1">
      <alignment vertical="center"/>
    </xf>
    <xf numFmtId="0" fontId="134" fillId="0"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4" fillId="5" borderId="6" xfId="0" applyNumberFormat="1" applyFont="1" applyFill="1" applyBorder="1" applyAlignment="1" applyProtection="1">
      <alignment horizontal="center" vertical="center" wrapText="1"/>
      <protection locked="0"/>
    </xf>
    <xf numFmtId="9" fontId="118" fillId="5" borderId="5" xfId="0" applyNumberFormat="1" applyFont="1" applyFill="1" applyBorder="1" applyAlignment="1" applyProtection="1">
      <alignment horizontal="center" vertical="center"/>
      <protection locked="0"/>
    </xf>
    <xf numFmtId="0" fontId="0" fillId="20" borderId="0" xfId="0" applyFill="1" applyAlignment="1">
      <alignment vertical="center"/>
    </xf>
    <xf numFmtId="0" fontId="0" fillId="20" borderId="0" xfId="0" applyFill="1" applyAlignment="1">
      <alignment vertical="center" wrapText="1"/>
    </xf>
    <xf numFmtId="177" fontId="0" fillId="20" borderId="0" xfId="0" applyNumberFormat="1" applyFill="1" applyAlignment="1">
      <alignment vertical="center"/>
    </xf>
    <xf numFmtId="1" fontId="0" fillId="20" borderId="0" xfId="0" applyNumberFormat="1" applyFill="1" applyAlignment="1">
      <alignment vertical="center"/>
    </xf>
    <xf numFmtId="0" fontId="0" fillId="9" borderId="0" xfId="0" applyFill="1" applyAlignment="1">
      <alignment vertical="center"/>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0" fillId="0" borderId="0" xfId="0" applyAlignment="1"/>
    <xf numFmtId="9" fontId="55" fillId="7" borderId="5"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18" fillId="5" borderId="49"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20" borderId="1" xfId="0" applyFont="1" applyFill="1" applyBorder="1" applyAlignment="1">
      <alignment horizontal="center" vertical="center" wrapText="1"/>
    </xf>
    <xf numFmtId="0" fontId="0" fillId="20" borderId="1" xfId="0" applyFill="1" applyBorder="1" applyAlignment="1">
      <alignment horizontal="center" vertical="center"/>
    </xf>
    <xf numFmtId="0" fontId="260" fillId="23" borderId="162" xfId="0" applyFont="1" applyFill="1" applyBorder="1" applyAlignment="1" applyProtection="1">
      <alignment vertical="top" wrapText="1" readingOrder="1"/>
      <protection locked="0"/>
    </xf>
    <xf numFmtId="0" fontId="0" fillId="23" borderId="166" xfId="0" applyFill="1" applyBorder="1" applyAlignment="1" applyProtection="1">
      <alignment vertical="top" wrapText="1"/>
      <protection locked="0"/>
    </xf>
    <xf numFmtId="0" fontId="0" fillId="23" borderId="171" xfId="0" applyFill="1" applyBorder="1" applyAlignment="1" applyProtection="1">
      <alignment vertical="top" wrapText="1"/>
      <protection locked="0"/>
    </xf>
    <xf numFmtId="0" fontId="261" fillId="24" borderId="163" xfId="0" applyFont="1" applyFill="1" applyBorder="1" applyAlignment="1" applyProtection="1">
      <alignment vertical="top" wrapText="1" readingOrder="1"/>
      <protection locked="0"/>
    </xf>
    <xf numFmtId="0" fontId="0" fillId="24" borderId="167" xfId="0" applyFill="1" applyBorder="1" applyAlignment="1" applyProtection="1">
      <alignment vertical="top" wrapText="1"/>
      <protection locked="0"/>
    </xf>
    <xf numFmtId="0" fontId="0" fillId="24" borderId="170" xfId="0" applyFill="1" applyBorder="1" applyAlignment="1" applyProtection="1">
      <alignment vertical="top" wrapText="1"/>
      <protection locked="0"/>
    </xf>
    <xf numFmtId="0" fontId="261" fillId="25" borderId="164" xfId="0" applyFont="1" applyFill="1" applyBorder="1" applyAlignment="1" applyProtection="1">
      <alignment vertical="top" wrapText="1" readingOrder="1"/>
      <protection locked="0"/>
    </xf>
    <xf numFmtId="0" fontId="0" fillId="25" borderId="168" xfId="0" applyFill="1" applyBorder="1" applyAlignment="1" applyProtection="1">
      <alignment vertical="top" wrapText="1"/>
      <protection locked="0"/>
    </xf>
    <xf numFmtId="0" fontId="0" fillId="25" borderId="169" xfId="0" applyFill="1" applyBorder="1" applyAlignment="1" applyProtection="1">
      <alignment vertical="top" wrapText="1"/>
      <protection locked="0"/>
    </xf>
    <xf numFmtId="0" fontId="258" fillId="0" borderId="0" xfId="0" applyFont="1" applyAlignment="1" applyProtection="1">
      <alignment horizontal="center" vertical="center" wrapText="1" readingOrder="1"/>
      <protection locked="0"/>
    </xf>
    <xf numFmtId="0" fontId="0" fillId="0" borderId="0" xfId="0" applyAlignment="1"/>
    <xf numFmtId="0" fontId="234" fillId="0" borderId="0" xfId="0" applyFont="1" applyAlignment="1" applyProtection="1">
      <alignment vertical="top" wrapText="1" readingOrder="1"/>
      <protection locked="0"/>
    </xf>
    <xf numFmtId="0" fontId="259" fillId="22" borderId="158" xfId="0" applyFont="1" applyFill="1" applyBorder="1" applyAlignment="1" applyProtection="1">
      <alignment horizontal="center" vertical="center" wrapText="1" readingOrder="1"/>
      <protection locked="0"/>
    </xf>
    <xf numFmtId="0" fontId="0" fillId="0" borderId="159" xfId="0" applyBorder="1" applyAlignment="1" applyProtection="1">
      <alignment vertical="top" wrapText="1"/>
      <protection locked="0"/>
    </xf>
    <xf numFmtId="0" fontId="0" fillId="0" borderId="160" xfId="0" applyBorder="1" applyAlignment="1" applyProtection="1">
      <alignment vertical="top" wrapText="1"/>
      <protection locked="0"/>
    </xf>
    <xf numFmtId="0" fontId="0" fillId="22" borderId="161" xfId="0" applyFill="1" applyBorder="1" applyAlignment="1" applyProtection="1">
      <alignment vertical="top"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449837</xdr:colOff>
      <xdr:row>52</xdr:row>
      <xdr:rowOff>122877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72025"/>
          <a:ext cx="7250687" cy="5637852"/>
        </a:xfrm>
        <a:prstGeom prst="rect">
          <a:avLst/>
        </a:prstGeom>
      </xdr:spPr>
    </xdr:pic>
    <xdr:clientData/>
  </xdr:twoCellAnchor>
  <xdr:twoCellAnchor editAs="oneCell">
    <xdr:from>
      <xdr:col>13</xdr:col>
      <xdr:colOff>531495</xdr:colOff>
      <xdr:row>21</xdr:row>
      <xdr:rowOff>11430</xdr:rowOff>
    </xdr:from>
    <xdr:to>
      <xdr:col>20</xdr:col>
      <xdr:colOff>473736</xdr:colOff>
      <xdr:row>43</xdr:row>
      <xdr:rowOff>155722</xdr:rowOff>
    </xdr:to>
    <xdr:pic>
      <xdr:nvPicPr>
        <xdr:cNvPr id="5" name="图片 4"/>
        <xdr:cNvPicPr>
          <a:picLocks noChangeAspect="1"/>
        </xdr:cNvPicPr>
      </xdr:nvPicPr>
      <xdr:blipFill>
        <a:blip xmlns:r="http://schemas.openxmlformats.org/officeDocument/2006/relationships" r:embed="rId2"/>
        <a:stretch>
          <a:fillRect/>
        </a:stretch>
      </xdr:blipFill>
      <xdr:spPr>
        <a:xfrm>
          <a:off x="6642735" y="5497830"/>
          <a:ext cx="4377081" cy="41676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ced2b95c-35ec-ea11-b391-005056834ead&amp;%E5%BC%80%E5%A7%8B%E6%97%A5%E6%9C%9F=09%2F01%2F2019%2000%3A00%3A00&amp;%E6%88%AA%E8%87%B3%E6%97%A5%E6%9C%9F=02%2F28%2F2021%2000%3A00%3A00&amp;rs%3AParameterLanguage=" TargetMode="External"/><Relationship Id="rId1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6e0517fa-2afa-ea11-b391-005056834ead&amp;%E5%BC%80%E5%A7%8B%E6%97%A5%E6%9C%9F=09%2F01%2F2019%2000%3A00%3A00&amp;%E6%88%AA%E8%87%B3%E6%97%A5%E6%9C%9F=02%2F28%2F2021%2000%3A00%3A00&amp;rs%3AParameterLanguage=" TargetMode="External"/><Relationship Id="rId1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b3a6743-a4c8-e911-b38f-005056834ead&amp;%E5%BC%80%E5%A7%8B%E6%97%A5%E6%9C%9F=09%2F01%2F2019%2000%3A00%3A00&amp;%E6%88%AA%E8%87%B3%E6%97%A5%E6%9C%9F=02%2F28%2F2021%2000%3A00%3A00&amp;rs%3AParameterLanguage=" TargetMode="External"/><Relationship Id="rId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4ca2dcc-30c9-e911-b38f-005056834ead&amp;%E5%BC%80%E5%A7%8B%E6%97%A5%E6%9C%9F=09%2F01%2F2019%2000%3A00%3A00&amp;%E6%88%AA%E8%87%B3%E6%97%A5%E6%9C%9F=02%2F28%2F2021%2000%3A00%3A00&amp;rs%3AParameterLanguage=" TargetMode="External"/><Relationship Id="rId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3f619799-32c9-e911-b38f-005056834ead&amp;%E5%BC%80%E5%A7%8B%E6%97%A5%E6%9C%9F=09%2F01%2F2019%2000%3A00%3A00&amp;%E6%88%AA%E8%87%B3%E6%97%A5%E6%9C%9F=02%2F28%2F2021%2000%3A00%3A00&amp;rs%3AParameterLanguage=" TargetMode="External"/><Relationship Id="rId1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867d834-99c8-e911-b38f-005056834ead&amp;%E5%BC%80%E5%A7%8B%E6%97%A5%E6%9C%9F=09%2F01%2F2019%2000%3A00%3A00&amp;%E6%88%AA%E8%87%B3%E6%97%A5%E6%9C%9F=02%2F28%2F2021%2000%3A00%3A00&amp;rs%3AParameterLanguage=" TargetMode="External"/><Relationship Id="rId1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a08c918b-a0c8-e911-b38f-005056834ead&amp;%E5%BC%80%E5%A7%8B%E6%97%A5%E6%9C%9F=09%2F01%2F2019%2000%3A00%3A00&amp;%E6%88%AA%E8%87%B3%E6%97%A5%E6%9C%9F=02%2F28%2F2021%2000%3A00%3A00&amp;rs%3AParameterLanguage=" TargetMode="External"/><Relationship Id="rId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b11301f-abc8-e911-b38f-005056834ead&amp;%E5%BC%80%E5%A7%8B%E6%97%A5%E6%9C%9F=09%2F01%2F2019%2000%3A00%3A00&amp;%E6%88%AA%E8%87%B3%E6%97%A5%E6%9C%9F=02%2F28%2F2021%2000%3A00%3A00&amp;rs%3AParameterLanguage=" TargetMode="External"/><Relationship Id="rId1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b3838275-9dc8-e911-b38f-005056834ead&amp;%E5%BC%80%E5%A7%8B%E6%97%A5%E6%9C%9F=09%2F01%2F2019%2000%3A00%3A00&amp;%E6%88%AA%E8%87%B3%E6%97%A5%E6%9C%9F=02%2F28%2F2021%2000%3A00%3A00&amp;rs%3AParameterLanguage=" TargetMode="External"/><Relationship Id="rId20" Type="http://schemas.openxmlformats.org/officeDocument/2006/relationships/printerSettings" Target="../printerSettings/printerSettings41.bin"/><Relationship Id="rId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a4c0d88-a9c8-e911-b38f-005056834ead&amp;%E5%BC%80%E5%A7%8B%E6%97%A5%E6%9C%9F=09%2F01%2F2019%2000%3A00%3A00&amp;%E6%88%AA%E8%87%B3%E6%97%A5%E6%9C%9F=02%2F28%2F2021%2000%3A00%3A00&amp;rs%3AParameterLanguage=" TargetMode="External"/><Relationship Id="rId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f3b3152-32c9-e911-b38f-005056834ead&amp;%E5%BC%80%E5%A7%8B%E6%97%A5%E6%9C%9F=09%2F01%2F2019%2000%3A00%3A00&amp;%E6%88%AA%E8%87%B3%E6%97%A5%E6%9C%9F=02%2F28%2F2021%2000%3A00%3A00&amp;rs%3AParameterLanguage=" TargetMode="External"/><Relationship Id="rId1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f40336ac-abdb-ea11-b391-005056834ead&amp;%E5%BC%80%E5%A7%8B%E6%97%A5%E6%9C%9F=09%2F01%2F2019%2000%3A00%3A00&amp;%E6%88%AA%E8%87%B3%E6%97%A5%E6%9C%9F=02%2F28%2F2021%2000%3A00%3A00&amp;rs%3AParameterLanguage=" TargetMode="External"/><Relationship Id="rId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27c5f208-32c9-e911-b38f-005056834ead&amp;%E5%BC%80%E5%A7%8B%E6%97%A5%E6%9C%9F=09%2F01%2F2019%2000%3A00%3A00&amp;%E6%88%AA%E8%87%B3%E6%97%A5%E6%9C%9F=02%2F28%2F2021%2000%3A00%3A00&amp;rs%3AParameterLanguage=" TargetMode="External"/><Relationship Id="rId1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715368a0-a9db-ea11-b391-005056834ead&amp;%E5%BC%80%E5%A7%8B%E6%97%A5%E6%9C%9F=09%2F01%2F2019%2000%3A00%3A00&amp;%E6%88%AA%E8%87%B3%E6%97%A5%E6%9C%9F=02%2F28%2F2021%2000%3A00%3A00&amp;rs%3AParameterLanguage=" TargetMode="External"/><Relationship Id="rId10"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eb1da61f-2bfa-ea11-b391-005056834ead&amp;%E5%BC%80%E5%A7%8B%E6%97%A5%E6%9C%9F=09%2F01%2F2019%2000%3A00%3A00&amp;%E6%88%AA%E8%87%B3%E6%97%A5%E6%9C%9F=02%2F28%2F2021%2000%3A00%3A00&amp;rs%3AParameterLanguage=" TargetMode="External"/><Relationship Id="rId1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8464b4da-a4c8-e911-b38f-005056834ead&amp;%E5%BC%80%E5%A7%8B%E6%97%A5%E6%9C%9F=09%2F01%2F2019%2000%3A00%3A00&amp;%E6%88%AA%E8%87%B3%E6%97%A5%E6%9C%9F=02%2F28%2F2021%2000%3A00%3A00&amp;rs%3AParameterLanguage=" TargetMode="External"/><Relationship Id="rId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70d4a9a-31c9-e911-b38f-005056834ead&amp;%E5%BC%80%E5%A7%8B%E6%97%A5%E6%9C%9F=09%2F01%2F2019%2000%3A00%3A00&amp;%E6%88%AA%E8%87%B3%E6%97%A5%E6%9C%9F=02%2F28%2F2021%2000%3A00%3A00&amp;rs%3AParameterLanguage=" TargetMode="External"/><Relationship Id="rId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da9bb8a-f497-ea11-b390-005056834ead&amp;%E5%BC%80%E5%A7%8B%E6%97%A5%E6%9C%9F=09%2F01%2F2019%2000%3A00%3A00&amp;%E6%88%AA%E8%87%B3%E6%97%A5%E6%9C%9F=02%2F28%2F2021%2000%3A00%3A00&amp;rs%3AParameterLanguage=" TargetMode="External"/><Relationship Id="rId1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539e3ce5-9ac8-e911-b38f-005056834ead&amp;%E5%BC%80%E5%A7%8B%E6%97%A5%E6%9C%9F=09%2F01%2F2019%2000%3A00%3A00&amp;%E6%88%AA%E8%87%B3%E6%97%A5%E6%9C%9F=02%2F28%2F2021%2000%3A00%3A00&amp;rs%3AParameterLanguage="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天津海河教育园区瑞明路与雅馨路交口西南侧房地产抵押价值预评估</v>
      </c>
    </row>
    <row r="3" spans="1:2" s="1363" customFormat="1">
      <c r="A3" s="1361" t="s">
        <v>1188</v>
      </c>
      <c r="B3" s="1362">
        <f>'预评函-封皮'!B40</f>
        <v>0</v>
      </c>
    </row>
    <row r="4" spans="1:2" s="1363" customFormat="1">
      <c r="A4" s="1361" t="s">
        <v>1189</v>
      </c>
      <c r="B4" s="1362" t="str">
        <f ca="1">'预评函-封皮'!B46</f>
        <v>王鹏（注册号：1120050019)、崔锴（注册号：1120100036)</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受贵公司委托，我公司对天津海河教育园区瑞明路与雅馨路交口西南侧房地产抵押价值进行了预评估。</v>
      </c>
    </row>
    <row r="7" spans="1:2" s="1363" customFormat="1">
      <c r="A7" s="1361" t="s">
        <v>1231</v>
      </c>
      <c r="B7" s="1362" t="str">
        <f>'预评函-1'!A7</f>
        <v>估价对象为天津海河教育园区瑞明路与雅馨路交口西南侧房地产，为天津瑞光房地产开发有限公司所有。根据《不动产权证书》[津（2019）天津海河教育园区不动产权第1005461号]，估价对象（分摊）出让国有建设用地使用权面积为30643.66平方米，建筑面积为54761.34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30643.66平方米，规划建筑面积为54761.34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为估价委托人在向浙商金汇信托股份有限公司办理贷款手续过程中，确定房地产抵押贷款额度提供参考依据而评估房地产抵押价值。</v>
      </c>
    </row>
    <row r="12" spans="1:2" s="1363" customFormat="1">
      <c r="A12" s="1361" t="s">
        <v>1193</v>
      </c>
      <c r="B12" s="1362" t="str">
        <f>'预评函-1'!A15</f>
        <v>2021年3月4日（评估专业人员实地查勘之日）</v>
      </c>
    </row>
    <row r="13" spans="1:2" s="1363" customFormat="1">
      <c r="A13" s="1361" t="s">
        <v>1194</v>
      </c>
      <c r="B13" s="1362" t="str">
        <f>'预评函-1'!A18</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本次评估采用的主估价方法为假设开发法和成本法。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52355</v>
      </c>
    </row>
    <row r="21" spans="1:2" s="1363" customFormat="1">
      <c r="A21" s="1361" t="s">
        <v>1202</v>
      </c>
      <c r="B21" s="1362">
        <f ca="1">'预评函-2'!D7</f>
        <v>9561</v>
      </c>
    </row>
    <row r="22" spans="1:2" s="1363" customFormat="1">
      <c r="A22" s="1361" t="s">
        <v>1203</v>
      </c>
      <c r="B22" s="1362" t="str">
        <f ca="1">'预评函-2'!D6</f>
        <v>伍亿贰仟叁佰伍拾伍万元整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52355</v>
      </c>
    </row>
    <row r="31" spans="1:2" s="1363" customFormat="1">
      <c r="A31" s="1361" t="s">
        <v>1241</v>
      </c>
      <c r="B31" s="1362">
        <f ca="1">'预评函-2'!D15</f>
        <v>9561</v>
      </c>
    </row>
    <row r="32" spans="1:2" s="1363" customFormat="1">
      <c r="A32" s="1361" t="s">
        <v>1208</v>
      </c>
      <c r="B32" s="1362" t="str">
        <f ca="1">'预评函-2'!D14</f>
        <v>伍亿贰仟叁佰伍拾伍万元整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天津海河教育园区瑞明路与雅馨路交口西南侧房地产</v>
      </c>
    </row>
    <row r="42" spans="1:2" s="1363" customFormat="1">
      <c r="A42" s="1361" t="s">
        <v>1255</v>
      </c>
      <c r="B42" s="1362" t="str">
        <f>'预评函-3'!B2</f>
        <v>建筑面积</v>
      </c>
    </row>
    <row r="43" spans="1:2" s="1363" customFormat="1">
      <c r="A43" s="1361" t="s">
        <v>1256</v>
      </c>
      <c r="B43" s="1362">
        <f>'预评函-3'!B4</f>
        <v>54761.34</v>
      </c>
    </row>
    <row r="44" spans="1:2" s="1363" customFormat="1">
      <c r="A44" s="1361" t="s">
        <v>1240</v>
      </c>
      <c r="B44" s="1362" t="str">
        <f>'预评函-3'!C2</f>
        <v>(分摊)土地面积</v>
      </c>
    </row>
    <row r="45" spans="1:2" s="1363" customFormat="1">
      <c r="A45" s="1361" t="s">
        <v>1212</v>
      </c>
      <c r="B45" s="1362">
        <f>'预评函-3'!C4</f>
        <v>30643.66</v>
      </c>
    </row>
    <row r="46" spans="1:2" s="1363" customFormat="1">
      <c r="A46" s="1361" t="s">
        <v>1238</v>
      </c>
      <c r="B46" s="1362" t="str">
        <f>'预评函-3'!D2</f>
        <v>出让国有建设用地使用权价值</v>
      </c>
    </row>
    <row r="47" spans="1:2" s="1363" customFormat="1">
      <c r="A47" s="1361" t="s">
        <v>1213</v>
      </c>
      <c r="B47" s="1362">
        <f ca="1">'预评函-3'!D4</f>
        <v>46125</v>
      </c>
    </row>
    <row r="48" spans="1:2" s="1363" customFormat="1">
      <c r="A48" s="1361" t="s">
        <v>1214</v>
      </c>
      <c r="B48" s="1362">
        <f ca="1">'预评函-3'!E4</f>
        <v>8423</v>
      </c>
    </row>
    <row r="49" spans="1:2" s="1363" customFormat="1">
      <c r="A49" s="1361" t="s">
        <v>1215</v>
      </c>
      <c r="B49" s="1362" t="str">
        <f ca="1">'预评函-3'!D5</f>
        <v>肆亿陆仟壹佰贰拾伍万元整</v>
      </c>
    </row>
    <row r="50" spans="1:2" s="1363" customFormat="1">
      <c r="A50" s="1361" t="s">
        <v>1239</v>
      </c>
      <c r="B50" s="1362" t="str">
        <f>'预评函-3'!F2</f>
        <v>在建建筑物价值</v>
      </c>
    </row>
    <row r="51" spans="1:2" s="1363" customFormat="1">
      <c r="A51" s="1361" t="s">
        <v>1216</v>
      </c>
      <c r="B51" s="1362">
        <f ca="1">'预评函-3'!F4</f>
        <v>6230</v>
      </c>
    </row>
    <row r="52" spans="1:2" s="1363" customFormat="1">
      <c r="A52" s="1361" t="s">
        <v>1217</v>
      </c>
      <c r="B52" s="1362">
        <f ca="1">'预评函-3'!G4</f>
        <v>1138</v>
      </c>
    </row>
    <row r="53" spans="1:2" s="1363" customFormat="1">
      <c r="A53" s="1361" t="s">
        <v>1245</v>
      </c>
      <c r="B53" s="1362" t="str">
        <f ca="1">'预评函-3'!F5</f>
        <v>陆仟贰佰叁拾万元整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2019年8月30日，权利人为浙商金汇信托股份有限公司，权利范围为92863㎡土地面积，权利价值为780000000。</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王鹏</v>
      </c>
    </row>
    <row r="71" spans="1:2">
      <c r="A71" s="1361" t="s">
        <v>1228</v>
      </c>
      <c r="B71" s="1362">
        <f ca="1">'预评函-4'!B4</f>
        <v>1120050019</v>
      </c>
    </row>
    <row r="72" spans="1:2">
      <c r="A72" s="1361" t="s">
        <v>1229</v>
      </c>
      <c r="B72" s="1370" t="str">
        <f>'预评函-4'!A5</f>
        <v>崔锴</v>
      </c>
    </row>
    <row r="73" spans="1:2" s="1357" customFormat="1" ht="15" thickBot="1">
      <c r="A73" s="1364" t="s">
        <v>1230</v>
      </c>
      <c r="B73" s="1365">
        <f ca="1">'预评函-4'!B5</f>
        <v>1120100036</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4" sqref="D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3314</v>
      </c>
      <c r="C18" s="1731"/>
    </row>
    <row r="19" spans="1:3">
      <c r="A19" s="1730" t="s">
        <v>1733</v>
      </c>
      <c r="B19" s="1730" t="s">
        <v>3316</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瑞光房地产开发有限公司拟使用天津海河教育园区瑞明路与雅馨路交口西南侧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0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738" t="s">
        <v>832</v>
      </c>
      <c r="C54" s="1735" t="s">
        <v>1248</v>
      </c>
    </row>
    <row r="55" spans="1:4">
      <c r="A55" s="3202"/>
      <c r="B55" s="1738" t="s">
        <v>833</v>
      </c>
      <c r="C55" s="1735" t="s">
        <v>1249</v>
      </c>
    </row>
    <row r="56" spans="1:4">
      <c r="A56" s="3202"/>
      <c r="B56" s="1738" t="s">
        <v>834</v>
      </c>
      <c r="C56" s="1735" t="s">
        <v>1253</v>
      </c>
    </row>
    <row r="57" spans="1:4">
      <c r="A57" s="320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9" sqref="H19"/>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5" customWidth="1"/>
    <col min="12" max="13" width="10" style="2846"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4" t="s">
        <v>2911</v>
      </c>
      <c r="B1" s="3211" t="str">
        <f>IF(B10="北京市","北京市",C10)&amp;F10&amp;IF(结果表!G1="在建","出让国有建设用地使用权及在建建筑物",IF(结果表!G1="土地","出让国有建设用地使用权",))&amp;B9&amp;"预评估"</f>
        <v>天津海河教育园区瑞明路与雅馨路交口西南侧房地产抵押价值预评估</v>
      </c>
      <c r="C1" s="3212"/>
      <c r="D1" s="3212"/>
      <c r="E1" s="3212"/>
      <c r="F1" s="3212"/>
      <c r="G1" s="3212"/>
      <c r="H1" s="3212"/>
      <c r="I1" s="3213"/>
      <c r="J1" s="2687"/>
      <c r="K1" s="2586"/>
      <c r="L1" s="2587"/>
      <c r="M1" s="2587"/>
      <c r="N1" s="2588"/>
      <c r="O1" s="1759"/>
      <c r="P1" s="2588"/>
      <c r="Q1" s="2588"/>
      <c r="R1" s="2588"/>
      <c r="S1" s="1865" t="str">
        <f>IF(B10="北京市","北京市",C10)&amp;F10&amp;IF(结果表!G1="在建","出让国有建设用地使用权及在建建筑物房地产抵押价值",IF(结果表!G1="土地","出让国有建设用地使用权抵押价值",B9))</f>
        <v>天津海河教育园区瑞明路与雅馨路交口西南侧房地产抵押价值</v>
      </c>
      <c r="T1" s="1928"/>
      <c r="U1" s="1928"/>
      <c r="V1" s="1928"/>
      <c r="W1" s="1928"/>
      <c r="X1" s="1928"/>
      <c r="Y1" s="1928"/>
      <c r="Z1" s="1928"/>
      <c r="AA1" s="1928"/>
      <c r="AB1" s="1928"/>
    </row>
    <row r="2" spans="1:28">
      <c r="A2" s="2585" t="s">
        <v>2912</v>
      </c>
      <c r="B2" s="2589"/>
      <c r="C2" s="2590"/>
      <c r="D2" s="2888"/>
      <c r="E2" s="2879"/>
      <c r="F2" s="2879"/>
      <c r="G2" s="2880"/>
      <c r="H2" s="2880"/>
      <c r="I2" s="2880"/>
      <c r="J2" s="2687"/>
      <c r="K2" s="2586"/>
      <c r="L2" s="2587"/>
      <c r="M2" s="2587"/>
      <c r="N2" s="2588"/>
      <c r="O2" s="1759"/>
      <c r="P2" s="2588"/>
      <c r="Q2" s="2588"/>
      <c r="R2" s="2588"/>
      <c r="S2" s="1865" t="str">
        <f>IF(B10="北京市","北京市",C10)&amp;F10&amp;IF(结果表!G1="在建","出让国有建设用地使用权及在建建筑物房地产",IF(结果表!G1="土地","出让国有建设用地使用权","房地产"))</f>
        <v>天津海河教育园区瑞明路与雅馨路交口西南侧房地产</v>
      </c>
      <c r="T2" s="1928"/>
      <c r="U2" s="1928"/>
      <c r="V2" s="1928"/>
      <c r="W2" s="1928"/>
      <c r="X2" s="1928"/>
      <c r="Y2" s="1928"/>
      <c r="Z2" s="1928"/>
      <c r="AA2" s="1928"/>
      <c r="AB2" s="1928"/>
    </row>
    <row r="3" spans="1:28">
      <c r="A3" s="307" t="s">
        <v>2913</v>
      </c>
      <c r="B3" s="2591">
        <v>44259</v>
      </c>
      <c r="C3" s="2592" t="s">
        <v>2914</v>
      </c>
      <c r="D3" s="2591">
        <f>B3</f>
        <v>44259</v>
      </c>
      <c r="E3" s="2880"/>
      <c r="F3" s="2880"/>
      <c r="G3" s="2880"/>
      <c r="H3" s="2880"/>
      <c r="I3" s="2880"/>
      <c r="J3" s="2687"/>
      <c r="K3" s="2586"/>
      <c r="L3" s="2587"/>
      <c r="M3" s="2587"/>
      <c r="N3" s="2588"/>
      <c r="O3" s="1759"/>
      <c r="P3" s="2588"/>
      <c r="Q3" s="2588"/>
      <c r="R3" s="2588"/>
      <c r="S3" s="1865"/>
      <c r="T3" s="1928"/>
      <c r="U3" s="1928"/>
      <c r="V3" s="1928"/>
      <c r="W3" s="1928"/>
      <c r="X3" s="1928"/>
      <c r="Y3" s="1928"/>
      <c r="Z3" s="1928"/>
      <c r="AA3" s="1928"/>
      <c r="AB3" s="1928"/>
    </row>
    <row r="4" spans="1:28" ht="13.5" thickBot="1">
      <c r="A4" s="1248" t="s">
        <v>2915</v>
      </c>
      <c r="B4" s="2593" t="s">
        <v>3057</v>
      </c>
      <c r="C4" s="2594">
        <f ca="1">SUMIF(注册房地产估价师,B4,估价师及机构信息!B3:B24)</f>
        <v>1120050019</v>
      </c>
      <c r="D4" s="2593" t="s">
        <v>3058</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5"/>
      <c r="K4" s="2596" t="str">
        <f ca="1">CONCATENATE(B4,"（注册号：",C4,")、",D4,"（注册号：",E4,")")</f>
        <v>王鹏（注册号：1120050019)、崔锴（注册号：1120100036)</v>
      </c>
      <c r="L4" s="2587"/>
      <c r="M4" s="2587"/>
      <c r="N4" s="2588"/>
      <c r="O4" s="1759"/>
      <c r="P4" s="2588"/>
      <c r="Q4" s="2588"/>
      <c r="R4" s="2588"/>
      <c r="S4" s="1865"/>
      <c r="T4" s="1928"/>
      <c r="U4" s="1928"/>
      <c r="V4" s="1928"/>
      <c r="W4" s="1928"/>
      <c r="X4" s="1928"/>
      <c r="Y4" s="1928"/>
      <c r="Z4" s="1928"/>
      <c r="AA4" s="1928"/>
      <c r="AB4" s="1928"/>
    </row>
    <row r="5" spans="1:28" ht="13.5" thickTop="1">
      <c r="A5" s="2597" t="s">
        <v>2916</v>
      </c>
      <c r="B5" s="2598"/>
      <c r="C5" s="2599"/>
      <c r="D5" s="2600"/>
      <c r="E5" s="2881"/>
      <c r="F5" s="2881"/>
      <c r="G5" s="2881"/>
      <c r="H5" s="2881"/>
      <c r="I5" s="2881"/>
      <c r="J5" s="2655"/>
      <c r="K5" s="2596" t="str">
        <f>IF(F4="——","",IF(H4="——",F4&amp;"（注册号："&amp;G4&amp;")",CONCATENATE(F4,"（注册号：",G4,")、",H4,"（注册号：",I4,")")))</f>
        <v>（注册号：0)、（注册号：0)</v>
      </c>
      <c r="L5" s="2587"/>
      <c r="M5" s="2587"/>
      <c r="N5" s="2588"/>
      <c r="O5" s="1759"/>
      <c r="P5" s="2588"/>
      <c r="Q5" s="2588"/>
      <c r="R5" s="2588"/>
      <c r="S5" s="1928"/>
      <c r="T5" s="1928"/>
      <c r="U5" s="1928"/>
      <c r="V5" s="1928"/>
      <c r="W5" s="1928"/>
      <c r="X5" s="1928"/>
      <c r="Y5" s="1928"/>
      <c r="Z5" s="1928"/>
      <c r="AA5" s="1928"/>
      <c r="AB5" s="1928"/>
    </row>
    <row r="6" spans="1:28">
      <c r="A6" s="2601" t="s">
        <v>2917</v>
      </c>
      <c r="B6" s="3054" t="s">
        <v>3068</v>
      </c>
      <c r="C6" s="2602"/>
      <c r="D6" s="2603"/>
      <c r="E6" s="2879"/>
      <c r="F6" s="2881"/>
      <c r="G6" s="2881"/>
      <c r="H6" s="2881"/>
      <c r="I6" s="2881"/>
      <c r="J6" s="2655"/>
      <c r="K6" s="2831" t="str">
        <f>IF(COUNTIF(B6,"*上海银行*"),"上海银行","")</f>
        <v/>
      </c>
      <c r="L6" s="2829"/>
      <c r="M6" s="2829"/>
      <c r="N6" s="2655"/>
      <c r="O6" s="2666"/>
      <c r="P6" s="2655"/>
      <c r="Q6" s="2655"/>
      <c r="R6" s="2655"/>
    </row>
    <row r="7" spans="1:28">
      <c r="A7" s="2601" t="s">
        <v>2918</v>
      </c>
      <c r="B7" s="3054" t="s">
        <v>3059</v>
      </c>
      <c r="C7" s="2602"/>
      <c r="D7" s="2603"/>
      <c r="E7" s="2879"/>
      <c r="F7" s="2881"/>
      <c r="G7" s="2881"/>
      <c r="H7" s="2881"/>
      <c r="I7" s="2881"/>
      <c r="J7" s="2655"/>
      <c r="K7" s="2832"/>
      <c r="L7" s="2829"/>
      <c r="M7" s="2829"/>
      <c r="N7" s="2655"/>
      <c r="O7" s="2666"/>
      <c r="P7" s="2655"/>
      <c r="Q7" s="2655"/>
      <c r="R7" s="2655"/>
    </row>
    <row r="8" spans="1:28">
      <c r="A8" s="2604" t="s">
        <v>2919</v>
      </c>
      <c r="B8" s="2605" t="s">
        <v>3060</v>
      </c>
      <c r="C8" s="2606"/>
      <c r="D8" s="3214" t="s">
        <v>2920</v>
      </c>
      <c r="E8" s="2607" t="s">
        <v>3061</v>
      </c>
      <c r="F8" s="2608"/>
      <c r="G8" s="2880"/>
      <c r="H8" s="2880"/>
      <c r="I8" s="2880"/>
      <c r="J8" s="2655"/>
      <c r="K8" s="2830"/>
      <c r="L8" s="2829"/>
      <c r="M8" s="2829"/>
      <c r="N8" s="2655"/>
      <c r="O8" s="2666"/>
      <c r="P8" s="2655"/>
      <c r="Q8" s="2655"/>
      <c r="R8" s="2655"/>
    </row>
    <row r="9" spans="1:28" ht="13.5" thickBot="1">
      <c r="A9" s="2609" t="s">
        <v>2921</v>
      </c>
      <c r="B9" s="2610" t="s">
        <v>3061</v>
      </c>
      <c r="C9" s="2611"/>
      <c r="D9" s="3215"/>
      <c r="E9" s="2610"/>
      <c r="F9" s="2612"/>
      <c r="G9" s="2882"/>
      <c r="H9" s="2882"/>
      <c r="I9" s="2882"/>
      <c r="J9" s="2655"/>
      <c r="K9" s="2832"/>
      <c r="L9" s="2829"/>
      <c r="M9" s="2829"/>
      <c r="N9" s="2655"/>
      <c r="O9" s="2666"/>
      <c r="P9" s="2655"/>
      <c r="Q9" s="2655"/>
      <c r="R9" s="2655"/>
    </row>
    <row r="10" spans="1:28" ht="13.5" thickTop="1">
      <c r="A10" s="2613" t="s">
        <v>2922</v>
      </c>
      <c r="B10" s="2614" t="s">
        <v>3062</v>
      </c>
      <c r="C10" s="3055" t="s">
        <v>3064</v>
      </c>
      <c r="D10" s="2600"/>
      <c r="E10" s="2615" t="s">
        <v>2923</v>
      </c>
      <c r="F10" s="3056" t="s">
        <v>3066</v>
      </c>
      <c r="G10" s="2883"/>
      <c r="H10" s="2884"/>
      <c r="I10" s="2885"/>
      <c r="J10" s="2655"/>
      <c r="K10" s="2832"/>
      <c r="L10" s="2829"/>
      <c r="M10" s="2829"/>
      <c r="N10" s="2655"/>
      <c r="O10" s="2666"/>
      <c r="P10" s="2655"/>
      <c r="Q10" s="2655"/>
      <c r="R10" s="2655"/>
    </row>
    <row r="11" spans="1:28">
      <c r="A11" s="2616" t="s">
        <v>2924</v>
      </c>
      <c r="B11" s="2617" t="s">
        <v>3063</v>
      </c>
      <c r="C11" s="3054" t="s">
        <v>3059</v>
      </c>
      <c r="D11" s="2618"/>
      <c r="E11" s="2588"/>
      <c r="F11" s="2588"/>
      <c r="G11" s="2588"/>
      <c r="H11" s="2588"/>
      <c r="I11" s="2588"/>
      <c r="J11" s="2655"/>
      <c r="K11" s="2832"/>
      <c r="L11" s="2829"/>
      <c r="M11" s="2829"/>
      <c r="N11" s="2655"/>
      <c r="O11" s="2666"/>
      <c r="P11" s="2655"/>
      <c r="Q11" s="2655"/>
      <c r="R11" s="2655"/>
    </row>
    <row r="12" spans="1:28">
      <c r="A12" s="2619" t="s">
        <v>2925</v>
      </c>
      <c r="B12" s="2617" t="s">
        <v>3067</v>
      </c>
      <c r="C12" s="328" t="s">
        <v>2926</v>
      </c>
      <c r="D12" s="2620" t="s">
        <v>2927</v>
      </c>
      <c r="E12" s="2620" t="s">
        <v>2928</v>
      </c>
      <c r="F12" s="2620" t="s">
        <v>2929</v>
      </c>
      <c r="G12" s="2620" t="s">
        <v>2930</v>
      </c>
      <c r="H12" s="2620" t="s">
        <v>2931</v>
      </c>
      <c r="I12" s="2620" t="s">
        <v>2932</v>
      </c>
      <c r="J12" s="2655"/>
      <c r="K12" s="2832"/>
      <c r="L12" s="2829"/>
      <c r="M12" s="2829"/>
      <c r="N12" s="2655"/>
      <c r="O12" s="2666"/>
      <c r="P12" s="2655"/>
      <c r="Q12" s="2655"/>
      <c r="R12" s="2655"/>
    </row>
    <row r="13" spans="1:28">
      <c r="A13" s="1239"/>
      <c r="B13" s="2621"/>
      <c r="C13" s="2622" t="s">
        <v>2933</v>
      </c>
      <c r="D13" s="963">
        <v>69259</v>
      </c>
      <c r="E13" s="963">
        <v>58301</v>
      </c>
      <c r="F13" s="963">
        <v>61954</v>
      </c>
      <c r="G13" s="963">
        <v>61954</v>
      </c>
      <c r="H13" s="963"/>
      <c r="I13" s="963"/>
      <c r="J13" s="2655"/>
      <c r="K13" s="2832"/>
      <c r="L13" s="2829"/>
      <c r="M13" s="2829"/>
      <c r="N13" s="2655"/>
      <c r="O13" s="2666"/>
      <c r="P13" s="2655"/>
      <c r="Q13" s="2655"/>
      <c r="R13" s="2655"/>
    </row>
    <row r="14" spans="1:28">
      <c r="A14" s="1239"/>
      <c r="B14" s="2621"/>
      <c r="C14" s="2622" t="s">
        <v>2934</v>
      </c>
      <c r="D14" s="2623">
        <v>70</v>
      </c>
      <c r="E14" s="2623">
        <v>40</v>
      </c>
      <c r="F14" s="2623">
        <v>50</v>
      </c>
      <c r="G14" s="2623">
        <v>50</v>
      </c>
      <c r="H14" s="2623"/>
      <c r="I14" s="2623"/>
      <c r="J14" s="2655"/>
      <c r="K14" s="2833"/>
      <c r="L14" s="2829"/>
      <c r="M14" s="2829"/>
      <c r="N14" s="2655"/>
      <c r="O14" s="2666"/>
      <c r="P14" s="2655"/>
      <c r="Q14" s="2655"/>
      <c r="R14" s="2655"/>
    </row>
    <row r="15" spans="1:28">
      <c r="A15" s="325"/>
      <c r="B15" s="2624"/>
      <c r="C15" s="2625" t="s">
        <v>2935</v>
      </c>
      <c r="D15" s="2626">
        <f>IF(B12="出让",IF(D13="","",ROUNDDOWN(MIN((D13-$D$3)/365,D14),2)),D14)</f>
        <v>68.489999999999995</v>
      </c>
      <c r="E15" s="2626">
        <f>IF(B12="出让",IF(E13="","",ROUNDDOWN(MIN((E13-$D$3)/365,E14),2)),E14)</f>
        <v>38.47</v>
      </c>
      <c r="F15" s="2626">
        <f>IF(B12="出让",IF(F13="","",ROUNDDOWN(MIN((F13-$D$3)/365,F14),2)),F14)</f>
        <v>48.47</v>
      </c>
      <c r="G15" s="2626">
        <f>IF(B12="出让",IF(G13="","",ROUNDDOWN(MIN((G13-$D$3)/365,G14),2)),G14)</f>
        <v>48.47</v>
      </c>
      <c r="H15" s="2626" t="str">
        <f>IF(B12="出让",IF(H13="","",ROUNDDOWN(MIN((H13-$D$3)/365,H14),2)),H14)</f>
        <v/>
      </c>
      <c r="I15" s="2626" t="str">
        <f>IF(B12="出让",IF(I13="","",ROUNDDOWN(MIN((I13-$D$3)/365,I14),2)),I14)</f>
        <v/>
      </c>
      <c r="J15" s="2655"/>
      <c r="K15" s="2834"/>
      <c r="L15" s="2667"/>
      <c r="M15" s="2667"/>
      <c r="N15" s="2725"/>
      <c r="O15" s="2667"/>
      <c r="P15" s="2725"/>
      <c r="Q15" s="2655"/>
      <c r="R15" s="2655"/>
    </row>
    <row r="16" spans="1:28">
      <c r="A16" s="2615" t="s">
        <v>2936</v>
      </c>
      <c r="B16" s="3221"/>
      <c r="C16" s="3222"/>
      <c r="D16" s="3223"/>
      <c r="E16" s="2629" t="s">
        <v>2937</v>
      </c>
      <c r="F16" s="3224"/>
      <c r="G16" s="3225"/>
      <c r="H16" s="3225"/>
      <c r="I16" s="3226"/>
      <c r="J16" s="2655"/>
      <c r="K16" s="2834"/>
      <c r="L16" s="2667"/>
      <c r="M16" s="2667"/>
      <c r="N16" s="2725"/>
      <c r="O16" s="2667"/>
      <c r="P16" s="2725"/>
      <c r="Q16" s="2655"/>
      <c r="R16" s="2655"/>
    </row>
    <row r="17" spans="1:28">
      <c r="A17" s="318" t="s">
        <v>2938</v>
      </c>
      <c r="B17" s="307" t="s">
        <v>2939</v>
      </c>
      <c r="C17" s="11">
        <f>'数据-汇总表'!E3</f>
        <v>54761.34</v>
      </c>
      <c r="D17" s="2539" t="s">
        <v>2940</v>
      </c>
      <c r="E17" s="3227" t="s">
        <v>3070</v>
      </c>
      <c r="F17" s="3228"/>
      <c r="G17" s="3228"/>
      <c r="H17" s="3228"/>
      <c r="I17" s="3229"/>
      <c r="J17" s="2655"/>
      <c r="K17" s="2835"/>
      <c r="L17" s="2667"/>
      <c r="M17" s="2667"/>
      <c r="N17" s="2725"/>
      <c r="O17" s="2667"/>
      <c r="P17" s="2725"/>
      <c r="Q17" s="2655"/>
      <c r="R17" s="2655"/>
      <c r="S17" s="2655"/>
      <c r="T17" s="2655"/>
      <c r="U17" s="2655"/>
      <c r="V17" s="2655"/>
    </row>
    <row r="18" spans="1:28" ht="24.75" thickBot="1">
      <c r="A18" s="2630" t="s">
        <v>2941</v>
      </c>
      <c r="B18" s="1248" t="s">
        <v>2942</v>
      </c>
      <c r="C18" s="2631">
        <f>'数据-汇总表'!D3</f>
        <v>30643.66</v>
      </c>
      <c r="D18" s="1250" t="s">
        <v>2943</v>
      </c>
      <c r="E18" s="3227" t="s">
        <v>3070</v>
      </c>
      <c r="F18" s="3228"/>
      <c r="G18" s="3228"/>
      <c r="H18" s="3228"/>
      <c r="I18" s="3229"/>
      <c r="J18" s="2655"/>
      <c r="K18" s="2835"/>
      <c r="L18" s="2667"/>
      <c r="M18" s="2667"/>
      <c r="N18" s="2725"/>
      <c r="O18" s="2667"/>
      <c r="P18" s="2725"/>
      <c r="Q18" s="2655"/>
      <c r="R18" s="2655"/>
      <c r="S18" s="2655"/>
      <c r="T18" s="2655"/>
      <c r="U18" s="2655"/>
      <c r="V18" s="2655"/>
    </row>
    <row r="19" spans="1:28" ht="37.5" thickTop="1" thickBot="1">
      <c r="A19" s="332" t="s">
        <v>1741</v>
      </c>
      <c r="B19" s="312" t="s">
        <v>2944</v>
      </c>
      <c r="C19" s="1747" t="s">
        <v>3069</v>
      </c>
      <c r="D19" s="1748" t="s">
        <v>2945</v>
      </c>
      <c r="E19" s="1749" t="s">
        <v>3069</v>
      </c>
      <c r="F19" s="1750" t="str">
        <f>IF(AND(C19="是",E19="否"),"是否提供他项权证或相关说明","")</f>
        <v/>
      </c>
      <c r="G19" s="1751"/>
      <c r="H19" s="2881"/>
      <c r="I19" s="2881"/>
      <c r="J19" s="2655"/>
      <c r="K19" s="2832"/>
      <c r="L19" s="2829"/>
      <c r="M19" s="2829"/>
      <c r="N19" s="2725"/>
      <c r="O19" s="2667"/>
      <c r="P19" s="2725"/>
      <c r="Q19" s="2655"/>
      <c r="R19" s="2655"/>
      <c r="S19" s="2655"/>
      <c r="T19" s="2655"/>
      <c r="U19" s="2655"/>
      <c r="V19" s="2655"/>
    </row>
    <row r="20" spans="1:28">
      <c r="A20" s="2849" t="s">
        <v>2946</v>
      </c>
      <c r="B20" s="3217" t="s">
        <v>2947</v>
      </c>
      <c r="C20" s="3218"/>
      <c r="D20" s="3219" t="s">
        <v>2948</v>
      </c>
      <c r="E20" s="3220"/>
      <c r="F20" s="2864" t="s">
        <v>1742</v>
      </c>
      <c r="G20" s="2881"/>
      <c r="H20" s="2881"/>
      <c r="I20" s="2881"/>
      <c r="J20" s="2655"/>
      <c r="K20" s="3216"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8"/>
      <c r="O20" s="2627"/>
      <c r="P20" s="2628"/>
      <c r="Q20" s="2588"/>
      <c r="R20" s="2588"/>
      <c r="S20" s="2588"/>
      <c r="T20" s="2588"/>
      <c r="U20" s="2588"/>
      <c r="V20" s="2588"/>
      <c r="W20" s="1928"/>
      <c r="X20" s="1928"/>
      <c r="Y20" s="1928"/>
      <c r="Z20" s="1928"/>
      <c r="AA20" s="1928"/>
      <c r="AB20" s="1928"/>
    </row>
    <row r="21" spans="1:28" ht="24.75" thickBot="1">
      <c r="A21" s="2849"/>
      <c r="B21" s="2850" t="s">
        <v>2950</v>
      </c>
      <c r="C21" s="2851" t="s">
        <v>1743</v>
      </c>
      <c r="D21" s="3057" t="s">
        <v>3079</v>
      </c>
      <c r="E21" s="2852" t="s">
        <v>1743</v>
      </c>
      <c r="F21" s="2865"/>
      <c r="G21" s="2881"/>
      <c r="H21" s="2881"/>
      <c r="I21" s="2881"/>
      <c r="J21" s="2655"/>
      <c r="K21" s="321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上述抵押权设定日期为2019年8月30日，权利人为浙商金汇信托股份有限公司，权利范围为92863㎡土地面积，权利价值为780000000。</v>
      </c>
      <c r="M21" s="2587"/>
      <c r="N21" s="2628"/>
      <c r="O21" s="2627"/>
      <c r="P21" s="2628"/>
      <c r="Q21" s="2588"/>
      <c r="R21" s="2588"/>
      <c r="S21" s="2588"/>
      <c r="T21" s="2588"/>
      <c r="U21" s="2588"/>
      <c r="V21" s="2588"/>
      <c r="W21" s="1928"/>
      <c r="X21" s="1928"/>
      <c r="Y21" s="1928"/>
      <c r="Z21" s="1928"/>
      <c r="AA21" s="1928"/>
      <c r="AB21" s="1928"/>
    </row>
    <row r="22" spans="1:28" ht="24.75" thickBot="1">
      <c r="A22" s="2849"/>
      <c r="B22" s="2853" t="s">
        <v>2951</v>
      </c>
      <c r="C22" s="2851" t="s">
        <v>1744</v>
      </c>
      <c r="D22" s="2880"/>
      <c r="E22" s="2880"/>
      <c r="F22" s="2880"/>
      <c r="G22" s="2881"/>
      <c r="H22" s="2881"/>
      <c r="I22" s="2881"/>
      <c r="J22" s="2655"/>
      <c r="K22" s="321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8"/>
      <c r="O22" s="2627"/>
      <c r="P22" s="2628"/>
      <c r="Q22" s="2588"/>
      <c r="R22" s="2588"/>
      <c r="S22" s="2588"/>
      <c r="T22" s="2588"/>
      <c r="U22" s="2588"/>
      <c r="V22" s="2588"/>
      <c r="W22" s="1928"/>
      <c r="X22" s="1928"/>
      <c r="Y22" s="1928"/>
      <c r="Z22" s="1928"/>
      <c r="AA22" s="1928"/>
      <c r="AB22" s="1928"/>
    </row>
    <row r="23" spans="1:28">
      <c r="A23" s="2854" t="s">
        <v>2952</v>
      </c>
      <c r="B23" s="2718" t="s">
        <v>2953</v>
      </c>
      <c r="C23" s="2855">
        <v>43707</v>
      </c>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3054" t="s">
        <v>3068</v>
      </c>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ht="24.75">
      <c r="A25" s="2854"/>
      <c r="B25" s="2718" t="s">
        <v>1746</v>
      </c>
      <c r="C25" s="2858" t="s">
        <v>3078</v>
      </c>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v>780000000</v>
      </c>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204" t="s">
        <v>2954</v>
      </c>
      <c r="B27" s="325" t="s">
        <v>2955</v>
      </c>
      <c r="C27" s="2632" t="s">
        <v>3076</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204"/>
      <c r="B28" s="307" t="s">
        <v>2956</v>
      </c>
      <c r="C28" s="2634" t="s">
        <v>3077</v>
      </c>
      <c r="D28" s="2635"/>
      <c r="E28" s="2881"/>
      <c r="F28" s="2881"/>
      <c r="G28" s="2881"/>
      <c r="H28" s="2881"/>
      <c r="I28" s="2881"/>
      <c r="J28" s="2655"/>
      <c r="K28" s="2832"/>
      <c r="L28" s="2829"/>
      <c r="M28" s="2829"/>
      <c r="N28" s="2655"/>
      <c r="O28" s="2666"/>
      <c r="P28" s="2655"/>
      <c r="Q28" s="2655"/>
      <c r="R28" s="2655"/>
      <c r="S28" s="2655"/>
      <c r="T28" s="2655"/>
      <c r="U28" s="2655"/>
      <c r="V28" s="2655"/>
    </row>
    <row r="29" spans="1:28">
      <c r="A29" s="3204"/>
      <c r="B29" s="307"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205"/>
      <c r="B30" s="307" t="s">
        <v>2958</v>
      </c>
      <c r="C30" s="3206"/>
      <c r="D30" s="3207"/>
      <c r="E30" s="2881"/>
      <c r="F30" s="2881"/>
      <c r="G30" s="2881"/>
      <c r="H30" s="2881"/>
      <c r="I30" s="2881"/>
      <c r="J30" s="2655"/>
      <c r="K30" s="2832"/>
      <c r="L30" s="2829"/>
      <c r="M30" s="2829"/>
      <c r="N30" s="2655"/>
      <c r="O30" s="2666"/>
      <c r="P30" s="2655"/>
      <c r="Q30" s="2655"/>
      <c r="R30" s="2655"/>
      <c r="S30" s="2655"/>
      <c r="T30" s="2655"/>
      <c r="U30" s="2655"/>
      <c r="V30" s="2655"/>
    </row>
    <row r="31" spans="1:28">
      <c r="A31" s="3208" t="s">
        <v>2959</v>
      </c>
      <c r="B31" s="2638"/>
      <c r="C31" s="2540" t="str">
        <f>IF(B31="现房","成新及维护状况正常否",IF(B31="在建","工程状态是否正常",IF(B31="土地","是否闲置","-")))</f>
        <v>-</v>
      </c>
      <c r="D31" s="1556"/>
      <c r="E31" s="2639"/>
      <c r="F31" s="2881"/>
      <c r="G31" s="2881"/>
      <c r="H31" s="2881"/>
      <c r="I31" s="2881"/>
      <c r="J31" s="2655"/>
      <c r="K31" s="2831"/>
      <c r="L31" s="2829"/>
      <c r="M31" s="2829"/>
      <c r="N31" s="2655"/>
      <c r="O31" s="2666"/>
      <c r="P31" s="2655"/>
      <c r="Q31" s="2655"/>
      <c r="R31" s="2655"/>
      <c r="S31" s="2655"/>
      <c r="T31" s="2655"/>
      <c r="U31" s="2655"/>
      <c r="V31" s="2655"/>
    </row>
    <row r="32" spans="1:28">
      <c r="A32" s="3209"/>
      <c r="B32" s="2638"/>
      <c r="C32" s="2540" t="str">
        <f>IF(B32="现房","成新及维护状况是否正常",IF(B32="在建","工程状态是否正常",IF(B32="土地","是否闲置","-")))</f>
        <v>-</v>
      </c>
      <c r="D32" s="1556"/>
      <c r="E32" s="2639"/>
      <c r="F32" s="2881"/>
      <c r="G32" s="2881"/>
      <c r="H32" s="2881"/>
      <c r="I32" s="2881"/>
      <c r="J32" s="2655"/>
      <c r="K32" s="2832"/>
      <c r="L32" s="2829"/>
      <c r="M32" s="2829"/>
      <c r="N32" s="2655"/>
      <c r="O32" s="2666"/>
      <c r="P32" s="2655"/>
      <c r="Q32" s="2655"/>
      <c r="R32" s="2655"/>
      <c r="S32" s="2655"/>
      <c r="T32" s="2655"/>
      <c r="U32" s="2655"/>
      <c r="V32" s="2655"/>
    </row>
    <row r="33" spans="1:30">
      <c r="A33" s="3209"/>
      <c r="B33" s="2641"/>
      <c r="C33" s="1773" t="str">
        <f>IF(B33="现房","成新及维护状况是否正常",IF(B33="在建","工程状态是否正常",IF(B33="土地","是否闲置","-")))</f>
        <v>-</v>
      </c>
      <c r="D33" s="1548"/>
      <c r="E33" s="2642"/>
      <c r="F33" s="2881"/>
      <c r="G33" s="2881"/>
      <c r="H33" s="2881"/>
      <c r="I33" s="2881"/>
      <c r="J33" s="2655"/>
      <c r="K33" s="2832"/>
      <c r="L33" s="2829"/>
      <c r="M33" s="2829"/>
      <c r="N33" s="2655"/>
      <c r="O33" s="2666"/>
      <c r="P33" s="2655"/>
      <c r="Q33" s="2655"/>
      <c r="R33" s="2655"/>
      <c r="S33" s="2655"/>
      <c r="T33" s="2655"/>
      <c r="U33" s="2655"/>
      <c r="V33" s="2655"/>
    </row>
    <row r="34" spans="1:30">
      <c r="A34" s="307" t="s">
        <v>2960</v>
      </c>
      <c r="B34" s="2208" t="s">
        <v>3071</v>
      </c>
      <c r="C34" s="2208" t="s">
        <v>3072</v>
      </c>
      <c r="D34" s="2208" t="s">
        <v>3073</v>
      </c>
      <c r="E34" s="2208" t="s">
        <v>3074</v>
      </c>
      <c r="F34" s="2208" t="s">
        <v>3075</v>
      </c>
      <c r="G34" s="2208"/>
      <c r="H34" s="2208"/>
      <c r="I34" s="2881"/>
      <c r="J34" s="2655"/>
      <c r="K34" s="2643">
        <f>COUNTIF(B34:H34,"——")</f>
        <v>0</v>
      </c>
      <c r="L34" s="328" t="s">
        <v>2961</v>
      </c>
      <c r="M34" s="328" t="s">
        <v>2962</v>
      </c>
      <c r="N34" s="328" t="s">
        <v>2963</v>
      </c>
      <c r="O34" s="328" t="s">
        <v>2964</v>
      </c>
      <c r="P34" s="328" t="s">
        <v>2965</v>
      </c>
      <c r="Q34" s="328" t="s">
        <v>2966</v>
      </c>
      <c r="R34" s="328" t="s">
        <v>2967</v>
      </c>
      <c r="S34" s="3203" t="s">
        <v>2968</v>
      </c>
      <c r="T34" s="2644" t="str">
        <f>NUMBERSTRING(7-K34,1)&amp;"通"</f>
        <v>七通</v>
      </c>
      <c r="U34" s="2655"/>
      <c r="V34" s="2655"/>
    </row>
    <row r="35" spans="1:30">
      <c r="A35" s="2645"/>
      <c r="B35" s="3210" t="s">
        <v>2969</v>
      </c>
      <c r="C35" s="3210"/>
      <c r="D35" s="3210"/>
      <c r="E35" s="3210"/>
      <c r="F35" s="672" t="str">
        <f>C10</f>
        <v>天津</v>
      </c>
      <c r="G35" s="2881"/>
      <c r="H35" s="2881"/>
      <c r="I35" s="2881"/>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03"/>
      <c r="T35" s="334" t="str">
        <f>IF(T34="一通",L35,IF(T34="二通",M35,IF(T34="三通",N35,IF(T34="四通",O35,IF(T34="五通",P35,IF(T34="六通",Q35,R35))))))</f>
        <v>通路、通电、通讯、通上水、通下水、、</v>
      </c>
      <c r="U35" s="2655"/>
      <c r="V35" s="2655"/>
    </row>
    <row r="36" spans="1:30">
      <c r="A36" s="2646"/>
      <c r="B36" s="672" t="s">
        <v>2928</v>
      </c>
      <c r="C36" s="672" t="s">
        <v>2929</v>
      </c>
      <c r="D36" s="672" t="s">
        <v>2927</v>
      </c>
      <c r="E36" s="672" t="s">
        <v>2932</v>
      </c>
      <c r="F36" s="2886"/>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c r="F37" s="2886"/>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c r="F38" s="2887"/>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8"/>
      <c r="B40" s="2588"/>
      <c r="C40" s="2588"/>
      <c r="D40" s="2588"/>
      <c r="E40" s="2588"/>
      <c r="F40" s="2588"/>
      <c r="G40" s="2588"/>
      <c r="H40" s="2588"/>
      <c r="I40" s="1761"/>
      <c r="J40" s="2725"/>
      <c r="K40" s="2831"/>
      <c r="L40" s="2667"/>
      <c r="M40" s="2667"/>
      <c r="N40" s="2725"/>
      <c r="O40" s="2667"/>
      <c r="P40" s="2655"/>
      <c r="Q40" s="2655"/>
      <c r="R40" s="2655"/>
      <c r="S40" s="2655"/>
      <c r="T40" s="2655"/>
      <c r="U40" s="2655"/>
      <c r="V40" s="2655"/>
    </row>
    <row r="41" spans="1:30">
      <c r="A41" s="2652" t="s">
        <v>2973</v>
      </c>
      <c r="B41" s="1940"/>
      <c r="C41" s="1556"/>
      <c r="D41" s="2588"/>
      <c r="E41" s="2588"/>
      <c r="F41" s="2588"/>
      <c r="G41" s="2588"/>
      <c r="H41" s="2588"/>
      <c r="I41" s="1759"/>
      <c r="J41" s="2655"/>
      <c r="K41" s="2832"/>
      <c r="L41" s="2829"/>
      <c r="M41" s="2829"/>
      <c r="N41" s="2655"/>
      <c r="O41" s="2666"/>
      <c r="P41" s="2655"/>
      <c r="Q41" s="2655"/>
      <c r="R41" s="2655"/>
      <c r="S41" s="2655"/>
      <c r="T41" s="2655"/>
      <c r="U41" s="2655"/>
      <c r="V41" s="2655"/>
    </row>
    <row r="42" spans="1:30" ht="25.5">
      <c r="A42" s="328"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6" customFormat="1">
      <c r="A43" s="1753"/>
      <c r="B43" s="1180"/>
      <c r="C43" s="1180"/>
      <c r="D43" s="1180"/>
      <c r="E43" s="1180"/>
      <c r="F43" s="1180"/>
      <c r="G43" s="1180"/>
      <c r="H43" s="1180"/>
      <c r="I43" s="1180"/>
      <c r="J43" s="2653"/>
      <c r="K43" s="2654"/>
      <c r="L43" s="2654"/>
      <c r="M43" s="1180"/>
      <c r="N43" s="1180"/>
      <c r="O43" s="1180"/>
      <c r="P43" s="1180"/>
      <c r="Q43" s="1180"/>
      <c r="R43" s="1180"/>
      <c r="S43" s="2655"/>
      <c r="T43" s="2655"/>
      <c r="U43" s="2655"/>
      <c r="V43" s="2655"/>
    </row>
    <row r="44" spans="1:30" s="1926" customFormat="1">
      <c r="A44" s="1753"/>
      <c r="B44" s="1753"/>
      <c r="C44" s="1180"/>
      <c r="D44" s="1180"/>
      <c r="E44" s="1180"/>
      <c r="F44" s="1180"/>
      <c r="G44" s="1180"/>
      <c r="H44" s="1180"/>
      <c r="I44" s="1180"/>
      <c r="J44" s="2653"/>
      <c r="K44" s="2654"/>
      <c r="L44" s="2654"/>
      <c r="M44" s="1180"/>
      <c r="N44" s="1180"/>
      <c r="O44" s="1180"/>
      <c r="P44" s="1180"/>
      <c r="Q44" s="1180"/>
      <c r="R44" s="1180"/>
      <c r="S44" s="2655"/>
      <c r="T44" s="2655"/>
      <c r="U44" s="2655"/>
      <c r="V44" s="2655"/>
    </row>
    <row r="45" spans="1:30" s="1926" customFormat="1">
      <c r="A45" s="1753"/>
      <c r="B45" s="1753"/>
      <c r="C45" s="1180"/>
      <c r="D45" s="1180"/>
      <c r="E45" s="1180"/>
      <c r="F45" s="1180"/>
      <c r="G45" s="1180"/>
      <c r="H45" s="1180"/>
      <c r="I45" s="1180"/>
      <c r="J45" s="2653"/>
      <c r="K45" s="2654"/>
      <c r="L45" s="2654"/>
      <c r="M45" s="1180"/>
      <c r="N45" s="1180"/>
      <c r="O45" s="1180"/>
      <c r="P45" s="1180"/>
      <c r="Q45" s="1180"/>
      <c r="R45" s="1180"/>
      <c r="S45" s="2655"/>
      <c r="T45" s="2655"/>
      <c r="U45" s="2655"/>
      <c r="V45" s="2655"/>
    </row>
    <row r="46" spans="1:30" s="1926" customFormat="1">
      <c r="A46" s="1753"/>
      <c r="B46" s="1753"/>
      <c r="C46" s="1180"/>
      <c r="D46" s="1180"/>
      <c r="E46" s="1180"/>
      <c r="F46" s="1180"/>
      <c r="G46" s="1180"/>
      <c r="H46" s="1180"/>
      <c r="I46" s="1180"/>
      <c r="J46" s="2653"/>
      <c r="K46" s="2654"/>
      <c r="L46" s="2654"/>
      <c r="M46" s="1180"/>
      <c r="N46" s="1180"/>
      <c r="O46" s="1180"/>
      <c r="P46" s="1180"/>
      <c r="Q46" s="1180"/>
      <c r="R46" s="1180"/>
      <c r="S46" s="2655"/>
      <c r="T46" s="2655"/>
      <c r="U46" s="2655"/>
      <c r="V46" s="2655"/>
    </row>
    <row r="47" spans="1:30" s="1926" customFormat="1">
      <c r="A47" s="1753"/>
      <c r="B47" s="1753"/>
      <c r="C47" s="1180"/>
      <c r="D47" s="1180"/>
      <c r="E47" s="1180"/>
      <c r="F47" s="1180"/>
      <c r="G47" s="1180"/>
      <c r="H47" s="1180"/>
      <c r="I47" s="1180"/>
      <c r="J47" s="2653"/>
      <c r="K47" s="2654"/>
      <c r="L47" s="2654"/>
      <c r="M47" s="1180"/>
      <c r="N47" s="1180"/>
      <c r="O47" s="1180"/>
      <c r="P47" s="1180"/>
      <c r="Q47" s="1180"/>
      <c r="R47" s="1180"/>
      <c r="S47" s="2655"/>
      <c r="T47" s="2655"/>
      <c r="U47" s="2655"/>
      <c r="V47" s="2655"/>
    </row>
    <row r="48" spans="1:30" s="1926" customFormat="1">
      <c r="A48" s="1753"/>
      <c r="B48" s="1753"/>
      <c r="C48" s="1180"/>
      <c r="D48" s="1180"/>
      <c r="E48" s="1180"/>
      <c r="F48" s="1180"/>
      <c r="G48" s="1180"/>
      <c r="H48" s="1180"/>
      <c r="I48" s="1180"/>
      <c r="J48" s="2653"/>
      <c r="K48" s="2654"/>
      <c r="L48" s="2654"/>
      <c r="M48" s="1180"/>
      <c r="N48" s="1180"/>
      <c r="O48" s="1180"/>
      <c r="P48" s="1180"/>
      <c r="Q48" s="1180"/>
      <c r="R48" s="1180"/>
      <c r="S48" s="2655"/>
      <c r="T48" s="2655"/>
      <c r="U48" s="2655"/>
      <c r="V48" s="2655"/>
    </row>
    <row r="49" spans="1:22" s="1926" customFormat="1">
      <c r="A49" s="1753"/>
      <c r="B49" s="1753"/>
      <c r="C49" s="1180"/>
      <c r="D49" s="1180"/>
      <c r="E49" s="1180"/>
      <c r="F49" s="1180"/>
      <c r="G49" s="1180"/>
      <c r="H49" s="1180"/>
      <c r="I49" s="1180"/>
      <c r="J49" s="2653"/>
      <c r="K49" s="2654"/>
      <c r="L49" s="2654"/>
      <c r="M49" s="1180"/>
      <c r="N49" s="1180"/>
      <c r="O49" s="1180"/>
      <c r="P49" s="1180"/>
      <c r="Q49" s="1180"/>
      <c r="R49" s="1180"/>
      <c r="S49" s="2655"/>
      <c r="T49" s="2655"/>
      <c r="U49" s="2655"/>
      <c r="V49" s="2655"/>
    </row>
    <row r="50" spans="1:22" s="1926" customFormat="1">
      <c r="A50" s="1753"/>
      <c r="B50" s="1753"/>
      <c r="C50" s="1180"/>
      <c r="D50" s="1180"/>
      <c r="E50" s="1180"/>
      <c r="F50" s="1180"/>
      <c r="G50" s="1180"/>
      <c r="H50" s="1180"/>
      <c r="I50" s="1180"/>
      <c r="J50" s="2653"/>
      <c r="K50" s="2654"/>
      <c r="L50" s="2654"/>
      <c r="M50" s="1180"/>
      <c r="N50" s="1180"/>
      <c r="O50" s="1180"/>
      <c r="P50" s="1180"/>
      <c r="Q50" s="1180"/>
      <c r="R50" s="1180"/>
      <c r="S50" s="2655"/>
      <c r="T50" s="2655"/>
      <c r="U50" s="2655"/>
      <c r="V50" s="2655"/>
    </row>
    <row r="51" spans="1:22" s="1926" customFormat="1">
      <c r="A51" s="1753"/>
      <c r="B51" s="1753"/>
      <c r="C51" s="1180"/>
      <c r="D51" s="1180"/>
      <c r="E51" s="1180"/>
      <c r="F51" s="1180"/>
      <c r="G51" s="1180"/>
      <c r="H51" s="1180"/>
      <c r="I51" s="1180"/>
      <c r="J51" s="2653"/>
      <c r="K51" s="2654"/>
      <c r="L51" s="2654"/>
      <c r="M51" s="1180"/>
      <c r="N51" s="1180"/>
      <c r="O51" s="1180"/>
      <c r="P51" s="1180"/>
      <c r="Q51" s="1180"/>
      <c r="R51" s="1180"/>
    </row>
    <row r="52" spans="1:22" s="1926" customFormat="1">
      <c r="A52" s="1753"/>
      <c r="B52" s="1753"/>
      <c r="C52" s="1753"/>
      <c r="D52" s="1753"/>
      <c r="E52" s="1753"/>
      <c r="F52" s="1180"/>
      <c r="G52" s="1753"/>
      <c r="H52" s="1753"/>
      <c r="I52" s="1753"/>
      <c r="J52" s="2656"/>
      <c r="K52" s="2654"/>
      <c r="L52" s="2654"/>
      <c r="M52" s="2654"/>
      <c r="N52" s="1753"/>
      <c r="O52" s="1753"/>
      <c r="P52" s="1753"/>
      <c r="Q52" s="1753"/>
      <c r="R52" s="1753"/>
    </row>
    <row r="53" spans="1:22" s="1926" customFormat="1">
      <c r="A53" s="1753"/>
      <c r="B53" s="1753"/>
      <c r="C53" s="1753"/>
      <c r="D53" s="1753"/>
      <c r="E53" s="1753"/>
      <c r="F53" s="1180"/>
      <c r="G53" s="1753"/>
      <c r="H53" s="1753"/>
      <c r="I53" s="1753"/>
      <c r="J53" s="2656"/>
      <c r="K53" s="2654"/>
      <c r="L53" s="2654"/>
      <c r="M53" s="2654"/>
      <c r="N53" s="1753"/>
      <c r="O53" s="1753"/>
      <c r="P53" s="1753"/>
      <c r="Q53" s="1753"/>
      <c r="R53" s="1753"/>
    </row>
    <row r="54" spans="1:22" s="1926" customFormat="1">
      <c r="A54" s="1753"/>
      <c r="B54" s="1753"/>
      <c r="C54" s="1753"/>
      <c r="D54" s="1753"/>
      <c r="E54" s="1753"/>
      <c r="F54" s="1180"/>
      <c r="G54" s="1753"/>
      <c r="H54" s="1753"/>
      <c r="I54" s="1753"/>
      <c r="J54" s="2656"/>
      <c r="K54" s="2654"/>
      <c r="L54" s="2654"/>
      <c r="M54" s="2654"/>
      <c r="N54" s="1753"/>
      <c r="O54" s="1753"/>
      <c r="P54" s="1753"/>
      <c r="Q54" s="1753"/>
      <c r="R54" s="1753"/>
    </row>
    <row r="55" spans="1:22" s="1926" customFormat="1">
      <c r="A55" s="1753"/>
      <c r="B55" s="1753"/>
      <c r="C55" s="1753"/>
      <c r="D55" s="1753"/>
      <c r="E55" s="1753"/>
      <c r="F55" s="1180"/>
      <c r="G55" s="1753"/>
      <c r="H55" s="1753"/>
      <c r="I55" s="1753"/>
      <c r="J55" s="2656"/>
      <c r="K55" s="2654"/>
      <c r="L55" s="2654"/>
      <c r="M55" s="2654"/>
      <c r="N55" s="1753"/>
      <c r="O55" s="1753"/>
      <c r="P55" s="1753"/>
      <c r="Q55" s="1753"/>
      <c r="R55" s="1753"/>
    </row>
    <row r="56" spans="1:22" s="1926" customFormat="1">
      <c r="A56" s="1753"/>
      <c r="B56" s="1753"/>
      <c r="C56" s="1753"/>
      <c r="D56" s="1753"/>
      <c r="E56" s="1753"/>
      <c r="F56" s="1180"/>
      <c r="G56" s="1753"/>
      <c r="H56" s="1753"/>
      <c r="I56" s="1753"/>
      <c r="J56" s="2656"/>
      <c r="K56" s="2654"/>
      <c r="L56" s="2654"/>
      <c r="M56" s="2654"/>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J29" sqref="J29:J3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bestFit="1" customWidth="1"/>
    <col min="31" max="31" width="9.75" style="1756" customWidth="1"/>
    <col min="32" max="37" width="9.5" style="1756" customWidth="1"/>
    <col min="38" max="45" width="9.5" style="1756" hidden="1" customWidth="1"/>
    <col min="46"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8"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92863</v>
      </c>
      <c r="B3" s="14">
        <f>IF(C3="否",G5-AT5,G5)</f>
        <v>165949.60000000003</v>
      </c>
      <c r="C3" s="1763" t="s">
        <v>3110</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30"/>
      <c r="C5" s="1530"/>
      <c r="D5" s="1532"/>
      <c r="E5" s="16" t="s">
        <v>1</v>
      </c>
      <c r="F5" s="16">
        <f>SUM(F13:F587)</f>
        <v>0</v>
      </c>
      <c r="G5" s="16">
        <f>SUM(G13:G587)</f>
        <v>180753.36000000004</v>
      </c>
      <c r="H5" s="16">
        <f t="shared" ref="H5:AT5" si="0">SUM(H13:H656)</f>
        <v>158900.13000000003</v>
      </c>
      <c r="I5" s="16">
        <f t="shared" si="0"/>
        <v>92686.830000000016</v>
      </c>
      <c r="J5" s="16">
        <f t="shared" si="0"/>
        <v>64925.489999999991</v>
      </c>
      <c r="K5" s="16">
        <f t="shared" si="0"/>
        <v>27000</v>
      </c>
      <c r="L5" s="16">
        <f t="shared" si="0"/>
        <v>0</v>
      </c>
      <c r="M5" s="16">
        <f t="shared" si="0"/>
        <v>39213.300000000003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7049.4699999999993</v>
      </c>
      <c r="AD5" s="16">
        <f t="shared" si="0"/>
        <v>7049.4699999999993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14803.76</v>
      </c>
      <c r="AU5" s="1529"/>
      <c r="AV5" s="15" t="s">
        <v>1756</v>
      </c>
      <c r="AW5" s="1530"/>
      <c r="AX5" s="1530"/>
      <c r="AY5" s="17" t="s">
        <v>3</v>
      </c>
      <c r="AZ5" s="18">
        <f t="shared" ref="AZ5:BT5" si="1">SUM(AZ13:AZ656)</f>
        <v>54761.34</v>
      </c>
      <c r="BA5" s="18">
        <f t="shared" si="1"/>
        <v>54761.34</v>
      </c>
      <c r="BB5" s="18">
        <f t="shared" si="1"/>
        <v>27761.34</v>
      </c>
      <c r="BC5" s="18">
        <f t="shared" si="1"/>
        <v>27000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92863</v>
      </c>
      <c r="F6" s="16" t="s">
        <v>1</v>
      </c>
      <c r="G6" s="16" t="s">
        <v>2</v>
      </c>
      <c r="H6" s="20">
        <f>SUMIF(I$12:AB$12,"总值",I6:AB6)</f>
        <v>88918.22</v>
      </c>
      <c r="I6" s="16">
        <f t="shared" ref="I6:AB6" si="2">ROUND($A$3*I5/$B$3,2)</f>
        <v>51866.21</v>
      </c>
      <c r="J6" s="16">
        <f t="shared" si="2"/>
        <v>36331.370000000003</v>
      </c>
      <c r="K6" s="16">
        <f t="shared" si="2"/>
        <v>15108.81</v>
      </c>
      <c r="L6" s="16">
        <f t="shared" si="2"/>
        <v>0</v>
      </c>
      <c r="M6" s="16">
        <f t="shared" si="2"/>
        <v>21943.200000000001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3944.78</v>
      </c>
      <c r="AD6" s="16">
        <f t="shared" ref="AD6:AS6" si="3">ROUND($A$3*AD5/$B$3,2)</f>
        <v>3944.78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30643.66</v>
      </c>
      <c r="AZ6" s="16" t="s">
        <v>3</v>
      </c>
      <c r="BA6" s="16">
        <f>ROUND($AY$6*BA5/$AZ$5,2)</f>
        <v>30643.66</v>
      </c>
      <c r="BB6" s="16">
        <f>ROUND($AY$6*BB5/$AZ$5,2)</f>
        <v>15534.85</v>
      </c>
      <c r="BC6" s="16">
        <f t="shared" ref="BC6:BH6" si="4">ROUND($AY$6*BC5/$AZ$5,2)</f>
        <v>15108.81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2"/>
      <c r="AU7" s="1774" t="s">
        <v>1765</v>
      </c>
      <c r="AV7" s="23" t="s">
        <v>1766</v>
      </c>
      <c r="AW7" s="1761" t="s">
        <v>1767</v>
      </c>
      <c r="AX7" s="23" t="s">
        <v>1760</v>
      </c>
      <c r="AY7" s="1530"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3"/>
      <c r="K8" s="1543"/>
      <c r="L8" s="1543"/>
      <c r="M8" s="1543"/>
      <c r="N8" s="1543"/>
      <c r="O8" s="1543"/>
      <c r="P8" s="1543"/>
      <c r="Q8" s="1543"/>
      <c r="R8" s="1543"/>
      <c r="S8" s="1543"/>
      <c r="T8" s="1543"/>
      <c r="U8" s="1543"/>
      <c r="V8" s="1781"/>
      <c r="W8" s="1543"/>
      <c r="X8" s="1543"/>
      <c r="Y8" s="1543"/>
      <c r="Z8" s="1543"/>
      <c r="AA8" s="1781"/>
      <c r="AB8" s="1782"/>
      <c r="AC8" s="916" t="s">
        <v>1771</v>
      </c>
      <c r="AD8" s="1783"/>
      <c r="AE8" s="1775"/>
      <c r="AF8" s="1543"/>
      <c r="AG8" s="1543"/>
      <c r="AH8" s="1543"/>
      <c r="AI8" s="1543"/>
      <c r="AJ8" s="1543"/>
      <c r="AK8" s="1543"/>
      <c r="AL8" s="1543"/>
      <c r="AM8" s="1543"/>
      <c r="AN8" s="1543"/>
      <c r="AO8" s="1543"/>
      <c r="AP8" s="1543"/>
      <c r="AQ8" s="1543"/>
      <c r="AR8" s="1543"/>
      <c r="AS8" s="1543"/>
      <c r="AT8" s="1200" t="s">
        <v>1772</v>
      </c>
      <c r="AU8" s="1777" t="s">
        <v>1773</v>
      </c>
      <c r="AV8" s="1200"/>
      <c r="AW8" s="1760"/>
      <c r="AX8" s="1200"/>
      <c r="AY8" s="1761"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4" customFormat="1" ht="12.75">
      <c r="A9" s="1777"/>
      <c r="B9" s="1777"/>
      <c r="C9" s="1777"/>
      <c r="D9" s="1777"/>
      <c r="E9" s="1777"/>
      <c r="F9" s="1777"/>
      <c r="G9" s="1200"/>
      <c r="H9" s="1785" t="s">
        <v>1776</v>
      </c>
      <c r="I9" s="1786" t="s">
        <v>3080</v>
      </c>
      <c r="J9" s="916"/>
      <c r="K9" s="1786" t="s">
        <v>3080</v>
      </c>
      <c r="L9" s="916"/>
      <c r="M9" s="1786" t="s">
        <v>3107</v>
      </c>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3"/>
      <c r="BN9" s="1780"/>
      <c r="BO9" s="1543"/>
      <c r="BP9" s="1543"/>
      <c r="BQ9" s="1543"/>
      <c r="BR9" s="1543"/>
      <c r="BS9" s="1543"/>
      <c r="BT9" s="26"/>
    </row>
    <row r="10" spans="1:72" s="1784" customFormat="1" ht="12.75">
      <c r="A10" s="1777"/>
      <c r="B10" s="1777"/>
      <c r="C10" s="1777"/>
      <c r="D10" s="1777"/>
      <c r="E10" s="1777"/>
      <c r="F10" s="1777"/>
      <c r="G10" s="1200"/>
      <c r="H10" s="28"/>
      <c r="I10" s="1786" t="s">
        <v>3081</v>
      </c>
      <c r="J10" s="916"/>
      <c r="K10" s="1792" t="s">
        <v>3081</v>
      </c>
      <c r="L10" s="916"/>
      <c r="M10" s="1792" t="s">
        <v>3108</v>
      </c>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6" t="str">
        <f>AR9</f>
        <v>地下</v>
      </c>
    </row>
    <row r="11" spans="1:72" s="1784" customFormat="1" ht="12.75">
      <c r="A11" s="1777"/>
      <c r="B11" s="1777"/>
      <c r="C11" s="1777"/>
      <c r="D11" s="1777"/>
      <c r="E11" s="1777"/>
      <c r="F11" s="1777"/>
      <c r="G11" s="1200"/>
      <c r="H11" s="1794"/>
      <c r="I11" s="1797" t="s">
        <v>3082</v>
      </c>
      <c r="J11" s="1798"/>
      <c r="K11" s="1797" t="s">
        <v>3082</v>
      </c>
      <c r="L11" s="1798"/>
      <c r="M11" s="1797" t="s">
        <v>3108</v>
      </c>
      <c r="N11" s="1798"/>
      <c r="O11" s="1797"/>
      <c r="P11" s="1798"/>
      <c r="Q11" s="1797"/>
      <c r="R11" s="1798"/>
      <c r="S11" s="1797"/>
      <c r="T11" s="1798"/>
      <c r="U11" s="1797"/>
      <c r="V11" s="1798"/>
      <c r="W11" s="1797"/>
      <c r="X11" s="1798"/>
      <c r="Y11" s="1797"/>
      <c r="Z11" s="1798"/>
      <c r="AA11" s="1797"/>
      <c r="AB11" s="1798"/>
      <c r="AC11" s="1200"/>
      <c r="AD11" s="1799" t="s">
        <v>1786</v>
      </c>
      <c r="AE11" s="1544"/>
      <c r="AF11" s="1799" t="s">
        <v>1786</v>
      </c>
      <c r="AG11" s="1544"/>
      <c r="AH11" s="1799" t="s">
        <v>1787</v>
      </c>
      <c r="AI11" s="1800"/>
      <c r="AJ11" s="1799" t="s">
        <v>1787</v>
      </c>
      <c r="AK11" s="1544"/>
      <c r="AL11" s="1542"/>
      <c r="AM11" s="1544"/>
      <c r="AN11" s="1542"/>
      <c r="AO11" s="1544"/>
      <c r="AP11" s="1542"/>
      <c r="AQ11" s="1544"/>
      <c r="AR11" s="1542"/>
      <c r="AS11" s="1544"/>
      <c r="AT11" s="1760"/>
      <c r="AU11" s="1777"/>
      <c r="AV11" s="1200"/>
      <c r="AW11" s="1760"/>
      <c r="AX11" s="1200"/>
      <c r="AY11" s="28"/>
      <c r="AZ11" s="28"/>
      <c r="BA11" s="28"/>
      <c r="BB11" s="1782" t="str">
        <f>I10</f>
        <v>住宅</v>
      </c>
      <c r="BC11" s="1782" t="str">
        <f>K10</f>
        <v>住宅</v>
      </c>
      <c r="BD11" s="1782" t="str">
        <f>M10</f>
        <v>车库</v>
      </c>
      <c r="BE11" s="1782">
        <f>O10</f>
        <v>0</v>
      </c>
      <c r="BF11" s="1782">
        <f>Q10</f>
        <v>0</v>
      </c>
      <c r="BG11" s="1782">
        <f>S10</f>
        <v>0</v>
      </c>
      <c r="BH11" s="1782">
        <f>U10</f>
        <v>0</v>
      </c>
      <c r="BI11" s="1782">
        <f>W10</f>
        <v>0</v>
      </c>
      <c r="BJ11" s="1782">
        <f>Y10</f>
        <v>0</v>
      </c>
      <c r="BK11" s="1782">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4"/>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t="str">
        <f>I11</f>
        <v>洋房</v>
      </c>
      <c r="BC12" s="1807" t="str">
        <f>K11</f>
        <v>洋房</v>
      </c>
      <c r="BD12" s="1807" t="str">
        <f>M11</f>
        <v>车库</v>
      </c>
      <c r="BE12" s="1782">
        <f>O11</f>
        <v>0</v>
      </c>
      <c r="BF12" s="1782">
        <f>Q11</f>
        <v>0</v>
      </c>
      <c r="BG12" s="1782">
        <f>S11</f>
        <v>0</v>
      </c>
      <c r="BH12" s="1782">
        <f>U11</f>
        <v>0</v>
      </c>
      <c r="BI12" s="1782">
        <f>W11</f>
        <v>0</v>
      </c>
      <c r="BJ12" s="1782">
        <f>Y11</f>
        <v>0</v>
      </c>
      <c r="BK12" s="1782">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3114" t="s">
        <v>3084</v>
      </c>
      <c r="D13" s="1808" t="s">
        <v>3069</v>
      </c>
      <c r="E13" s="16">
        <f>IF($C$3="是",ROUND($A$3*G13/$B$3,2),ROUND($A$3*(G13-AT13)/$B$3,2))</f>
        <v>2806.23</v>
      </c>
      <c r="F13" s="32"/>
      <c r="G13" s="33">
        <f>H13+AC13+AT13</f>
        <v>5014.83</v>
      </c>
      <c r="H13" s="20">
        <f>SUMIF(I$12:AB$12,"总值",I13:AB13)</f>
        <v>5014.83</v>
      </c>
      <c r="I13" s="1809">
        <f>Sheet1!C3</f>
        <v>5014.83</v>
      </c>
      <c r="J13" s="1809">
        <f>Sheet2!I18</f>
        <v>4934.8599999999997</v>
      </c>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2#</v>
      </c>
      <c r="AY13" s="1532">
        <f>ROUND($AY$6*AZ13/$AZ$5,2)</f>
        <v>44.75</v>
      </c>
      <c r="AZ13" s="16">
        <f>BA13+BL13</f>
        <v>79.970000000000255</v>
      </c>
      <c r="BA13" s="16">
        <f>SUM(BB13:BK13)</f>
        <v>79.970000000000255</v>
      </c>
      <c r="BB13" s="16">
        <f>IF($D13="是",I13-J13,0)</f>
        <v>79.970000000000255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4" t="s">
        <v>3086</v>
      </c>
      <c r="D14" s="1808" t="s">
        <v>3069</v>
      </c>
      <c r="E14" s="16">
        <f>IF($C$3="是",ROUND($A$3*G14/$B$3,2),ROUND($A$3*(G14-AT14)/$B$3,2))</f>
        <v>3050.12</v>
      </c>
      <c r="F14" s="32"/>
      <c r="G14" s="33">
        <f>H14+AC14+AT14</f>
        <v>5450.68</v>
      </c>
      <c r="H14" s="20">
        <f>SUMIF(I$12:AB$12,"总值",I14:AB14)</f>
        <v>5450.68</v>
      </c>
      <c r="I14" s="1809">
        <f>Sheet1!C4</f>
        <v>5450.68</v>
      </c>
      <c r="J14" s="1809">
        <f>Sheet2!I20</f>
        <v>5221.6499999999996</v>
      </c>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4#</v>
      </c>
      <c r="AY14" s="1532">
        <f>ROUND($AY$6*AZ14/$AZ$5,2)</f>
        <v>128.16</v>
      </c>
      <c r="AZ14" s="16">
        <f>BA14+BL14</f>
        <v>229.03000000000065</v>
      </c>
      <c r="BA14" s="16">
        <f>SUM(BB14:BK14)</f>
        <v>229.03000000000065</v>
      </c>
      <c r="BB14" s="16">
        <f>IF($D14="是",I14-J14,0)</f>
        <v>229.03000000000065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14" t="s">
        <v>3088</v>
      </c>
      <c r="D15" s="1808" t="s">
        <v>3069</v>
      </c>
      <c r="E15" s="16">
        <f>IF($C$3="是",ROUND($A$3*G15/$B$3,2),ROUND($A$3*(G15-AT15)/$B$3,2))</f>
        <v>3050.12</v>
      </c>
      <c r="F15" s="32"/>
      <c r="G15" s="33">
        <f>H15+AC15+AT15</f>
        <v>5450.68</v>
      </c>
      <c r="H15" s="20">
        <f>SUMIF(I$12:AB$12,"总值",I15:AB15)</f>
        <v>5450.68</v>
      </c>
      <c r="I15" s="1809">
        <f>Sheet1!C5</f>
        <v>5450.68</v>
      </c>
      <c r="J15" s="1809">
        <f>Sheet2!I22</f>
        <v>4733.53</v>
      </c>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6#</v>
      </c>
      <c r="AY15" s="1532">
        <f>ROUND($AY$6*AZ15/$AZ$5,2)</f>
        <v>401.31</v>
      </c>
      <c r="AZ15" s="16">
        <f>BA15+BL15</f>
        <v>717.15000000000055</v>
      </c>
      <c r="BA15" s="16">
        <f>SUM(BB15:BK15)</f>
        <v>717.15000000000055</v>
      </c>
      <c r="BB15" s="16">
        <f>IF($D15="是",I15-J15,0)</f>
        <v>717.15000000000055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14" t="s">
        <v>3089</v>
      </c>
      <c r="D16" s="1808" t="s">
        <v>3069</v>
      </c>
      <c r="E16" s="16">
        <f>IF($C$3="是",ROUND($A$3*G16/$B$3,2),ROUND($A$3*(G16-AT16)/$B$3,2))</f>
        <v>2879.16</v>
      </c>
      <c r="F16" s="32"/>
      <c r="G16" s="33">
        <f>H16+AC16+AT16</f>
        <v>5145.17</v>
      </c>
      <c r="H16" s="20">
        <f>SUMIF(I$12:AB$12,"总值",I16:AB16)</f>
        <v>5145.17</v>
      </c>
      <c r="I16" s="1809">
        <f>Sheet1!C6</f>
        <v>5145.17</v>
      </c>
      <c r="J16" s="1809">
        <f>Sheet2!I23</f>
        <v>4319.1499999999996</v>
      </c>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7#</v>
      </c>
      <c r="AY16" s="1532">
        <f>ROUND($AY$6*AZ16/$AZ$5,2)</f>
        <v>462.23</v>
      </c>
      <c r="AZ16" s="16">
        <f>BA16+BL16</f>
        <v>826.02000000000044</v>
      </c>
      <c r="BA16" s="16">
        <f>SUM(BB16:BK16)</f>
        <v>826.02000000000044</v>
      </c>
      <c r="BB16" s="16">
        <f>IF($D16="是",I16-J16,0)</f>
        <v>826.02000000000044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14" t="s">
        <v>3090</v>
      </c>
      <c r="D17" s="1808" t="s">
        <v>3069</v>
      </c>
      <c r="E17" s="16">
        <f>IF($C$3="是",ROUND($A$3*G17/$B$3,2),ROUND($A$3*(G17-AT17)/$B$3,2))</f>
        <v>3271.96</v>
      </c>
      <c r="F17" s="32"/>
      <c r="G17" s="33">
        <f>H17+AC17+AT17</f>
        <v>5847.11</v>
      </c>
      <c r="H17" s="20">
        <f>SUMIF(I$12:AB$12,"总值",I17:AB17)</f>
        <v>5847.11</v>
      </c>
      <c r="I17" s="1809">
        <f>Sheet1!C7</f>
        <v>5847.11</v>
      </c>
      <c r="J17" s="1809">
        <f>Sheet2!I24</f>
        <v>5605.81</v>
      </c>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8#</v>
      </c>
      <c r="AY17" s="1532">
        <f>ROUND($AY$6*AZ17/$AZ$5,2)</f>
        <v>135.03</v>
      </c>
      <c r="AZ17" s="16">
        <f>BA17+BL17</f>
        <v>241.29999999999927</v>
      </c>
      <c r="BA17" s="16">
        <f>SUM(BB17:BK17)</f>
        <v>241.29999999999927</v>
      </c>
      <c r="BB17" s="16">
        <f>IF($D17="是",I17-J17,0)</f>
        <v>241.29999999999927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14" t="s">
        <v>3091</v>
      </c>
      <c r="D18" s="1808" t="s">
        <v>3069</v>
      </c>
      <c r="E18" s="35">
        <f t="shared" ref="E18:E112" si="7">IF($C$3="是",ROUND($A$3*G18/$B$3,2),ROUND($A$3*(G18-AT18)/$B$3,2))</f>
        <v>2507.2199999999998</v>
      </c>
      <c r="F18" s="36"/>
      <c r="G18" s="37">
        <f t="shared" ref="G18:G109" si="8">H18+AC18+AT18</f>
        <v>4480.5</v>
      </c>
      <c r="H18" s="38">
        <f t="shared" ref="H18:H109" si="9">SUMIF(I$12:AB$12,"总值",I18:AB18)</f>
        <v>4480.5</v>
      </c>
      <c r="I18" s="1809">
        <f>Sheet1!C8</f>
        <v>4480.5</v>
      </c>
      <c r="J18" s="1809">
        <f>Sheet2!I25</f>
        <v>3549.41</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6">
        <f t="shared" ref="AV18:AV112" si="11">A18</f>
        <v>0</v>
      </c>
      <c r="AW18" s="1526">
        <f t="shared" ref="AW18:AW112" si="12">B18</f>
        <v>0</v>
      </c>
      <c r="AX18" s="1526" t="str">
        <f t="shared" ref="AX18:AX112" si="13">C18</f>
        <v>9#</v>
      </c>
      <c r="AY18" s="42">
        <f t="shared" ref="AY18:AY109" si="14">ROUND($AY$6*AZ18/$AZ$5,2)</f>
        <v>521.02</v>
      </c>
      <c r="AZ18" s="35">
        <f t="shared" ref="AZ18:AZ109" si="15">BA18+BL18</f>
        <v>931.09000000000015</v>
      </c>
      <c r="BA18" s="35">
        <f t="shared" ref="BA18:BA109" si="16">SUM(BB18:BK18)</f>
        <v>931.09000000000015</v>
      </c>
      <c r="BB18" s="35">
        <f t="shared" ref="BB18:BB109" si="17">IF($D18="是",I18-J18,0)</f>
        <v>931.09000000000015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114" t="s">
        <v>3092</v>
      </c>
      <c r="D19" s="1808" t="s">
        <v>3069</v>
      </c>
      <c r="E19" s="35">
        <f t="shared" si="7"/>
        <v>2811.78</v>
      </c>
      <c r="F19" s="36"/>
      <c r="G19" s="37">
        <f t="shared" si="8"/>
        <v>5024.75</v>
      </c>
      <c r="H19" s="38">
        <f t="shared" si="9"/>
        <v>5024.75</v>
      </c>
      <c r="I19" s="1809">
        <f>Sheet1!C9</f>
        <v>5024.75</v>
      </c>
      <c r="J19" s="39">
        <f>Sheet2!I7</f>
        <v>4935.8599999999997</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6">
        <f t="shared" si="11"/>
        <v>0</v>
      </c>
      <c r="AW19" s="1526">
        <f t="shared" si="12"/>
        <v>0</v>
      </c>
      <c r="AX19" s="1526" t="str">
        <f t="shared" si="13"/>
        <v>10#</v>
      </c>
      <c r="AY19" s="42">
        <f t="shared" si="14"/>
        <v>49.74</v>
      </c>
      <c r="AZ19" s="35">
        <f t="shared" si="15"/>
        <v>88.890000000000327</v>
      </c>
      <c r="BA19" s="35">
        <f t="shared" si="16"/>
        <v>88.890000000000327</v>
      </c>
      <c r="BB19" s="35">
        <f t="shared" si="17"/>
        <v>88.890000000000327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114" t="s">
        <v>3093</v>
      </c>
      <c r="D20" s="1808" t="s">
        <v>3069</v>
      </c>
      <c r="E20" s="35">
        <f t="shared" si="7"/>
        <v>2507.2199999999998</v>
      </c>
      <c r="F20" s="36"/>
      <c r="G20" s="37">
        <f t="shared" si="8"/>
        <v>4480.5</v>
      </c>
      <c r="H20" s="38">
        <f t="shared" si="9"/>
        <v>4480.5</v>
      </c>
      <c r="I20" s="1809">
        <f>Sheet1!C10</f>
        <v>4480.5</v>
      </c>
      <c r="J20" s="39">
        <f>Sheet2!I8</f>
        <v>3529.49</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6">
        <f t="shared" si="11"/>
        <v>0</v>
      </c>
      <c r="AW20" s="1526">
        <f t="shared" si="12"/>
        <v>0</v>
      </c>
      <c r="AX20" s="1526" t="str">
        <f t="shared" si="13"/>
        <v>11#</v>
      </c>
      <c r="AY20" s="42">
        <f t="shared" si="14"/>
        <v>532.16999999999996</v>
      </c>
      <c r="AZ20" s="35">
        <f t="shared" si="15"/>
        <v>951.01000000000022</v>
      </c>
      <c r="BA20" s="35">
        <f t="shared" si="16"/>
        <v>951.01000000000022</v>
      </c>
      <c r="BB20" s="35">
        <f t="shared" si="17"/>
        <v>951.01000000000022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14" t="s">
        <v>3094</v>
      </c>
      <c r="D21" s="1808" t="s">
        <v>3069</v>
      </c>
      <c r="E21" s="35">
        <f t="shared" si="7"/>
        <v>1892.68</v>
      </c>
      <c r="F21" s="36"/>
      <c r="G21" s="37">
        <f t="shared" si="8"/>
        <v>3382.28</v>
      </c>
      <c r="H21" s="38">
        <f t="shared" si="9"/>
        <v>3382.28</v>
      </c>
      <c r="I21" s="1809">
        <f>Sheet1!C11</f>
        <v>3382.28</v>
      </c>
      <c r="J21" s="39">
        <f>Sheet2!I9</f>
        <v>3278.17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6">
        <f t="shared" si="11"/>
        <v>0</v>
      </c>
      <c r="AW21" s="1526">
        <f t="shared" si="12"/>
        <v>0</v>
      </c>
      <c r="AX21" s="1526" t="str">
        <f t="shared" si="13"/>
        <v>12#</v>
      </c>
      <c r="AY21" s="42">
        <f t="shared" si="14"/>
        <v>58.26</v>
      </c>
      <c r="AZ21" s="35">
        <f t="shared" si="15"/>
        <v>104.11000000000013</v>
      </c>
      <c r="BA21" s="35">
        <f t="shared" si="16"/>
        <v>104.11000000000013</v>
      </c>
      <c r="BB21" s="35">
        <f t="shared" si="17"/>
        <v>104.11000000000013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14" t="s">
        <v>3095</v>
      </c>
      <c r="D22" s="1808" t="s">
        <v>3069</v>
      </c>
      <c r="E22" s="35">
        <f t="shared" si="7"/>
        <v>1890.87</v>
      </c>
      <c r="F22" s="36"/>
      <c r="G22" s="37">
        <f t="shared" si="8"/>
        <v>3379.05</v>
      </c>
      <c r="H22" s="38">
        <f t="shared" si="9"/>
        <v>3379.05</v>
      </c>
      <c r="I22" s="1809">
        <f>Sheet1!C12</f>
        <v>3379.05</v>
      </c>
      <c r="J22" s="39">
        <f>Sheet2!I10</f>
        <v>3379.04</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6">
        <f t="shared" si="11"/>
        <v>0</v>
      </c>
      <c r="AW22" s="1526">
        <f t="shared" si="12"/>
        <v>0</v>
      </c>
      <c r="AX22" s="1526" t="str">
        <f t="shared" si="13"/>
        <v>13#</v>
      </c>
      <c r="AY22" s="42">
        <f t="shared" si="14"/>
        <v>0.01</v>
      </c>
      <c r="AZ22" s="35">
        <f t="shared" si="15"/>
        <v>1.0000000000218279E-2</v>
      </c>
      <c r="BA22" s="35">
        <f t="shared" si="16"/>
        <v>1.0000000000218279E-2</v>
      </c>
      <c r="BB22" s="35">
        <f t="shared" si="17"/>
        <v>1.0000000000218279E-2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14" t="s">
        <v>3096</v>
      </c>
      <c r="D23" s="1808" t="s">
        <v>3069</v>
      </c>
      <c r="E23" s="35">
        <f t="shared" si="7"/>
        <v>2507.2199999999998</v>
      </c>
      <c r="F23" s="36"/>
      <c r="G23" s="37">
        <f t="shared" si="8"/>
        <v>4480.5</v>
      </c>
      <c r="H23" s="38">
        <f t="shared" si="9"/>
        <v>4480.5</v>
      </c>
      <c r="I23" s="1809">
        <f>Sheet1!C13</f>
        <v>4480.5</v>
      </c>
      <c r="J23" s="39">
        <f>Sheet2!I11</f>
        <v>3010.39</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6">
        <f t="shared" si="11"/>
        <v>0</v>
      </c>
      <c r="AW23" s="1526">
        <f t="shared" si="12"/>
        <v>0</v>
      </c>
      <c r="AX23" s="1526" t="str">
        <f t="shared" si="13"/>
        <v>14#</v>
      </c>
      <c r="AY23" s="42">
        <f t="shared" si="14"/>
        <v>822.65</v>
      </c>
      <c r="AZ23" s="35">
        <f t="shared" si="15"/>
        <v>1470.1100000000001</v>
      </c>
      <c r="BA23" s="35">
        <f t="shared" si="16"/>
        <v>1470.1100000000001</v>
      </c>
      <c r="BB23" s="35">
        <f t="shared" si="17"/>
        <v>1470.1100000000001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14" t="s">
        <v>3097</v>
      </c>
      <c r="D24" s="1808" t="s">
        <v>3069</v>
      </c>
      <c r="E24" s="35">
        <f t="shared" si="7"/>
        <v>2507.2199999999998</v>
      </c>
      <c r="F24" s="36"/>
      <c r="G24" s="37">
        <f t="shared" si="8"/>
        <v>4480.5</v>
      </c>
      <c r="H24" s="38">
        <f t="shared" si="9"/>
        <v>4480.5</v>
      </c>
      <c r="I24" s="1809">
        <f>Sheet1!C14</f>
        <v>4480.5</v>
      </c>
      <c r="J24" s="39">
        <f>Sheet2!I12</f>
        <v>3860.99</v>
      </c>
      <c r="K24" s="3109"/>
      <c r="L24" s="3109"/>
      <c r="M24" s="3109"/>
      <c r="N24" s="3109"/>
      <c r="O24" s="3109"/>
      <c r="P24" s="310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3045">
        <f t="shared" si="11"/>
        <v>0</v>
      </c>
      <c r="AW24" s="3045">
        <f t="shared" si="12"/>
        <v>0</v>
      </c>
      <c r="AX24" s="1526" t="str">
        <f t="shared" si="13"/>
        <v>15#</v>
      </c>
      <c r="AY24" s="42">
        <f t="shared" si="14"/>
        <v>346.67</v>
      </c>
      <c r="AZ24" s="35">
        <f t="shared" si="15"/>
        <v>619.51000000000022</v>
      </c>
      <c r="BA24" s="35">
        <f t="shared" si="16"/>
        <v>619.51000000000022</v>
      </c>
      <c r="BB24" s="35">
        <f t="shared" si="17"/>
        <v>619.51000000000022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14" t="s">
        <v>3099</v>
      </c>
      <c r="D25" s="1808" t="s">
        <v>3069</v>
      </c>
      <c r="E25" s="35">
        <f t="shared" si="7"/>
        <v>2879.11</v>
      </c>
      <c r="F25" s="36"/>
      <c r="G25" s="37">
        <f t="shared" si="8"/>
        <v>5145.08</v>
      </c>
      <c r="H25" s="38">
        <f t="shared" si="9"/>
        <v>5145.08</v>
      </c>
      <c r="I25" s="1809">
        <f>Sheet1!C15</f>
        <v>5145.08</v>
      </c>
      <c r="J25" s="39">
        <f>Sheet2!I13</f>
        <v>2913</v>
      </c>
      <c r="K25" s="3109"/>
      <c r="L25" s="3109"/>
      <c r="M25" s="3109"/>
      <c r="N25" s="3109"/>
      <c r="O25" s="3109"/>
      <c r="P25" s="3109"/>
      <c r="Q25" s="39"/>
      <c r="R25" s="39"/>
      <c r="S25" s="39"/>
      <c r="T25" s="39"/>
      <c r="U25" s="39"/>
      <c r="V25" s="39"/>
      <c r="W25" s="39"/>
      <c r="X25" s="39"/>
      <c r="Y25" s="39"/>
      <c r="Z25" s="39"/>
      <c r="AA25" s="39"/>
      <c r="AB25" s="39"/>
      <c r="AC25" s="35">
        <f t="shared" si="10"/>
        <v>0</v>
      </c>
      <c r="AD25" s="44"/>
      <c r="AE25" s="44"/>
      <c r="AF25" s="44"/>
      <c r="AG25" s="44"/>
      <c r="AH25" s="44"/>
      <c r="AI25" s="44"/>
      <c r="AJ25" s="44"/>
      <c r="AK25" s="44"/>
      <c r="AL25" s="44"/>
      <c r="AM25" s="44"/>
      <c r="AN25" s="44"/>
      <c r="AO25" s="44"/>
      <c r="AP25" s="44"/>
      <c r="AQ25" s="44"/>
      <c r="AR25" s="44"/>
      <c r="AS25" s="44"/>
      <c r="AT25" s="36"/>
      <c r="AU25" s="3110"/>
      <c r="AV25" s="3045">
        <f t="shared" si="11"/>
        <v>0</v>
      </c>
      <c r="AW25" s="3045">
        <f t="shared" si="12"/>
        <v>0</v>
      </c>
      <c r="AX25" s="1526" t="str">
        <f t="shared" si="13"/>
        <v>17#</v>
      </c>
      <c r="AY25" s="42">
        <f t="shared" si="14"/>
        <v>1249.04</v>
      </c>
      <c r="AZ25" s="35">
        <f t="shared" si="15"/>
        <v>2232.08</v>
      </c>
      <c r="BA25" s="35">
        <f t="shared" si="16"/>
        <v>2232.08</v>
      </c>
      <c r="BB25" s="35">
        <f t="shared" si="17"/>
        <v>2232.08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35">
        <f t="shared" si="35"/>
        <v>0</v>
      </c>
    </row>
    <row r="26" spans="1:72">
      <c r="A26" s="9"/>
      <c r="B26" s="34"/>
      <c r="C26" s="3113" t="s">
        <v>48</v>
      </c>
      <c r="D26" s="3112" t="s">
        <v>3110</v>
      </c>
      <c r="E26" s="35">
        <f t="shared" si="7"/>
        <v>21943.200000000001</v>
      </c>
      <c r="F26" s="36"/>
      <c r="G26" s="35">
        <f t="shared" si="8"/>
        <v>39213.300000000003</v>
      </c>
      <c r="H26" s="35">
        <f t="shared" si="9"/>
        <v>39213.300000000003</v>
      </c>
      <c r="I26" s="3109"/>
      <c r="J26" s="3109"/>
      <c r="K26" s="3109"/>
      <c r="L26" s="3109"/>
      <c r="M26" s="3109">
        <f>Sheet1!D17</f>
        <v>39213.300000000003</v>
      </c>
      <c r="N26" s="3109"/>
      <c r="O26" s="3109"/>
      <c r="P26" s="3109"/>
      <c r="Q26" s="39"/>
      <c r="R26" s="39"/>
      <c r="S26" s="39"/>
      <c r="T26" s="39"/>
      <c r="U26" s="39"/>
      <c r="V26" s="39"/>
      <c r="W26" s="39"/>
      <c r="X26" s="39"/>
      <c r="Y26" s="39"/>
      <c r="Z26" s="39"/>
      <c r="AA26" s="39"/>
      <c r="AB26" s="39"/>
      <c r="AC26" s="35">
        <f t="shared" si="10"/>
        <v>0</v>
      </c>
      <c r="AD26" s="44"/>
      <c r="AE26" s="44"/>
      <c r="AF26" s="44"/>
      <c r="AG26" s="44"/>
      <c r="AH26" s="44"/>
      <c r="AI26" s="44"/>
      <c r="AJ26" s="44"/>
      <c r="AK26" s="44"/>
      <c r="AL26" s="44"/>
      <c r="AM26" s="44"/>
      <c r="AN26" s="44"/>
      <c r="AO26" s="44"/>
      <c r="AP26" s="44"/>
      <c r="AQ26" s="44"/>
      <c r="AR26" s="44"/>
      <c r="AS26" s="44"/>
      <c r="AT26" s="36"/>
      <c r="AU26" s="3110"/>
      <c r="AV26" s="3045">
        <f t="shared" si="11"/>
        <v>0</v>
      </c>
      <c r="AW26" s="3045">
        <f t="shared" si="12"/>
        <v>0</v>
      </c>
      <c r="AX26" s="1526" t="str">
        <f t="shared" si="13"/>
        <v>地下车库</v>
      </c>
      <c r="AY26" s="35">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35">
        <f t="shared" si="35"/>
        <v>0</v>
      </c>
    </row>
    <row r="27" spans="1:72">
      <c r="A27" s="9"/>
      <c r="B27" s="34"/>
      <c r="C27" s="3115" t="s">
        <v>3129</v>
      </c>
      <c r="D27" s="3112" t="s">
        <v>3110</v>
      </c>
      <c r="E27" s="35">
        <f t="shared" si="7"/>
        <v>2014.51</v>
      </c>
      <c r="F27" s="36"/>
      <c r="G27" s="35">
        <f t="shared" si="8"/>
        <v>3600</v>
      </c>
      <c r="H27" s="35">
        <f t="shared" si="9"/>
        <v>0</v>
      </c>
      <c r="I27" s="3109"/>
      <c r="J27" s="3109"/>
      <c r="K27" s="3109"/>
      <c r="L27" s="3109"/>
      <c r="M27" s="3109"/>
      <c r="N27" s="3109"/>
      <c r="O27" s="3109"/>
      <c r="P27" s="3109"/>
      <c r="Q27" s="39"/>
      <c r="R27" s="39"/>
      <c r="S27" s="39"/>
      <c r="T27" s="39"/>
      <c r="U27" s="39"/>
      <c r="V27" s="39"/>
      <c r="W27" s="39"/>
      <c r="X27" s="39"/>
      <c r="Y27" s="39"/>
      <c r="Z27" s="39"/>
      <c r="AA27" s="39"/>
      <c r="AB27" s="39"/>
      <c r="AC27" s="35">
        <f t="shared" si="10"/>
        <v>3600</v>
      </c>
      <c r="AD27" s="44">
        <v>3600</v>
      </c>
      <c r="AE27" s="44"/>
      <c r="AF27" s="44"/>
      <c r="AG27" s="44"/>
      <c r="AH27" s="44"/>
      <c r="AI27" s="44"/>
      <c r="AJ27" s="44"/>
      <c r="AK27" s="44"/>
      <c r="AL27" s="44"/>
      <c r="AM27" s="44"/>
      <c r="AN27" s="44"/>
      <c r="AO27" s="44"/>
      <c r="AP27" s="44"/>
      <c r="AQ27" s="44"/>
      <c r="AR27" s="44"/>
      <c r="AS27" s="44"/>
      <c r="AT27" s="36"/>
      <c r="AU27" s="3110"/>
      <c r="AV27" s="3045">
        <f t="shared" si="11"/>
        <v>0</v>
      </c>
      <c r="AW27" s="3045">
        <f t="shared" si="12"/>
        <v>0</v>
      </c>
      <c r="AX27" s="3045" t="str">
        <f t="shared" si="13"/>
        <v>幼儿园</v>
      </c>
      <c r="AY27" s="35">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35">
        <f t="shared" si="35"/>
        <v>0</v>
      </c>
    </row>
    <row r="28" spans="1:72" s="3059" customFormat="1">
      <c r="A28" s="3106"/>
      <c r="B28" s="3107"/>
      <c r="C28" s="3115" t="s">
        <v>3128</v>
      </c>
      <c r="D28" s="3112" t="s">
        <v>3110</v>
      </c>
      <c r="E28" s="35">
        <f t="shared" si="7"/>
        <v>1930.27</v>
      </c>
      <c r="F28" s="44"/>
      <c r="G28" s="35">
        <f t="shared" si="8"/>
        <v>3449.47</v>
      </c>
      <c r="H28" s="35">
        <f t="shared" si="9"/>
        <v>0</v>
      </c>
      <c r="I28" s="3109"/>
      <c r="J28" s="3109"/>
      <c r="K28" s="3109"/>
      <c r="L28" s="3109"/>
      <c r="M28" s="3109"/>
      <c r="N28" s="3109"/>
      <c r="O28" s="3109"/>
      <c r="P28" s="3109"/>
      <c r="Q28" s="3058"/>
      <c r="R28" s="3058"/>
      <c r="S28" s="3058"/>
      <c r="T28" s="3058"/>
      <c r="U28" s="3058"/>
      <c r="V28" s="3058"/>
      <c r="W28" s="3058"/>
      <c r="X28" s="3058"/>
      <c r="Y28" s="3058"/>
      <c r="Z28" s="3058"/>
      <c r="AA28" s="3058"/>
      <c r="AB28" s="3058"/>
      <c r="AC28" s="35">
        <f t="shared" si="10"/>
        <v>3449.47</v>
      </c>
      <c r="AD28" s="44">
        <f>Sheet1!C19</f>
        <v>3449.47</v>
      </c>
      <c r="AE28" s="44"/>
      <c r="AF28" s="44"/>
      <c r="AG28" s="44"/>
      <c r="AH28" s="44"/>
      <c r="AI28" s="44"/>
      <c r="AJ28" s="44"/>
      <c r="AK28" s="44"/>
      <c r="AL28" s="44"/>
      <c r="AM28" s="44"/>
      <c r="AN28" s="44"/>
      <c r="AO28" s="44"/>
      <c r="AP28" s="44"/>
      <c r="AQ28" s="44"/>
      <c r="AR28" s="44"/>
      <c r="AS28" s="44"/>
      <c r="AT28" s="36"/>
      <c r="AU28" s="3110"/>
      <c r="AV28" s="3045">
        <f t="shared" si="11"/>
        <v>0</v>
      </c>
      <c r="AW28" s="3045">
        <f t="shared" si="12"/>
        <v>0</v>
      </c>
      <c r="AX28" s="3045" t="str">
        <f t="shared" si="13"/>
        <v>公共设施</v>
      </c>
      <c r="AY28" s="35">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35">
        <f t="shared" si="35"/>
        <v>0</v>
      </c>
    </row>
    <row r="29" spans="1:72">
      <c r="A29" s="3106"/>
      <c r="B29" s="3107"/>
      <c r="C29" s="3116" t="s">
        <v>3083</v>
      </c>
      <c r="D29" s="3112" t="s">
        <v>3069</v>
      </c>
      <c r="E29" s="35">
        <f t="shared" si="7"/>
        <v>2903.28</v>
      </c>
      <c r="F29" s="44"/>
      <c r="G29" s="35">
        <f t="shared" si="8"/>
        <v>5188.26</v>
      </c>
      <c r="H29" s="35">
        <f t="shared" si="9"/>
        <v>5188.26</v>
      </c>
      <c r="I29" s="3109">
        <f>Sheet1!C20</f>
        <v>5188.26</v>
      </c>
      <c r="J29" s="3109">
        <f>Sheet2!I15</f>
        <v>4743.6400000000003</v>
      </c>
      <c r="K29" s="3109"/>
      <c r="L29" s="3109"/>
      <c r="M29" s="3109"/>
      <c r="N29" s="3109"/>
      <c r="O29" s="3109"/>
      <c r="P29" s="3109"/>
      <c r="Q29" s="39"/>
      <c r="R29" s="39"/>
      <c r="S29" s="39"/>
      <c r="T29" s="39"/>
      <c r="U29" s="39"/>
      <c r="V29" s="39"/>
      <c r="W29" s="39"/>
      <c r="X29" s="39"/>
      <c r="Y29" s="39"/>
      <c r="Z29" s="39"/>
      <c r="AA29" s="39"/>
      <c r="AB29" s="39"/>
      <c r="AC29" s="35">
        <f t="shared" si="10"/>
        <v>0</v>
      </c>
      <c r="AD29" s="44"/>
      <c r="AE29" s="44"/>
      <c r="AF29" s="44"/>
      <c r="AG29" s="44"/>
      <c r="AH29" s="44"/>
      <c r="AI29" s="44"/>
      <c r="AJ29" s="44"/>
      <c r="AK29" s="44"/>
      <c r="AL29" s="44"/>
      <c r="AM29" s="44"/>
      <c r="AN29" s="44"/>
      <c r="AO29" s="44"/>
      <c r="AP29" s="44"/>
      <c r="AQ29" s="44"/>
      <c r="AR29" s="44"/>
      <c r="AS29" s="44"/>
      <c r="AT29" s="36"/>
      <c r="AU29" s="3110"/>
      <c r="AV29" s="3045">
        <f t="shared" si="11"/>
        <v>0</v>
      </c>
      <c r="AW29" s="3045">
        <f t="shared" si="12"/>
        <v>0</v>
      </c>
      <c r="AX29" s="3045" t="str">
        <f t="shared" si="13"/>
        <v>1#</v>
      </c>
      <c r="AY29" s="35">
        <f t="shared" si="14"/>
        <v>248.8</v>
      </c>
      <c r="AZ29" s="35">
        <f t="shared" si="15"/>
        <v>444.61999999999989</v>
      </c>
      <c r="BA29" s="35">
        <f t="shared" si="16"/>
        <v>444.61999999999989</v>
      </c>
      <c r="BB29" s="35">
        <f t="shared" si="17"/>
        <v>444.61999999999989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35">
        <f t="shared" si="35"/>
        <v>0</v>
      </c>
    </row>
    <row r="30" spans="1:72" s="3059" customFormat="1">
      <c r="A30" s="3106"/>
      <c r="B30" s="3107"/>
      <c r="C30" s="3116" t="s">
        <v>3085</v>
      </c>
      <c r="D30" s="3112" t="s">
        <v>3069</v>
      </c>
      <c r="E30" s="35">
        <f t="shared" si="7"/>
        <v>2875.96</v>
      </c>
      <c r="F30" s="44"/>
      <c r="G30" s="35">
        <f t="shared" si="8"/>
        <v>5139.4399999999996</v>
      </c>
      <c r="H30" s="35">
        <f t="shared" si="9"/>
        <v>5139.4399999999996</v>
      </c>
      <c r="I30" s="3109">
        <f>Sheet1!C21</f>
        <v>5139.4399999999996</v>
      </c>
      <c r="J30" s="3109">
        <f>Sheet2!I19</f>
        <v>1994.57</v>
      </c>
      <c r="K30" s="3109"/>
      <c r="L30" s="3109"/>
      <c r="M30" s="3109"/>
      <c r="N30" s="3109"/>
      <c r="O30" s="3109"/>
      <c r="P30" s="3109"/>
      <c r="Q30" s="3058"/>
      <c r="R30" s="3058"/>
      <c r="S30" s="3058"/>
      <c r="T30" s="3058"/>
      <c r="U30" s="3058"/>
      <c r="V30" s="3058"/>
      <c r="W30" s="3058"/>
      <c r="X30" s="3058"/>
      <c r="Y30" s="3058"/>
      <c r="Z30" s="3058"/>
      <c r="AA30" s="3058"/>
      <c r="AB30" s="3058"/>
      <c r="AC30" s="35">
        <f t="shared" si="10"/>
        <v>0</v>
      </c>
      <c r="AD30" s="44"/>
      <c r="AE30" s="44"/>
      <c r="AF30" s="44"/>
      <c r="AG30" s="44"/>
      <c r="AH30" s="44"/>
      <c r="AI30" s="44"/>
      <c r="AJ30" s="44"/>
      <c r="AK30" s="44"/>
      <c r="AL30" s="44"/>
      <c r="AM30" s="44"/>
      <c r="AN30" s="44"/>
      <c r="AO30" s="44"/>
      <c r="AP30" s="44"/>
      <c r="AQ30" s="44"/>
      <c r="AR30" s="44"/>
      <c r="AS30" s="44"/>
      <c r="AT30" s="36"/>
      <c r="AU30" s="3110"/>
      <c r="AV30" s="3045">
        <f t="shared" si="11"/>
        <v>0</v>
      </c>
      <c r="AW30" s="3045">
        <f t="shared" si="12"/>
        <v>0</v>
      </c>
      <c r="AX30" s="3045" t="str">
        <f t="shared" si="13"/>
        <v>3#</v>
      </c>
      <c r="AY30" s="35">
        <f t="shared" si="14"/>
        <v>1759.82</v>
      </c>
      <c r="AZ30" s="35">
        <f t="shared" si="15"/>
        <v>3144.87</v>
      </c>
      <c r="BA30" s="35">
        <f t="shared" si="16"/>
        <v>3144.87</v>
      </c>
      <c r="BB30" s="35">
        <f t="shared" si="17"/>
        <v>3144.87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35">
        <f t="shared" si="35"/>
        <v>0</v>
      </c>
    </row>
    <row r="31" spans="1:72">
      <c r="A31" s="3106"/>
      <c r="B31" s="3107"/>
      <c r="C31" s="3116" t="s">
        <v>3087</v>
      </c>
      <c r="D31" s="3112" t="s">
        <v>3069</v>
      </c>
      <c r="E31" s="35">
        <f t="shared" si="7"/>
        <v>2875.96</v>
      </c>
      <c r="F31" s="44"/>
      <c r="G31" s="35">
        <f t="shared" si="8"/>
        <v>5139.4399999999996</v>
      </c>
      <c r="H31" s="35">
        <f t="shared" si="9"/>
        <v>5139.4399999999996</v>
      </c>
      <c r="I31" s="3109">
        <f>Sheet1!C22</f>
        <v>5139.4399999999996</v>
      </c>
      <c r="J31" s="3109">
        <f>Sheet2!I21</f>
        <v>2838.1</v>
      </c>
      <c r="K31" s="3109"/>
      <c r="L31" s="3109"/>
      <c r="M31" s="3109"/>
      <c r="N31" s="3109"/>
      <c r="O31" s="3109"/>
      <c r="P31" s="3109"/>
      <c r="Q31" s="39"/>
      <c r="R31" s="39"/>
      <c r="S31" s="39"/>
      <c r="T31" s="39"/>
      <c r="U31" s="39"/>
      <c r="V31" s="39"/>
      <c r="W31" s="39"/>
      <c r="X31" s="39"/>
      <c r="Y31" s="39"/>
      <c r="Z31" s="39"/>
      <c r="AA31" s="39"/>
      <c r="AB31" s="39"/>
      <c r="AC31" s="35">
        <f t="shared" si="10"/>
        <v>0</v>
      </c>
      <c r="AD31" s="44"/>
      <c r="AE31" s="44"/>
      <c r="AF31" s="44"/>
      <c r="AG31" s="44"/>
      <c r="AH31" s="44"/>
      <c r="AI31" s="44"/>
      <c r="AJ31" s="44"/>
      <c r="AK31" s="44"/>
      <c r="AL31" s="44"/>
      <c r="AM31" s="44"/>
      <c r="AN31" s="44"/>
      <c r="AO31" s="44"/>
      <c r="AP31" s="44"/>
      <c r="AQ31" s="44"/>
      <c r="AR31" s="44"/>
      <c r="AS31" s="44"/>
      <c r="AT31" s="36"/>
      <c r="AU31" s="3110"/>
      <c r="AV31" s="3045">
        <f t="shared" si="11"/>
        <v>0</v>
      </c>
      <c r="AW31" s="3045">
        <f t="shared" si="12"/>
        <v>0</v>
      </c>
      <c r="AX31" s="3045" t="str">
        <f t="shared" si="13"/>
        <v>5#</v>
      </c>
      <c r="AY31" s="35">
        <f t="shared" si="14"/>
        <v>1287.8</v>
      </c>
      <c r="AZ31" s="35">
        <f t="shared" si="15"/>
        <v>2301.3399999999997</v>
      </c>
      <c r="BA31" s="35">
        <f t="shared" si="16"/>
        <v>2301.3399999999997</v>
      </c>
      <c r="BB31" s="35">
        <f t="shared" si="17"/>
        <v>2301.3399999999997</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35">
        <f t="shared" si="35"/>
        <v>0</v>
      </c>
    </row>
    <row r="32" spans="1:72" s="3059" customFormat="1">
      <c r="A32" s="3106"/>
      <c r="B32" s="3107"/>
      <c r="C32" s="3116" t="s">
        <v>3101</v>
      </c>
      <c r="D32" s="3112" t="s">
        <v>3069</v>
      </c>
      <c r="E32" s="35">
        <f t="shared" si="7"/>
        <v>2873.45</v>
      </c>
      <c r="F32" s="44"/>
      <c r="G32" s="35">
        <f t="shared" si="8"/>
        <v>5134.96</v>
      </c>
      <c r="H32" s="35">
        <f t="shared" si="9"/>
        <v>5134.96</v>
      </c>
      <c r="I32" s="3109">
        <f>Sheet1!C23</f>
        <v>5134.96</v>
      </c>
      <c r="J32" s="3109">
        <v>0</v>
      </c>
      <c r="K32" s="3109"/>
      <c r="L32" s="3109"/>
      <c r="M32" s="3109"/>
      <c r="N32" s="3109"/>
      <c r="O32" s="3109"/>
      <c r="P32" s="3109"/>
      <c r="Q32" s="3058"/>
      <c r="R32" s="3058"/>
      <c r="S32" s="3058"/>
      <c r="T32" s="3058"/>
      <c r="U32" s="3058"/>
      <c r="V32" s="3058"/>
      <c r="W32" s="3058"/>
      <c r="X32" s="3058"/>
      <c r="Y32" s="3058"/>
      <c r="Z32" s="3058"/>
      <c r="AA32" s="3058"/>
      <c r="AB32" s="3058"/>
      <c r="AC32" s="35">
        <f t="shared" si="10"/>
        <v>0</v>
      </c>
      <c r="AD32" s="44"/>
      <c r="AE32" s="44"/>
      <c r="AF32" s="44"/>
      <c r="AG32" s="44"/>
      <c r="AH32" s="44"/>
      <c r="AI32" s="44"/>
      <c r="AJ32" s="44"/>
      <c r="AK32" s="44"/>
      <c r="AL32" s="44"/>
      <c r="AM32" s="44"/>
      <c r="AN32" s="44"/>
      <c r="AO32" s="44"/>
      <c r="AP32" s="44"/>
      <c r="AQ32" s="44"/>
      <c r="AR32" s="44"/>
      <c r="AS32" s="44"/>
      <c r="AT32" s="36"/>
      <c r="AU32" s="3110"/>
      <c r="AV32" s="3045">
        <f t="shared" si="11"/>
        <v>0</v>
      </c>
      <c r="AW32" s="3045">
        <f t="shared" si="12"/>
        <v>0</v>
      </c>
      <c r="AX32" s="3045" t="str">
        <f t="shared" si="13"/>
        <v>19#</v>
      </c>
      <c r="AY32" s="35">
        <f t="shared" si="14"/>
        <v>2873.45</v>
      </c>
      <c r="AZ32" s="35">
        <f t="shared" si="15"/>
        <v>5134.96</v>
      </c>
      <c r="BA32" s="35">
        <f t="shared" si="16"/>
        <v>5134.96</v>
      </c>
      <c r="BB32" s="35">
        <f t="shared" si="17"/>
        <v>5134.96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35">
        <f t="shared" si="35"/>
        <v>0</v>
      </c>
    </row>
    <row r="33" spans="1:72">
      <c r="A33" s="3106"/>
      <c r="B33" s="3107"/>
      <c r="C33" s="3116" t="s">
        <v>3103</v>
      </c>
      <c r="D33" s="3112" t="s">
        <v>3069</v>
      </c>
      <c r="E33" s="35">
        <f t="shared" si="7"/>
        <v>2873.45</v>
      </c>
      <c r="F33" s="44"/>
      <c r="G33" s="35">
        <f t="shared" si="8"/>
        <v>5134.96</v>
      </c>
      <c r="H33" s="35">
        <f t="shared" si="9"/>
        <v>5134.96</v>
      </c>
      <c r="I33" s="3109">
        <f>Sheet1!C24</f>
        <v>5134.96</v>
      </c>
      <c r="J33" s="3109">
        <v>0</v>
      </c>
      <c r="K33" s="3109"/>
      <c r="L33" s="3109"/>
      <c r="M33" s="3109"/>
      <c r="N33" s="3109"/>
      <c r="O33" s="3109"/>
      <c r="P33" s="3109"/>
      <c r="Q33" s="39"/>
      <c r="R33" s="39"/>
      <c r="S33" s="39"/>
      <c r="T33" s="39"/>
      <c r="U33" s="39"/>
      <c r="V33" s="39"/>
      <c r="W33" s="39"/>
      <c r="X33" s="39"/>
      <c r="Y33" s="39"/>
      <c r="Z33" s="39"/>
      <c r="AA33" s="39"/>
      <c r="AB33" s="39"/>
      <c r="AC33" s="35">
        <f t="shared" si="10"/>
        <v>0</v>
      </c>
      <c r="AD33" s="44"/>
      <c r="AE33" s="44"/>
      <c r="AF33" s="44"/>
      <c r="AG33" s="44"/>
      <c r="AH33" s="44"/>
      <c r="AI33" s="44"/>
      <c r="AJ33" s="44"/>
      <c r="AK33" s="44"/>
      <c r="AL33" s="44"/>
      <c r="AM33" s="44"/>
      <c r="AN33" s="44"/>
      <c r="AO33" s="44"/>
      <c r="AP33" s="44"/>
      <c r="AQ33" s="44"/>
      <c r="AR33" s="44"/>
      <c r="AS33" s="44"/>
      <c r="AT33" s="36"/>
      <c r="AU33" s="3110"/>
      <c r="AV33" s="3045">
        <f t="shared" si="11"/>
        <v>0</v>
      </c>
      <c r="AW33" s="3045">
        <f t="shared" si="12"/>
        <v>0</v>
      </c>
      <c r="AX33" s="3045" t="str">
        <f t="shared" si="13"/>
        <v>21#</v>
      </c>
      <c r="AY33" s="35">
        <f t="shared" si="14"/>
        <v>2873.45</v>
      </c>
      <c r="AZ33" s="35">
        <f t="shared" si="15"/>
        <v>5134.96</v>
      </c>
      <c r="BA33" s="35">
        <f t="shared" si="16"/>
        <v>5134.96</v>
      </c>
      <c r="BB33" s="35">
        <f t="shared" si="17"/>
        <v>5134.96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35">
        <f t="shared" si="35"/>
        <v>0</v>
      </c>
    </row>
    <row r="34" spans="1:72" s="3059" customFormat="1">
      <c r="A34" s="3106"/>
      <c r="B34" s="3107"/>
      <c r="C34" s="3116" t="s">
        <v>3106</v>
      </c>
      <c r="D34" s="3112" t="s">
        <v>3069</v>
      </c>
      <c r="E34" s="35">
        <f t="shared" si="7"/>
        <v>2903.21</v>
      </c>
      <c r="F34" s="44"/>
      <c r="G34" s="35">
        <f t="shared" si="8"/>
        <v>5188.1400000000003</v>
      </c>
      <c r="H34" s="35">
        <f>SUMIF(I$12:AB$12,"总值",I34:AB34)</f>
        <v>5188.1400000000003</v>
      </c>
      <c r="I34" s="3109">
        <f>Sheet1!C25</f>
        <v>5188.1400000000003</v>
      </c>
      <c r="J34" s="3109">
        <f>Sheet2!I17</f>
        <v>2077.83</v>
      </c>
      <c r="K34" s="3109"/>
      <c r="L34" s="3109"/>
      <c r="M34" s="3109"/>
      <c r="N34" s="3109"/>
      <c r="O34" s="3109"/>
      <c r="P34" s="3109"/>
      <c r="Q34" s="3058"/>
      <c r="R34" s="3058"/>
      <c r="S34" s="3058"/>
      <c r="T34" s="3058"/>
      <c r="U34" s="3058"/>
      <c r="V34" s="3058"/>
      <c r="W34" s="3058"/>
      <c r="X34" s="3058"/>
      <c r="Y34" s="3058"/>
      <c r="Z34" s="3058"/>
      <c r="AA34" s="3058"/>
      <c r="AB34" s="3058"/>
      <c r="AC34" s="35">
        <f t="shared" si="10"/>
        <v>0</v>
      </c>
      <c r="AD34" s="44"/>
      <c r="AE34" s="44"/>
      <c r="AF34" s="44"/>
      <c r="AG34" s="44"/>
      <c r="AH34" s="44"/>
      <c r="AI34" s="44"/>
      <c r="AJ34" s="44"/>
      <c r="AK34" s="44"/>
      <c r="AL34" s="44"/>
      <c r="AM34" s="44"/>
      <c r="AN34" s="44"/>
      <c r="AO34" s="44"/>
      <c r="AP34" s="44"/>
      <c r="AQ34" s="44"/>
      <c r="AR34" s="44"/>
      <c r="AS34" s="44"/>
      <c r="AT34" s="36"/>
      <c r="AU34" s="3110"/>
      <c r="AV34" s="3045">
        <f t="shared" si="11"/>
        <v>0</v>
      </c>
      <c r="AW34" s="3045">
        <f t="shared" si="12"/>
        <v>0</v>
      </c>
      <c r="AX34" s="3045" t="str">
        <f t="shared" si="13"/>
        <v>24#</v>
      </c>
      <c r="AY34" s="35">
        <f t="shared" si="14"/>
        <v>1740.48</v>
      </c>
      <c r="AZ34" s="35">
        <f t="shared" si="15"/>
        <v>3110.3100000000004</v>
      </c>
      <c r="BA34" s="35">
        <f t="shared" si="16"/>
        <v>3110.3100000000004</v>
      </c>
      <c r="BB34" s="35">
        <f>IF($D34="是",I34-J34,0)</f>
        <v>3110.3100000000004</v>
      </c>
      <c r="BC34" s="35">
        <f>IF($D34="是",K34-L34,0)</f>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35">
        <f t="shared" si="35"/>
        <v>0</v>
      </c>
    </row>
    <row r="35" spans="1:72" s="3059" customFormat="1">
      <c r="A35" s="3106"/>
      <c r="B35" s="3107"/>
      <c r="C35" s="3117" t="s">
        <v>3250</v>
      </c>
      <c r="D35" s="3112" t="s">
        <v>3110</v>
      </c>
      <c r="E35" s="35">
        <f t="shared" si="7"/>
        <v>0</v>
      </c>
      <c r="F35" s="44"/>
      <c r="G35" s="35">
        <f t="shared" si="8"/>
        <v>14803.76</v>
      </c>
      <c r="H35" s="35">
        <f>SUMIF(I$12:AB$12,"总值",I35:AB35)</f>
        <v>0</v>
      </c>
      <c r="I35" s="3109"/>
      <c r="J35" s="3109"/>
      <c r="K35" s="3109"/>
      <c r="L35" s="3109"/>
      <c r="M35" s="3109"/>
      <c r="N35" s="3109"/>
      <c r="O35" s="3109"/>
      <c r="P35" s="3109"/>
      <c r="Q35" s="3058"/>
      <c r="R35" s="3058"/>
      <c r="S35" s="3058"/>
      <c r="T35" s="3058"/>
      <c r="U35" s="3058"/>
      <c r="V35" s="3058"/>
      <c r="W35" s="3058"/>
      <c r="X35" s="3058"/>
      <c r="Y35" s="3058"/>
      <c r="Z35" s="3058"/>
      <c r="AA35" s="3058"/>
      <c r="AB35" s="3058"/>
      <c r="AC35" s="35">
        <f t="shared" si="10"/>
        <v>0</v>
      </c>
      <c r="AD35" s="44"/>
      <c r="AE35" s="44"/>
      <c r="AF35" s="44"/>
      <c r="AG35" s="44"/>
      <c r="AH35" s="44"/>
      <c r="AI35" s="44"/>
      <c r="AJ35" s="44"/>
      <c r="AK35" s="44"/>
      <c r="AL35" s="44"/>
      <c r="AM35" s="44"/>
      <c r="AN35" s="44"/>
      <c r="AO35" s="44"/>
      <c r="AP35" s="44"/>
      <c r="AQ35" s="44"/>
      <c r="AR35" s="44"/>
      <c r="AS35" s="44"/>
      <c r="AT35" s="36">
        <f>Sheet1!D27</f>
        <v>14803.76</v>
      </c>
      <c r="AU35" s="3110"/>
      <c r="AV35" s="3045">
        <f t="shared" si="11"/>
        <v>0</v>
      </c>
      <c r="AW35" s="3045">
        <f t="shared" si="12"/>
        <v>0</v>
      </c>
      <c r="AX35" s="3045" t="str">
        <f t="shared" si="13"/>
        <v>人防</v>
      </c>
      <c r="AY35" s="35">
        <f t="shared" si="14"/>
        <v>0</v>
      </c>
      <c r="AZ35" s="35">
        <f t="shared" si="15"/>
        <v>0</v>
      </c>
      <c r="BA35" s="35">
        <f t="shared" si="16"/>
        <v>0</v>
      </c>
      <c r="BB35" s="35">
        <f>IF($D35="是",I35-J35,0)</f>
        <v>0</v>
      </c>
      <c r="BC35" s="35">
        <f>IF($D35="是",K35-L35,0)</f>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35">
        <f t="shared" si="35"/>
        <v>0</v>
      </c>
    </row>
    <row r="36" spans="1:72">
      <c r="A36" s="3106"/>
      <c r="B36" s="3107"/>
      <c r="C36" s="3108" t="s">
        <v>3098</v>
      </c>
      <c r="D36" s="3112" t="s">
        <v>3069</v>
      </c>
      <c r="E36" s="35">
        <f t="shared" si="7"/>
        <v>2915.32</v>
      </c>
      <c r="F36" s="44"/>
      <c r="G36" s="35">
        <f t="shared" si="8"/>
        <v>5209.78</v>
      </c>
      <c r="H36" s="35">
        <f t="shared" si="9"/>
        <v>5209.78</v>
      </c>
      <c r="I36" s="3109"/>
      <c r="J36" s="3109"/>
      <c r="K36" s="3109">
        <f>Sheet1!D28</f>
        <v>5209.78</v>
      </c>
      <c r="L36" s="3109"/>
      <c r="M36" s="3109"/>
      <c r="N36" s="3109"/>
      <c r="O36" s="3109"/>
      <c r="P36" s="3109"/>
      <c r="Q36" s="39"/>
      <c r="R36" s="39"/>
      <c r="S36" s="39"/>
      <c r="T36" s="39"/>
      <c r="U36" s="39"/>
      <c r="V36" s="39"/>
      <c r="W36" s="39"/>
      <c r="X36" s="39"/>
      <c r="Y36" s="39"/>
      <c r="Z36" s="39"/>
      <c r="AA36" s="39"/>
      <c r="AB36" s="39"/>
      <c r="AC36" s="35">
        <f t="shared" si="10"/>
        <v>0</v>
      </c>
      <c r="AD36" s="44"/>
      <c r="AE36" s="44"/>
      <c r="AF36" s="44"/>
      <c r="AG36" s="44"/>
      <c r="AH36" s="44"/>
      <c r="AI36" s="44"/>
      <c r="AJ36" s="44"/>
      <c r="AK36" s="44"/>
      <c r="AL36" s="44"/>
      <c r="AM36" s="44"/>
      <c r="AN36" s="44"/>
      <c r="AO36" s="44"/>
      <c r="AP36" s="44"/>
      <c r="AQ36" s="44"/>
      <c r="AR36" s="44"/>
      <c r="AS36" s="44"/>
      <c r="AT36" s="36"/>
      <c r="AU36" s="3110"/>
      <c r="AV36" s="3045">
        <f t="shared" si="11"/>
        <v>0</v>
      </c>
      <c r="AW36" s="3045">
        <f t="shared" si="12"/>
        <v>0</v>
      </c>
      <c r="AX36" s="3045" t="str">
        <f t="shared" si="13"/>
        <v>16#</v>
      </c>
      <c r="AY36" s="35">
        <f t="shared" si="14"/>
        <v>2915.32</v>
      </c>
      <c r="AZ36" s="35">
        <f t="shared" si="15"/>
        <v>5209.78</v>
      </c>
      <c r="BA36" s="35">
        <f t="shared" si="16"/>
        <v>5209.78</v>
      </c>
      <c r="BB36" s="35">
        <f t="shared" si="17"/>
        <v>0</v>
      </c>
      <c r="BC36" s="35">
        <f t="shared" si="18"/>
        <v>5209.78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35">
        <f t="shared" si="35"/>
        <v>0</v>
      </c>
    </row>
    <row r="37" spans="1:72">
      <c r="A37" s="3106"/>
      <c r="B37" s="3107"/>
      <c r="C37" s="3111" t="s">
        <v>3100</v>
      </c>
      <c r="D37" s="3112" t="s">
        <v>3069</v>
      </c>
      <c r="E37" s="35">
        <f t="shared" si="7"/>
        <v>2915.32</v>
      </c>
      <c r="F37" s="44"/>
      <c r="G37" s="35">
        <f t="shared" si="8"/>
        <v>5209.78</v>
      </c>
      <c r="H37" s="35">
        <f t="shared" si="9"/>
        <v>5209.78</v>
      </c>
      <c r="I37" s="3109"/>
      <c r="J37" s="3109"/>
      <c r="K37" s="3109">
        <f>Sheet1!D29</f>
        <v>5209.78</v>
      </c>
      <c r="L37" s="3109"/>
      <c r="M37" s="3109"/>
      <c r="N37" s="3109"/>
      <c r="O37" s="3109"/>
      <c r="P37" s="3109"/>
      <c r="Q37" s="39"/>
      <c r="R37" s="39"/>
      <c r="S37" s="39"/>
      <c r="T37" s="39"/>
      <c r="U37" s="39"/>
      <c r="V37" s="39"/>
      <c r="W37" s="39"/>
      <c r="X37" s="39"/>
      <c r="Y37" s="39"/>
      <c r="Z37" s="39"/>
      <c r="AA37" s="39"/>
      <c r="AB37" s="39"/>
      <c r="AC37" s="35">
        <f t="shared" si="10"/>
        <v>0</v>
      </c>
      <c r="AD37" s="44"/>
      <c r="AE37" s="44"/>
      <c r="AF37" s="44"/>
      <c r="AG37" s="44"/>
      <c r="AH37" s="44"/>
      <c r="AI37" s="44"/>
      <c r="AJ37" s="44"/>
      <c r="AK37" s="44"/>
      <c r="AL37" s="44"/>
      <c r="AM37" s="44"/>
      <c r="AN37" s="44"/>
      <c r="AO37" s="44"/>
      <c r="AP37" s="44"/>
      <c r="AQ37" s="44"/>
      <c r="AR37" s="44"/>
      <c r="AS37" s="44"/>
      <c r="AT37" s="36"/>
      <c r="AU37" s="3110"/>
      <c r="AV37" s="1526">
        <f t="shared" si="11"/>
        <v>0</v>
      </c>
      <c r="AW37" s="1526">
        <f t="shared" si="12"/>
        <v>0</v>
      </c>
      <c r="AX37" s="3045" t="str">
        <f t="shared" si="13"/>
        <v>18#</v>
      </c>
      <c r="AY37" s="35">
        <f t="shared" si="14"/>
        <v>2915.32</v>
      </c>
      <c r="AZ37" s="35">
        <f t="shared" si="15"/>
        <v>5209.78</v>
      </c>
      <c r="BA37" s="35">
        <f t="shared" si="16"/>
        <v>5209.78</v>
      </c>
      <c r="BB37" s="35">
        <f t="shared" si="17"/>
        <v>0</v>
      </c>
      <c r="BC37" s="35">
        <f t="shared" si="18"/>
        <v>5209.78</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35">
        <f t="shared" si="35"/>
        <v>0</v>
      </c>
    </row>
    <row r="38" spans="1:72">
      <c r="A38" s="9"/>
      <c r="B38" s="34"/>
      <c r="C38" s="3060" t="s">
        <v>3102</v>
      </c>
      <c r="D38" s="3112" t="s">
        <v>3069</v>
      </c>
      <c r="E38" s="35">
        <f t="shared" si="7"/>
        <v>2915.32</v>
      </c>
      <c r="F38" s="36"/>
      <c r="G38" s="35">
        <f t="shared" si="8"/>
        <v>5209.78</v>
      </c>
      <c r="H38" s="35">
        <f t="shared" si="9"/>
        <v>5209.78</v>
      </c>
      <c r="I38" s="39"/>
      <c r="J38" s="39"/>
      <c r="K38" s="3109">
        <f>Sheet1!D30</f>
        <v>5209.78</v>
      </c>
      <c r="L38" s="39"/>
      <c r="M38" s="39"/>
      <c r="N38" s="39"/>
      <c r="O38" s="39"/>
      <c r="P38" s="39"/>
      <c r="Q38" s="39"/>
      <c r="R38" s="39"/>
      <c r="S38" s="39"/>
      <c r="T38" s="39"/>
      <c r="U38" s="39"/>
      <c r="V38" s="39"/>
      <c r="W38" s="39"/>
      <c r="X38" s="39"/>
      <c r="Y38" s="39"/>
      <c r="Z38" s="39"/>
      <c r="AA38" s="39"/>
      <c r="AB38" s="39"/>
      <c r="AC38" s="35">
        <f t="shared" si="10"/>
        <v>0</v>
      </c>
      <c r="AD38" s="44"/>
      <c r="AE38" s="44"/>
      <c r="AF38" s="44"/>
      <c r="AG38" s="44"/>
      <c r="AH38" s="44"/>
      <c r="AI38" s="44"/>
      <c r="AJ38" s="44"/>
      <c r="AK38" s="44"/>
      <c r="AL38" s="44"/>
      <c r="AM38" s="44"/>
      <c r="AN38" s="44"/>
      <c r="AO38" s="44"/>
      <c r="AP38" s="44"/>
      <c r="AQ38" s="44"/>
      <c r="AR38" s="44"/>
      <c r="AS38" s="44"/>
      <c r="AT38" s="36"/>
      <c r="AU38" s="3110"/>
      <c r="AV38" s="1526">
        <f t="shared" si="11"/>
        <v>0</v>
      </c>
      <c r="AW38" s="1526">
        <f t="shared" si="12"/>
        <v>0</v>
      </c>
      <c r="AX38" s="3045" t="str">
        <f t="shared" si="13"/>
        <v>20#</v>
      </c>
      <c r="AY38" s="42">
        <f t="shared" si="14"/>
        <v>2915.32</v>
      </c>
      <c r="AZ38" s="35">
        <f t="shared" si="15"/>
        <v>5209.78</v>
      </c>
      <c r="BA38" s="35">
        <f t="shared" si="16"/>
        <v>5209.78</v>
      </c>
      <c r="BB38" s="35">
        <f t="shared" si="17"/>
        <v>0</v>
      </c>
      <c r="BC38" s="35">
        <f t="shared" si="18"/>
        <v>5209.78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060" t="s">
        <v>3104</v>
      </c>
      <c r="D39" s="3112" t="s">
        <v>3069</v>
      </c>
      <c r="E39" s="35">
        <f t="shared" si="7"/>
        <v>3489.75</v>
      </c>
      <c r="F39" s="36"/>
      <c r="G39" s="37">
        <f t="shared" si="8"/>
        <v>6236.31</v>
      </c>
      <c r="H39" s="38">
        <f t="shared" si="9"/>
        <v>6236.31</v>
      </c>
      <c r="I39" s="39"/>
      <c r="J39" s="39"/>
      <c r="K39" s="3109">
        <f>Sheet1!D31</f>
        <v>6236.31</v>
      </c>
      <c r="L39" s="39"/>
      <c r="M39" s="39"/>
      <c r="N39" s="39"/>
      <c r="O39" s="39"/>
      <c r="P39" s="39"/>
      <c r="Q39" s="39"/>
      <c r="R39" s="39"/>
      <c r="S39" s="39"/>
      <c r="T39" s="39"/>
      <c r="U39" s="39"/>
      <c r="V39" s="39"/>
      <c r="W39" s="39"/>
      <c r="X39" s="39"/>
      <c r="Y39" s="39"/>
      <c r="Z39" s="39"/>
      <c r="AA39" s="39"/>
      <c r="AB39" s="39"/>
      <c r="AC39" s="35">
        <f t="shared" si="10"/>
        <v>0</v>
      </c>
      <c r="AD39" s="44"/>
      <c r="AE39" s="44"/>
      <c r="AF39" s="44"/>
      <c r="AG39" s="44"/>
      <c r="AH39" s="44"/>
      <c r="AI39" s="44"/>
      <c r="AJ39" s="44"/>
      <c r="AK39" s="44"/>
      <c r="AL39" s="44"/>
      <c r="AM39" s="44"/>
      <c r="AN39" s="44"/>
      <c r="AO39" s="44"/>
      <c r="AP39" s="44"/>
      <c r="AQ39" s="44"/>
      <c r="AR39" s="44"/>
      <c r="AS39" s="44"/>
      <c r="AT39" s="36"/>
      <c r="AU39" s="3110"/>
      <c r="AV39" s="1526">
        <f t="shared" si="11"/>
        <v>0</v>
      </c>
      <c r="AW39" s="1526">
        <f t="shared" si="12"/>
        <v>0</v>
      </c>
      <c r="AX39" s="1526" t="str">
        <f t="shared" si="13"/>
        <v>22#</v>
      </c>
      <c r="AY39" s="42">
        <f t="shared" si="14"/>
        <v>3489.75</v>
      </c>
      <c r="AZ39" s="35">
        <f t="shared" si="15"/>
        <v>6236.31</v>
      </c>
      <c r="BA39" s="35">
        <f t="shared" si="16"/>
        <v>6236.31</v>
      </c>
      <c r="BB39" s="35">
        <f t="shared" si="17"/>
        <v>0</v>
      </c>
      <c r="BC39" s="35">
        <f t="shared" si="18"/>
        <v>6236.31</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060" t="s">
        <v>3105</v>
      </c>
      <c r="D40" s="3112" t="s">
        <v>3069</v>
      </c>
      <c r="E40" s="35">
        <f t="shared" si="7"/>
        <v>2873.11</v>
      </c>
      <c r="F40" s="36"/>
      <c r="G40" s="37">
        <f t="shared" si="8"/>
        <v>5134.3500000000004</v>
      </c>
      <c r="H40" s="38">
        <f t="shared" si="9"/>
        <v>5134.3500000000004</v>
      </c>
      <c r="I40" s="39"/>
      <c r="J40" s="39"/>
      <c r="K40" s="3109">
        <f>Sheet1!D32</f>
        <v>5134.3500000000004</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6">
        <f t="shared" si="11"/>
        <v>0</v>
      </c>
      <c r="AW40" s="1526">
        <f t="shared" si="12"/>
        <v>0</v>
      </c>
      <c r="AX40" s="1526" t="str">
        <f t="shared" si="13"/>
        <v>23#</v>
      </c>
      <c r="AY40" s="42">
        <f t="shared" si="14"/>
        <v>2873.11</v>
      </c>
      <c r="AZ40" s="35">
        <f t="shared" si="15"/>
        <v>5134.3500000000004</v>
      </c>
      <c r="BA40" s="35">
        <f t="shared" si="16"/>
        <v>5134.3500000000004</v>
      </c>
      <c r="BB40" s="35">
        <f t="shared" si="17"/>
        <v>0</v>
      </c>
      <c r="BC40" s="35">
        <f t="shared" si="18"/>
        <v>5134.3500000000004</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0" t="s">
        <v>0</v>
      </c>
      <c r="B1" s="3230" t="s">
        <v>4</v>
      </c>
      <c r="C1" s="3230" t="s">
        <v>5</v>
      </c>
      <c r="D1" s="3231" t="s">
        <v>53</v>
      </c>
      <c r="E1" s="3231" t="s">
        <v>54</v>
      </c>
      <c r="F1" s="3231"/>
      <c r="G1" s="3231"/>
      <c r="H1" s="3231"/>
      <c r="I1" s="3231"/>
      <c r="J1" s="3231"/>
      <c r="K1" s="3231"/>
      <c r="L1" s="3231"/>
      <c r="M1" s="3231"/>
    </row>
    <row r="2" spans="1:13" ht="27" customHeight="1">
      <c r="A2" s="3230"/>
      <c r="B2" s="3230"/>
      <c r="C2" s="3230"/>
      <c r="D2" s="3231"/>
      <c r="E2" s="3231" t="s">
        <v>37</v>
      </c>
      <c r="F2" s="3231" t="s">
        <v>38</v>
      </c>
      <c r="G2" s="3231"/>
      <c r="H2" s="3231"/>
      <c r="I2" s="3231"/>
      <c r="J2" s="3231" t="s">
        <v>39</v>
      </c>
      <c r="K2" s="3231"/>
      <c r="L2" s="3231"/>
      <c r="M2" s="3231"/>
    </row>
    <row r="3" spans="1:13" ht="28.5">
      <c r="A3" s="3230"/>
      <c r="B3" s="3230"/>
      <c r="C3" s="3230"/>
      <c r="D3" s="3231"/>
      <c r="E3" s="32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1" t="s">
        <v>55</v>
      </c>
      <c r="B9" s="3231"/>
      <c r="C9" s="32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66"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241" t="s">
        <v>1816</v>
      </c>
      <c r="B2" s="3241"/>
      <c r="C2" s="3241"/>
      <c r="D2" s="902" t="s">
        <v>1792</v>
      </c>
      <c r="E2" s="1822" t="s">
        <v>1793</v>
      </c>
      <c r="F2" s="2876"/>
      <c r="G2" s="2867"/>
      <c r="H2" s="2868"/>
      <c r="I2" s="2542" t="s">
        <v>1817</v>
      </c>
      <c r="J2" s="2876"/>
      <c r="K2" s="2876"/>
      <c r="L2" s="2876"/>
      <c r="M2" s="2876"/>
      <c r="N2" s="2878"/>
      <c r="O2" s="2876"/>
      <c r="P2" s="2876"/>
    </row>
    <row r="3" spans="1:16" ht="15.75" thickBot="1">
      <c r="A3" s="3242" t="s">
        <v>1790</v>
      </c>
      <c r="B3" s="3242"/>
      <c r="C3" s="3242"/>
      <c r="D3" s="46">
        <f>'数据-基础表'!AY6</f>
        <v>30643.66</v>
      </c>
      <c r="E3" s="46">
        <f>'数据-基础表'!AZ5</f>
        <v>54761.34</v>
      </c>
      <c r="F3" s="2876"/>
      <c r="G3" s="1305"/>
      <c r="H3" s="1155" t="s">
        <v>1791</v>
      </c>
      <c r="I3" s="962">
        <f>ROUND('数据-基础表'!B3/'数据-基础表'!A3,2)</f>
        <v>1.79</v>
      </c>
      <c r="J3" s="2876"/>
      <c r="K3" s="2876"/>
      <c r="L3" s="2876"/>
      <c r="M3" s="2876"/>
      <c r="N3" s="2878"/>
      <c r="O3" s="2876"/>
      <c r="P3" s="2876"/>
    </row>
    <row r="4" spans="1:16" ht="15">
      <c r="A4" s="3243"/>
      <c r="B4" s="3244"/>
      <c r="C4" s="3245"/>
      <c r="D4" s="1824" t="s">
        <v>1792</v>
      </c>
      <c r="E4" s="1825" t="s">
        <v>1793</v>
      </c>
      <c r="F4" s="2876"/>
      <c r="G4" s="2869" t="s">
        <v>1818</v>
      </c>
      <c r="H4" s="1155" t="s">
        <v>1798</v>
      </c>
      <c r="I4" s="962">
        <f>ROUND(SUMIF('数据-基础表'!I9:AS9,"地上",'数据-基础表'!I5:AS5)/'数据-基础表'!A3,2)</f>
        <v>1.36</v>
      </c>
      <c r="J4" s="2876"/>
      <c r="K4" s="2876"/>
      <c r="L4" s="2876"/>
      <c r="M4" s="2876"/>
      <c r="N4" s="2878"/>
      <c r="O4" s="2876"/>
      <c r="P4" s="2876"/>
    </row>
    <row r="5" spans="1:16">
      <c r="A5" s="47" t="s">
        <v>1794</v>
      </c>
      <c r="B5" s="3246" t="s">
        <v>1795</v>
      </c>
      <c r="C5" s="3246"/>
      <c r="D5" s="48">
        <f>ROUND($D$3*E5/$E$3,2)</f>
        <v>30643.66</v>
      </c>
      <c r="E5" s="49">
        <f>SUMIF('数据-基础表'!$11:$11,"住宅",'数据-基础表'!$5:$5)</f>
        <v>54761.34</v>
      </c>
      <c r="F5" s="2876"/>
      <c r="G5" s="1305"/>
      <c r="H5" s="1155" t="s">
        <v>1791</v>
      </c>
      <c r="I5" s="962">
        <f>ROUND(E31/D31,2)</f>
        <v>1.79</v>
      </c>
      <c r="J5" s="2876"/>
      <c r="K5" s="2876"/>
      <c r="L5" s="2876"/>
      <c r="M5" s="2876"/>
      <c r="N5" s="2876"/>
      <c r="O5" s="2876"/>
      <c r="P5" s="2876"/>
    </row>
    <row r="6" spans="1:16" ht="15" thickBot="1">
      <c r="A6" s="1827"/>
      <c r="B6" s="3246" t="s">
        <v>1796</v>
      </c>
      <c r="C6" s="3246"/>
      <c r="D6" s="48">
        <f>ROUND($D$3*E6/$E$3,2)</f>
        <v>0</v>
      </c>
      <c r="E6" s="49">
        <f>E3-E5</f>
        <v>0</v>
      </c>
      <c r="F6" s="2876"/>
      <c r="G6" s="2870" t="s">
        <v>1797</v>
      </c>
      <c r="H6" s="1306" t="s">
        <v>1798</v>
      </c>
      <c r="I6" s="2871">
        <f>ROUND(F31/D31,2)</f>
        <v>1.79</v>
      </c>
      <c r="J6" s="2876"/>
      <c r="K6" s="2876"/>
      <c r="L6" s="2876"/>
      <c r="M6" s="2876"/>
      <c r="N6" s="2876"/>
      <c r="O6" s="2876"/>
      <c r="P6" s="2876"/>
    </row>
    <row r="7" spans="1:16" ht="15.75" thickBot="1">
      <c r="A7" s="3238"/>
      <c r="B7" s="3239"/>
      <c r="C7" s="3240"/>
      <c r="D7" s="1824" t="s">
        <v>1792</v>
      </c>
      <c r="E7" s="1828" t="s">
        <v>1799</v>
      </c>
      <c r="F7" s="2876"/>
      <c r="G7" s="2872" t="s">
        <v>1800</v>
      </c>
      <c r="H7" s="2873"/>
      <c r="I7" s="2874"/>
      <c r="J7" s="2876"/>
      <c r="K7" s="2876"/>
      <c r="L7" s="2876"/>
      <c r="M7" s="2876"/>
      <c r="N7" s="2876"/>
      <c r="O7" s="2876"/>
      <c r="P7" s="2876"/>
    </row>
    <row r="8" spans="1:16">
      <c r="A8" s="47" t="s">
        <v>1801</v>
      </c>
      <c r="B8" s="50" t="s">
        <v>1802</v>
      </c>
      <c r="C8" s="48" t="s">
        <v>1803</v>
      </c>
      <c r="D8" s="48">
        <f t="shared" ref="D8:D15" si="0">ROUND($D$3*E8/$E$3,2)</f>
        <v>30643.66</v>
      </c>
      <c r="E8" s="51">
        <f>SUMIF('数据-基础表'!BB10:BK10,"地上",'数据-基础表'!BB5:BK5)</f>
        <v>54761.34</v>
      </c>
      <c r="F8" s="2876"/>
      <c r="G8" s="2877"/>
      <c r="H8" s="2877"/>
      <c r="I8" s="2876"/>
      <c r="J8" s="2876"/>
      <c r="K8" s="2876"/>
      <c r="L8" s="2876"/>
      <c r="M8" s="2876"/>
      <c r="N8" s="2876"/>
      <c r="O8" s="2876"/>
      <c r="P8" s="2876"/>
    </row>
    <row r="9" spans="1:16">
      <c r="A9" s="1829"/>
      <c r="B9" s="1830"/>
      <c r="C9" s="48" t="s">
        <v>1804</v>
      </c>
      <c r="D9" s="48">
        <f t="shared" si="0"/>
        <v>0</v>
      </c>
      <c r="E9" s="52">
        <v>0</v>
      </c>
      <c r="F9" s="2876"/>
      <c r="G9" s="2877"/>
      <c r="H9" s="2877"/>
      <c r="I9" s="2876"/>
      <c r="J9" s="2876"/>
      <c r="K9" s="2876"/>
      <c r="L9" s="2876"/>
      <c r="M9" s="2876"/>
      <c r="N9" s="2876"/>
      <c r="O9" s="2876"/>
      <c r="P9" s="2876"/>
    </row>
    <row r="10" spans="1:16">
      <c r="A10" s="1829"/>
      <c r="B10" s="1830"/>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9"/>
      <c r="B11" s="1830"/>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9"/>
      <c r="B12" s="1830"/>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9"/>
      <c r="B13" s="1830"/>
      <c r="C13" s="48" t="s">
        <v>1807</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9"/>
      <c r="B14" s="1830"/>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9"/>
      <c r="B15" s="1830"/>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7"/>
      <c r="B16" s="1830"/>
      <c r="C16" s="50" t="s">
        <v>1808</v>
      </c>
      <c r="D16" s="50">
        <f>SUM(D8:D15)</f>
        <v>30643.66</v>
      </c>
      <c r="E16" s="53">
        <f>SUM(E8:E15)</f>
        <v>54761.34</v>
      </c>
      <c r="F16" s="2876"/>
      <c r="G16" s="2877"/>
      <c r="H16" s="1831" t="s">
        <v>1820</v>
      </c>
      <c r="I16" s="1832"/>
      <c r="J16" s="1299"/>
      <c r="K16" s="3235" t="s">
        <v>1820</v>
      </c>
      <c r="L16" s="3236"/>
      <c r="M16" s="3236"/>
      <c r="N16" s="3236"/>
      <c r="O16" s="3236"/>
      <c r="P16" s="3237"/>
    </row>
    <row r="17" spans="1:19" ht="15">
      <c r="A17" s="1833" t="s">
        <v>1821</v>
      </c>
      <c r="B17" s="1834" t="s">
        <v>1822</v>
      </c>
      <c r="C17" s="1835" t="s">
        <v>1823</v>
      </c>
      <c r="D17" s="1836" t="s">
        <v>1811</v>
      </c>
      <c r="E17" s="1837" t="s">
        <v>1812</v>
      </c>
      <c r="F17" s="1838"/>
      <c r="G17" s="1839"/>
      <c r="H17" s="1840" t="s">
        <v>1824</v>
      </c>
      <c r="I17" s="1841" t="s">
        <v>1809</v>
      </c>
      <c r="J17" s="1299"/>
      <c r="K17" s="3232" t="s">
        <v>1825</v>
      </c>
      <c r="L17" s="3233"/>
      <c r="M17" s="3234"/>
      <c r="N17" s="3232" t="s">
        <v>1826</v>
      </c>
      <c r="O17" s="3233"/>
      <c r="P17" s="3234"/>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061" t="s">
        <v>3342</v>
      </c>
      <c r="D19" s="48">
        <f>ROUND($D$3*E19/$E$3,2)</f>
        <v>15534.85</v>
      </c>
      <c r="E19" s="56">
        <f t="shared" ref="E19:E26" si="1">SUM(F19:G19)</f>
        <v>27761.340000000026</v>
      </c>
      <c r="F19" s="3015">
        <f>'数据-基础表'!I5-'数据-基础表'!J5</f>
        <v>27761.340000000026</v>
      </c>
      <c r="G19" s="3016"/>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1"/>
      <c r="O19" s="1852"/>
      <c r="P19" s="1310">
        <f>N19+O19</f>
        <v>0</v>
      </c>
      <c r="R19" s="1155">
        <f t="shared" ref="R19:S26" si="5">D19+H19</f>
        <v>15534.85</v>
      </c>
      <c r="S19" s="1156">
        <f t="shared" si="5"/>
        <v>27761.340000000026</v>
      </c>
    </row>
    <row r="20" spans="1:19">
      <c r="A20" s="1853"/>
      <c r="B20" s="50" t="s">
        <v>1838</v>
      </c>
      <c r="C20" s="3061" t="s">
        <v>3344</v>
      </c>
      <c r="D20" s="48">
        <f t="shared" ref="D20:D26" si="6">ROUND($D$3*E20/$E$3,2)</f>
        <v>15108.81</v>
      </c>
      <c r="E20" s="56">
        <f t="shared" si="1"/>
        <v>27000</v>
      </c>
      <c r="F20" s="3015">
        <f>'数据-基础表'!K5</f>
        <v>27000</v>
      </c>
      <c r="G20" s="3016"/>
      <c r="H20" s="678">
        <f t="shared" ref="H20:H26" si="7">ROUND($D$3*I20/$E$3,2)</f>
        <v>0</v>
      </c>
      <c r="I20" s="51">
        <f t="shared" si="2"/>
        <v>0</v>
      </c>
      <c r="J20" s="1299"/>
      <c r="K20" s="1298">
        <f t="shared" si="3"/>
        <v>0</v>
      </c>
      <c r="L20" s="1155">
        <f t="shared" si="4"/>
        <v>0</v>
      </c>
      <c r="M20" s="1310">
        <f t="shared" ref="M20:M26" si="8">K20+L20</f>
        <v>0</v>
      </c>
      <c r="N20" s="1851"/>
      <c r="O20" s="1852"/>
      <c r="P20" s="1310">
        <f t="shared" ref="P20:P26" si="9">N20+O20</f>
        <v>0</v>
      </c>
      <c r="R20" s="1155">
        <f t="shared" si="5"/>
        <v>15108.81</v>
      </c>
      <c r="S20" s="1156">
        <f t="shared" si="5"/>
        <v>27000</v>
      </c>
    </row>
    <row r="21" spans="1:19">
      <c r="A21" s="1853"/>
      <c r="B21" s="50" t="s">
        <v>1838</v>
      </c>
      <c r="C21" s="3061" t="s">
        <v>3109</v>
      </c>
      <c r="D21" s="48">
        <f t="shared" si="6"/>
        <v>0</v>
      </c>
      <c r="E21" s="56">
        <f t="shared" si="1"/>
        <v>0</v>
      </c>
      <c r="F21" s="3015"/>
      <c r="G21" s="3016"/>
      <c r="H21" s="678">
        <f t="shared" si="7"/>
        <v>0</v>
      </c>
      <c r="I21" s="51">
        <f t="shared" si="2"/>
        <v>0</v>
      </c>
      <c r="J21" s="1299"/>
      <c r="K21" s="1298">
        <f t="shared" si="3"/>
        <v>0</v>
      </c>
      <c r="L21" s="1155">
        <f t="shared" si="4"/>
        <v>0</v>
      </c>
      <c r="M21" s="1310">
        <f t="shared" si="8"/>
        <v>0</v>
      </c>
      <c r="N21" s="1851"/>
      <c r="O21" s="1852"/>
      <c r="P21" s="1310">
        <f t="shared" si="9"/>
        <v>0</v>
      </c>
      <c r="R21" s="1155">
        <f t="shared" si="5"/>
        <v>0</v>
      </c>
      <c r="S21" s="1156">
        <f t="shared" si="5"/>
        <v>0</v>
      </c>
    </row>
    <row r="22" spans="1:19">
      <c r="A22" s="1853"/>
      <c r="B22" s="50" t="s">
        <v>1838</v>
      </c>
      <c r="C22" s="58"/>
      <c r="D22" s="48">
        <f t="shared" si="6"/>
        <v>0</v>
      </c>
      <c r="E22" s="56">
        <f t="shared" si="1"/>
        <v>0</v>
      </c>
      <c r="F22" s="3017"/>
      <c r="G22" s="3018"/>
      <c r="H22" s="678">
        <f t="shared" si="7"/>
        <v>0</v>
      </c>
      <c r="I22" s="51">
        <f t="shared" si="2"/>
        <v>0</v>
      </c>
      <c r="J22" s="1299"/>
      <c r="K22" s="1298">
        <f t="shared" si="3"/>
        <v>0</v>
      </c>
      <c r="L22" s="1155">
        <f t="shared" si="4"/>
        <v>0</v>
      </c>
      <c r="M22" s="1310">
        <f t="shared" si="8"/>
        <v>0</v>
      </c>
      <c r="N22" s="1851"/>
      <c r="O22" s="1852"/>
      <c r="P22" s="1310">
        <f t="shared" si="9"/>
        <v>0</v>
      </c>
      <c r="R22" s="1155">
        <f t="shared" si="5"/>
        <v>0</v>
      </c>
      <c r="S22" s="1156">
        <f t="shared" si="5"/>
        <v>0</v>
      </c>
    </row>
    <row r="23" spans="1:19">
      <c r="A23" s="1853"/>
      <c r="B23" s="50" t="s">
        <v>1838</v>
      </c>
      <c r="C23" s="58"/>
      <c r="D23" s="48">
        <f>ROUND($D$3*E23/$E$3,2)</f>
        <v>0</v>
      </c>
      <c r="E23" s="56">
        <f>SUM(F23:G23)</f>
        <v>0</v>
      </c>
      <c r="F23" s="3017"/>
      <c r="G23" s="3018"/>
      <c r="H23" s="678">
        <f>ROUND($D$3*I23/$E$3,2)</f>
        <v>0</v>
      </c>
      <c r="I23" s="51">
        <f t="shared" si="2"/>
        <v>0</v>
      </c>
      <c r="J23" s="1299"/>
      <c r="K23" s="1298">
        <f t="shared" si="3"/>
        <v>0</v>
      </c>
      <c r="L23" s="1155">
        <f t="shared" si="4"/>
        <v>0</v>
      </c>
      <c r="M23" s="1310">
        <f t="shared" si="8"/>
        <v>0</v>
      </c>
      <c r="N23" s="1851"/>
      <c r="O23" s="1852"/>
      <c r="P23" s="1310">
        <f t="shared" si="9"/>
        <v>0</v>
      </c>
      <c r="R23" s="1155">
        <f t="shared" si="5"/>
        <v>0</v>
      </c>
      <c r="S23" s="1156">
        <f t="shared" si="5"/>
        <v>0</v>
      </c>
    </row>
    <row r="24" spans="1:19">
      <c r="A24" s="1853"/>
      <c r="B24" s="50" t="s">
        <v>1838</v>
      </c>
      <c r="C24" s="58"/>
      <c r="D24" s="48">
        <f>ROUND($D$3*E24/$E$3,2)</f>
        <v>0</v>
      </c>
      <c r="E24" s="56">
        <f>SUM(F24:G24)</f>
        <v>0</v>
      </c>
      <c r="F24" s="3017"/>
      <c r="G24" s="3018"/>
      <c r="H24" s="678">
        <f>ROUND($D$3*I24/$E$3,2)</f>
        <v>0</v>
      </c>
      <c r="I24" s="51">
        <f t="shared" si="2"/>
        <v>0</v>
      </c>
      <c r="J24" s="1299"/>
      <c r="K24" s="1298">
        <f t="shared" si="3"/>
        <v>0</v>
      </c>
      <c r="L24" s="1155">
        <f t="shared" si="4"/>
        <v>0</v>
      </c>
      <c r="M24" s="1310">
        <f t="shared" si="8"/>
        <v>0</v>
      </c>
      <c r="N24" s="1851"/>
      <c r="O24" s="1852"/>
      <c r="P24" s="1310">
        <f t="shared" si="9"/>
        <v>0</v>
      </c>
      <c r="R24" s="1155">
        <f t="shared" si="5"/>
        <v>0</v>
      </c>
      <c r="S24" s="1156">
        <f t="shared" si="5"/>
        <v>0</v>
      </c>
    </row>
    <row r="25" spans="1:19">
      <c r="A25" s="1853"/>
      <c r="B25" s="50" t="s">
        <v>1838</v>
      </c>
      <c r="C25" s="58"/>
      <c r="D25" s="48">
        <f t="shared" si="6"/>
        <v>0</v>
      </c>
      <c r="E25" s="56">
        <f t="shared" si="1"/>
        <v>0</v>
      </c>
      <c r="F25" s="3017"/>
      <c r="G25" s="3018"/>
      <c r="H25" s="47">
        <f t="shared" si="7"/>
        <v>0</v>
      </c>
      <c r="I25" s="51">
        <f t="shared" si="2"/>
        <v>0</v>
      </c>
      <c r="J25" s="1299"/>
      <c r="K25" s="1298">
        <f t="shared" si="3"/>
        <v>0</v>
      </c>
      <c r="L25" s="1155">
        <f t="shared" si="4"/>
        <v>0</v>
      </c>
      <c r="M25" s="1310">
        <f t="shared" si="8"/>
        <v>0</v>
      </c>
      <c r="N25" s="1851"/>
      <c r="O25" s="1852"/>
      <c r="P25" s="1310">
        <f t="shared" si="9"/>
        <v>0</v>
      </c>
      <c r="R25" s="1155">
        <f t="shared" si="5"/>
        <v>0</v>
      </c>
      <c r="S25" s="1156">
        <f t="shared" si="5"/>
        <v>0</v>
      </c>
    </row>
    <row r="26" spans="1:19">
      <c r="A26" s="1853"/>
      <c r="B26" s="50" t="s">
        <v>1838</v>
      </c>
      <c r="C26" s="59"/>
      <c r="D26" s="48">
        <f t="shared" si="6"/>
        <v>0</v>
      </c>
      <c r="E26" s="56">
        <f t="shared" si="1"/>
        <v>0</v>
      </c>
      <c r="F26" s="3017"/>
      <c r="G26" s="3018"/>
      <c r="H26" s="47">
        <f t="shared" si="7"/>
        <v>0</v>
      </c>
      <c r="I26" s="51">
        <f t="shared" si="2"/>
        <v>0</v>
      </c>
      <c r="J26" s="1299"/>
      <c r="K26" s="1305">
        <f t="shared" si="3"/>
        <v>0</v>
      </c>
      <c r="L26" s="1306">
        <f t="shared" si="4"/>
        <v>0</v>
      </c>
      <c r="M26" s="63">
        <f t="shared" si="8"/>
        <v>0</v>
      </c>
      <c r="N26" s="1854"/>
      <c r="O26" s="1855"/>
      <c r="P26" s="63">
        <f t="shared" si="9"/>
        <v>0</v>
      </c>
      <c r="R26" s="1155">
        <f t="shared" si="5"/>
        <v>0</v>
      </c>
      <c r="S26" s="1156">
        <f t="shared" si="5"/>
        <v>0</v>
      </c>
    </row>
    <row r="27" spans="1:19" ht="15.75" thickBot="1">
      <c r="A27" s="1853"/>
      <c r="B27" s="48"/>
      <c r="C27" s="1856" t="s">
        <v>1839</v>
      </c>
      <c r="D27" s="1300">
        <f>SUM(D19:D26)</f>
        <v>30643.66</v>
      </c>
      <c r="E27" s="1301">
        <f>IF(SUM(E19:E26)='数据-基础表'!BA5,SUM(E19:E26),IF(F27="地上面积有误","面积有误","地下面积有误"))</f>
        <v>54761.340000000026</v>
      </c>
      <c r="F27" s="1300">
        <f>IF(SUM(F19:F26)=E8,SUM(F19:F26),"地上面积有误")</f>
        <v>54761.340000000026</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30643.66</v>
      </c>
      <c r="S27" s="1155">
        <f>IF(SUM(S19:S26)=$E$3,SUM(S19:S26),SUM(S19:S26)&amp;"误差"&amp;ROUND(SUM(S19:S26)-E3,2))</f>
        <v>54761.340000000026</v>
      </c>
    </row>
    <row r="28" spans="1:19">
      <c r="A28" s="1853"/>
      <c r="B28" s="50" t="s">
        <v>1840</v>
      </c>
      <c r="C28" s="1167" t="s">
        <v>1841</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3"/>
      <c r="B30" s="50"/>
      <c r="C30" s="1858" t="s">
        <v>1839</v>
      </c>
      <c r="D30" s="1300">
        <f>SUM(D28:D29)</f>
        <v>0</v>
      </c>
      <c r="E30" s="1300">
        <f>SUM(E28:E29)</f>
        <v>0</v>
      </c>
      <c r="F30" s="1300">
        <f>SUM(F28:F29)</f>
        <v>0</v>
      </c>
      <c r="G30" s="1302">
        <f>SUM(G28:G29)</f>
        <v>0</v>
      </c>
      <c r="H30" s="2876"/>
      <c r="I30" s="2876"/>
      <c r="J30" s="2876"/>
      <c r="K30" s="2876"/>
      <c r="L30" s="2876"/>
      <c r="M30" s="2876"/>
      <c r="N30" s="2876"/>
      <c r="O30" s="2876"/>
      <c r="P30" s="2876"/>
    </row>
    <row r="31" spans="1:19" ht="15.75" thickBot="1">
      <c r="A31" s="1859"/>
      <c r="B31" s="1860"/>
      <c r="C31" s="942" t="s">
        <v>1843</v>
      </c>
      <c r="D31" s="684">
        <f>D27+D30</f>
        <v>30643.66</v>
      </c>
      <c r="E31" s="684">
        <f>E27+E30</f>
        <v>54761.340000000026</v>
      </c>
      <c r="F31" s="685">
        <f>F27+F30</f>
        <v>54761.340000000026</v>
      </c>
      <c r="G31" s="686">
        <f>G27+G30</f>
        <v>0</v>
      </c>
      <c r="H31" s="2876"/>
      <c r="I31" s="2876"/>
      <c r="J31" s="2876"/>
      <c r="K31" s="2876"/>
      <c r="L31" s="2876"/>
      <c r="M31" s="2876"/>
      <c r="N31" s="2876"/>
      <c r="O31" s="2876"/>
      <c r="P31" s="2876"/>
    </row>
    <row r="32" spans="1:19">
      <c r="A32" s="1826"/>
      <c r="B32" s="1826" t="s">
        <v>1844</v>
      </c>
      <c r="C32" s="1826"/>
      <c r="D32" s="1826"/>
      <c r="E32" s="1182">
        <f>SUMIF(C19:C26,"*住宅*",E19:E26)</f>
        <v>54761.340000000026</v>
      </c>
      <c r="F32" s="1826"/>
      <c r="G32" s="1826"/>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89"/>
      <c r="AO1" s="2889"/>
      <c r="AP1" s="2889"/>
      <c r="AQ1" s="2889"/>
      <c r="AR1" s="2889"/>
    </row>
    <row r="2" spans="1:67" s="1743" customFormat="1" ht="15.75" thickBot="1">
      <c r="A2" s="1866" t="s">
        <v>1846</v>
      </c>
      <c r="B2" s="1174">
        <f>项目基本情况!D3</f>
        <v>44259</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1"/>
      <c r="AO2" s="2891"/>
      <c r="AP2" s="2891"/>
      <c r="AQ2" s="2891"/>
      <c r="AR2" s="2891"/>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3" customFormat="1" ht="15" thickBot="1">
      <c r="A3" s="1741"/>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1"/>
      <c r="AO3" s="2891"/>
      <c r="AP3" s="2891"/>
      <c r="AQ3" s="2891"/>
      <c r="AR3" s="2891"/>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3"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1"/>
      <c r="AO4" s="2891"/>
      <c r="AP4" s="2891"/>
      <c r="AQ4" s="2891"/>
      <c r="AR4" s="2891"/>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4" customFormat="1" ht="42">
      <c r="A5" s="1878" t="s">
        <v>1853</v>
      </c>
      <c r="B5" s="1879" t="s">
        <v>1854</v>
      </c>
      <c r="C5" s="1880" t="s">
        <v>1855</v>
      </c>
      <c r="D5" s="1881" t="s">
        <v>1856</v>
      </c>
      <c r="E5" s="1176" t="s">
        <v>1857</v>
      </c>
      <c r="F5" s="1882" t="s">
        <v>1858</v>
      </c>
      <c r="G5" s="1176" t="s">
        <v>1859</v>
      </c>
      <c r="H5" s="1176" t="s">
        <v>1860</v>
      </c>
      <c r="I5" s="1176"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5" t="s">
        <v>1873</v>
      </c>
      <c r="V5" s="1176" t="s">
        <v>1874</v>
      </c>
      <c r="W5" s="1176" t="s">
        <v>1875</v>
      </c>
      <c r="X5" s="67"/>
      <c r="Y5" s="66" t="s">
        <v>1876</v>
      </c>
      <c r="Z5" s="1892" t="s">
        <v>1873</v>
      </c>
      <c r="AA5" s="1176" t="s">
        <v>1874</v>
      </c>
      <c r="AB5" s="1176" t="s">
        <v>1875</v>
      </c>
      <c r="AC5" s="67"/>
      <c r="AD5" s="67" t="s">
        <v>1876</v>
      </c>
      <c r="AE5" s="1175" t="s">
        <v>1877</v>
      </c>
      <c r="AF5" s="1176" t="s">
        <v>1878</v>
      </c>
      <c r="AG5" s="66" t="s">
        <v>1879</v>
      </c>
      <c r="AH5" s="1175" t="s">
        <v>1880</v>
      </c>
      <c r="AI5" s="1892" t="s">
        <v>1881</v>
      </c>
      <c r="AJ5" s="1892" t="s">
        <v>1882</v>
      </c>
      <c r="AK5" s="1176" t="s">
        <v>1883</v>
      </c>
      <c r="AL5" s="1176" t="s">
        <v>1884</v>
      </c>
      <c r="AM5" s="66" t="s">
        <v>1885</v>
      </c>
      <c r="AN5" s="1893" t="s">
        <v>1886</v>
      </c>
      <c r="AO5" s="1746"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3" customFormat="1" ht="14.25">
      <c r="A6" s="1895" t="str">
        <f>'数据-汇总表'!C19</f>
        <v>住宅-可售洋房</v>
      </c>
      <c r="B6" s="1896" t="str">
        <f>IF(A6=0,"","经营性")</f>
        <v>经营性</v>
      </c>
      <c r="C6" s="1897" t="s">
        <v>3081</v>
      </c>
      <c r="D6" s="965">
        <f>SUMIF(项目基本情况!D$12:I$12,C6,项目基本情况!D$14:I$14)</f>
        <v>70</v>
      </c>
      <c r="E6" s="964">
        <f>IF(B6="","",SUMIF(项目基本情况!D$12:I$12,C6,项目基本情况!D$13:I$13))</f>
        <v>69259</v>
      </c>
      <c r="F6" s="68">
        <f>SUMIF(项目基本情况!D$12:I$12,C6,项目基本情况!D$15:I$15)</f>
        <v>68.489999999999995</v>
      </c>
      <c r="G6" s="69">
        <f>IF(ISERROR(ROUND(POWER(1+H6,D6-F6)*(POWER(1+H6,F6)-1)/(POWER(1+H6,D6)-1),3)),0,ROUND(POWER(1+H6,D6-F6)*(POWER(1+H6,F6)-1)/(POWER(1+H6,D6)-1),3))</f>
        <v>0.996</v>
      </c>
      <c r="H6" s="740">
        <v>0.04</v>
      </c>
      <c r="I6" s="740">
        <v>4.4999999999999998E-2</v>
      </c>
      <c r="J6" s="70">
        <v>8.5000000000000006E-2</v>
      </c>
      <c r="K6" s="1159">
        <f>SUMIF('数据-汇总表'!C$19:C$33,A6,'数据-汇总表'!E$19:E$33)</f>
        <v>27761.340000000026</v>
      </c>
      <c r="L6" s="741">
        <v>2500</v>
      </c>
      <c r="M6" s="71">
        <f t="shared" ref="M6:M14" si="0">ROUND(K6*L6/10000,0)</f>
        <v>6940</v>
      </c>
      <c r="N6" s="739">
        <f>Sheet1!G35</f>
        <v>0.72639240665083848</v>
      </c>
      <c r="O6" s="71">
        <f>IF($N$5="成新度","——",ROUND(M6*N6,0))</f>
        <v>5041</v>
      </c>
      <c r="P6" s="72">
        <f>IF($N$5="成新度","——",M6-O6)</f>
        <v>1899</v>
      </c>
      <c r="Q6" s="3156">
        <v>0.15</v>
      </c>
      <c r="R6" s="73">
        <f ca="1">SUMIF('数据-汇总表'!C$19:C$33,A6,'数据-汇总表'!R$19:R$27)</f>
        <v>15534.85</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1"/>
      <c r="AG6" s="142">
        <f>IF(AF6="",0,AE6-AF6)</f>
        <v>0</v>
      </c>
      <c r="AH6" s="79"/>
      <c r="AI6" s="81"/>
      <c r="AJ6" s="82"/>
      <c r="AK6" s="83"/>
      <c r="AL6" s="84"/>
      <c r="AM6" s="85"/>
      <c r="AN6" s="1898"/>
      <c r="AO6" s="55" t="e">
        <f ca="1">SUMIF(INDIRECT("'"&amp;AN6&amp;"'"&amp;"!A:A"),"总价",INDIRECT("'"&amp;AN6&amp;"'"&amp;"!B:B"))</f>
        <v>#REF!</v>
      </c>
      <c r="AP6" s="1899">
        <f>IF(C6="住宅",K6*L6,0)</f>
        <v>69403350.00000006</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3" customFormat="1" ht="14.25">
      <c r="A7" s="1895" t="str">
        <f>'数据-汇总表'!C20</f>
        <v>住宅-自持洋房</v>
      </c>
      <c r="B7" s="1896" t="str">
        <f t="shared" ref="B7:B13" si="1">IF(A7=0,"","经营性")</f>
        <v>经营性</v>
      </c>
      <c r="C7" s="1897" t="s">
        <v>3081</v>
      </c>
      <c r="D7" s="965">
        <f>SUMIF(项目基本情况!D$12:I$12,C7,项目基本情况!D$14:I$14)</f>
        <v>70</v>
      </c>
      <c r="E7" s="964">
        <f>IF(B7="","",SUMIF(项目基本情况!D$12:I$12,C7,项目基本情况!D$13:I$13))</f>
        <v>69259</v>
      </c>
      <c r="F7" s="68">
        <f>SUMIF(项目基本情况!D$12:I$12,C7,项目基本情况!D$15:I$15)</f>
        <v>68.489999999999995</v>
      </c>
      <c r="G7" s="69">
        <f t="shared" ref="G7:G11" si="2">IF(ISERROR(ROUND(POWER(1+H7,D7-F7)*(POWER(1+H7,F7)-1)/(POWER(1+H7,D7)-1),3)),0,ROUND(POWER(1+H7,D7-F7)*(POWER(1+H7,F7)-1)/(POWER(1+H7,D7)-1),3))</f>
        <v>0.996</v>
      </c>
      <c r="H7" s="740">
        <v>0.04</v>
      </c>
      <c r="I7" s="740">
        <v>4.4999999999999998E-2</v>
      </c>
      <c r="J7" s="740">
        <f t="shared" ref="J7" si="3">J6</f>
        <v>8.5000000000000006E-2</v>
      </c>
      <c r="K7" s="1159">
        <f>SUMIF('数据-汇总表'!C$19:C$33,A7,'数据-汇总表'!E$19:E$33)</f>
        <v>27000</v>
      </c>
      <c r="L7" s="741">
        <v>2500</v>
      </c>
      <c r="M7" s="71">
        <f t="shared" si="0"/>
        <v>6750</v>
      </c>
      <c r="N7" s="739">
        <v>0</v>
      </c>
      <c r="O7" s="71">
        <f t="shared" ref="O7:O14" si="4">IF($N$5="成新度","——",ROUND(M7*N7,0))</f>
        <v>0</v>
      </c>
      <c r="P7" s="72">
        <f t="shared" ref="P7:P14" si="5">IF($N$5="成新度","——",M7-O7)</f>
        <v>6750</v>
      </c>
      <c r="Q7" s="3147">
        <v>0.03</v>
      </c>
      <c r="R7" s="73">
        <f ca="1">SUMIF('数据-汇总表'!C$19:C$33,A7,'数据-汇总表'!R$19:R$27)</f>
        <v>15108.81</v>
      </c>
      <c r="S7" s="54">
        <f>IF('数据-汇总表'!$I$17="按面积比例",SUMIF('数据-汇总表'!C$19:C$33,A7,'数据-汇总表'!K$19:K$33),SUMIF('数据-汇总表'!C$19:C$33,A7,'数据-汇总表'!N$19:N$33))</f>
        <v>0</v>
      </c>
      <c r="T7" s="1332">
        <f t="shared" ref="T7:T13" si="6">ROUND($L$14*S7/10000,0)</f>
        <v>0</v>
      </c>
      <c r="U7" s="3157">
        <v>2500</v>
      </c>
      <c r="V7" s="3158">
        <v>0.03</v>
      </c>
      <c r="W7" s="3158">
        <v>0.1</v>
      </c>
      <c r="X7" s="1169"/>
      <c r="Y7" s="76">
        <v>1</v>
      </c>
      <c r="Z7" s="77"/>
      <c r="AA7" s="70"/>
      <c r="AB7" s="70"/>
      <c r="AC7" s="1169"/>
      <c r="AD7" s="78"/>
      <c r="AE7" s="1170">
        <f t="shared" ref="AE7:AE13" ca="1" si="7">IF(AN7="",0,SUMIF(INDIRECT("'"&amp;AN7&amp;"'"&amp;"!E:E"),$AE$5,INDIRECT("'"&amp;AN7&amp;"'"&amp;"!F:F")))</f>
        <v>67.19</v>
      </c>
      <c r="AF7" s="1531"/>
      <c r="AG7" s="142">
        <f t="shared" ref="AG7:AG13" si="8">IF(AF7="",0,AE7-AF7)</f>
        <v>0</v>
      </c>
      <c r="AH7" s="79">
        <v>250</v>
      </c>
      <c r="AI7" s="81">
        <v>12</v>
      </c>
      <c r="AJ7" s="82"/>
      <c r="AK7" s="83">
        <v>1.4999999999999999E-2</v>
      </c>
      <c r="AL7" s="84">
        <v>1.5E-3</v>
      </c>
      <c r="AM7" s="85">
        <v>0.01</v>
      </c>
      <c r="AN7" s="1898" t="s">
        <v>3315</v>
      </c>
      <c r="AO7" s="55">
        <f t="shared" ref="AO7:AO13" ca="1" si="9">SUMIF(INDIRECT("'"&amp;AN7&amp;"'"&amp;"!A:A"),"总价",INDIRECT("'"&amp;AN7&amp;"'"&amp;"!B:B"))</f>
        <v>16199</v>
      </c>
      <c r="AP7" s="1899">
        <f t="shared" ref="AP7:AP13" si="10">IF(C7="住宅",K7*L7,0)</f>
        <v>67500000</v>
      </c>
      <c r="AQ7" s="55">
        <f t="shared" ref="AQ7:AQ13" si="11">ROUND($L$14*$N$14*S7/10000,0)</f>
        <v>0</v>
      </c>
      <c r="AR7" s="55">
        <f t="shared" ref="AR7:AR13" si="12">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3" customFormat="1" ht="14.25">
      <c r="A8" s="1895" t="str">
        <f>'数据-汇总表'!C21</f>
        <v>地下车库</v>
      </c>
      <c r="B8" s="1896" t="str">
        <f t="shared" si="1"/>
        <v>经营性</v>
      </c>
      <c r="C8" s="1897" t="s">
        <v>3108</v>
      </c>
      <c r="D8" s="965">
        <f>SUMIF(项目基本情况!D$12:I$12,C8,项目基本情况!D$14:I$14)</f>
        <v>50</v>
      </c>
      <c r="E8" s="964">
        <f>IF(B8="","",SUMIF(项目基本情况!D$12:I$12,C8,项目基本情况!D$13:I$13))</f>
        <v>61954</v>
      </c>
      <c r="F8" s="68">
        <f>SUMIF(项目基本情况!D$12:I$12,C8,项目基本情况!D$15:I$15)</f>
        <v>48.47</v>
      </c>
      <c r="G8" s="69">
        <f t="shared" si="2"/>
        <v>0.99099999999999999</v>
      </c>
      <c r="H8" s="740">
        <v>4.4999999999999998E-2</v>
      </c>
      <c r="I8" s="740">
        <v>0.05</v>
      </c>
      <c r="J8" s="740">
        <f t="shared" ref="J8" si="13">J6</f>
        <v>8.5000000000000006E-2</v>
      </c>
      <c r="K8" s="1159">
        <f>SUMIF('数据-汇总表'!C$19:C$33,A8,'数据-汇总表'!E$19:E$33)</f>
        <v>0</v>
      </c>
      <c r="L8" s="741">
        <v>2500</v>
      </c>
      <c r="M8" s="71">
        <f>ROUND(K8*L8/10000,0)</f>
        <v>0</v>
      </c>
      <c r="N8" s="739">
        <v>0.8</v>
      </c>
      <c r="O8" s="71">
        <f t="shared" si="4"/>
        <v>0</v>
      </c>
      <c r="P8" s="72">
        <f t="shared" si="5"/>
        <v>0</v>
      </c>
      <c r="Q8" s="3156">
        <v>0.05</v>
      </c>
      <c r="R8" s="73">
        <f ca="1">SUMIF('数据-汇总表'!C$19:C$33,A8,'数据-汇总表'!R$19:R$27)</f>
        <v>0</v>
      </c>
      <c r="S8" s="54">
        <f>IF('数据-汇总表'!$I$17="按面积比例",SUMIF('数据-汇总表'!C$19:C$33,A8,'数据-汇总表'!K$19:K$33),SUMIF('数据-汇总表'!C$19:C$33,A8,'数据-汇总表'!N$19:N$33))</f>
        <v>0</v>
      </c>
      <c r="T8" s="1332">
        <f t="shared" si="6"/>
        <v>0</v>
      </c>
      <c r="U8" s="742">
        <v>600</v>
      </c>
      <c r="V8" s="743">
        <v>0.02</v>
      </c>
      <c r="W8" s="743">
        <v>0.1</v>
      </c>
      <c r="X8" s="1169"/>
      <c r="Y8" s="744">
        <v>1</v>
      </c>
      <c r="Z8" s="77"/>
      <c r="AA8" s="70"/>
      <c r="AB8" s="70"/>
      <c r="AC8" s="1169"/>
      <c r="AD8" s="78"/>
      <c r="AE8" s="1170">
        <f t="shared" ca="1" si="7"/>
        <v>47.17</v>
      </c>
      <c r="AF8" s="1531"/>
      <c r="AG8" s="142">
        <f t="shared" si="8"/>
        <v>0</v>
      </c>
      <c r="AH8" s="745">
        <v>1025</v>
      </c>
      <c r="AI8" s="81">
        <v>12</v>
      </c>
      <c r="AJ8" s="82"/>
      <c r="AK8" s="746">
        <v>1.4999999999999999E-2</v>
      </c>
      <c r="AL8" s="747">
        <v>1.5E-3</v>
      </c>
      <c r="AM8" s="748">
        <v>0.01</v>
      </c>
      <c r="AN8" s="1898" t="s">
        <v>3313</v>
      </c>
      <c r="AO8" s="55">
        <f t="shared" ca="1" si="9"/>
        <v>13563</v>
      </c>
      <c r="AP8" s="1899">
        <f t="shared" si="10"/>
        <v>0</v>
      </c>
      <c r="AQ8" s="55">
        <f t="shared" si="11"/>
        <v>0</v>
      </c>
      <c r="AR8" s="55">
        <f t="shared" si="12"/>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3" customFormat="1" ht="14.25">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f t="shared" si="4"/>
        <v>0</v>
      </c>
      <c r="P9" s="72">
        <f t="shared" si="5"/>
        <v>0</v>
      </c>
      <c r="Q9" s="86"/>
      <c r="R9" s="73">
        <f ca="1">SUMIF('数据-汇总表'!C$19:C$33,A9,'数据-汇总表'!R$19:R$27)</f>
        <v>0</v>
      </c>
      <c r="S9" s="54">
        <f>IF('数据-汇总表'!$I$17="按面积比例",SUMIF('数据-汇总表'!C$19:C$33,A9,'数据-汇总表'!K$19:K$33),SUMIF('数据-汇总表'!C$19:C$33,A9,'数据-汇总表'!N$19:N$33))</f>
        <v>0</v>
      </c>
      <c r="T9" s="1332">
        <f t="shared" si="6"/>
        <v>0</v>
      </c>
      <c r="U9" s="74"/>
      <c r="V9" s="75"/>
      <c r="W9" s="75"/>
      <c r="X9" s="1169"/>
      <c r="Y9" s="76"/>
      <c r="Z9" s="77"/>
      <c r="AA9" s="70"/>
      <c r="AB9" s="70"/>
      <c r="AC9" s="1169"/>
      <c r="AD9" s="78"/>
      <c r="AE9" s="1170">
        <f t="shared" ca="1" si="7"/>
        <v>0</v>
      </c>
      <c r="AF9" s="1531"/>
      <c r="AG9" s="142">
        <f t="shared" si="8"/>
        <v>0</v>
      </c>
      <c r="AH9" s="79"/>
      <c r="AI9" s="81"/>
      <c r="AJ9" s="82"/>
      <c r="AK9" s="83"/>
      <c r="AL9" s="84"/>
      <c r="AM9" s="85"/>
      <c r="AN9" s="1898"/>
      <c r="AO9" s="55" t="e">
        <f t="shared" ca="1" si="9"/>
        <v>#REF!</v>
      </c>
      <c r="AP9" s="1899">
        <f t="shared" si="10"/>
        <v>0</v>
      </c>
      <c r="AQ9" s="55">
        <f t="shared" si="11"/>
        <v>0</v>
      </c>
      <c r="AR9" s="55">
        <f t="shared" si="12"/>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3" customFormat="1" ht="14.25">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f t="shared" si="4"/>
        <v>0</v>
      </c>
      <c r="P10" s="72">
        <f t="shared" si="5"/>
        <v>0</v>
      </c>
      <c r="Q10" s="86"/>
      <c r="R10" s="73">
        <f ca="1">SUMIF('数据-汇总表'!C$19:C$33,A10,'数据-汇总表'!R$19:R$27)</f>
        <v>0</v>
      </c>
      <c r="S10" s="54">
        <f>IF('数据-汇总表'!$I$17="按面积比例",SUMIF('数据-汇总表'!C$19:C$33,A10,'数据-汇总表'!K$19:K$33),SUMIF('数据-汇总表'!C$19:C$33,A10,'数据-汇总表'!N$19:N$33))</f>
        <v>0</v>
      </c>
      <c r="T10" s="1332">
        <f t="shared" si="6"/>
        <v>0</v>
      </c>
      <c r="U10" s="74"/>
      <c r="V10" s="75"/>
      <c r="W10" s="75"/>
      <c r="X10" s="1169"/>
      <c r="Y10" s="76"/>
      <c r="Z10" s="77"/>
      <c r="AA10" s="70"/>
      <c r="AB10" s="70"/>
      <c r="AC10" s="1169"/>
      <c r="AD10" s="78"/>
      <c r="AE10" s="1170">
        <f t="shared" ca="1" si="7"/>
        <v>0</v>
      </c>
      <c r="AF10" s="1531"/>
      <c r="AG10" s="142">
        <f t="shared" si="8"/>
        <v>0</v>
      </c>
      <c r="AH10" s="79"/>
      <c r="AI10" s="81"/>
      <c r="AJ10" s="82"/>
      <c r="AK10" s="83"/>
      <c r="AL10" s="84"/>
      <c r="AM10" s="85"/>
      <c r="AN10" s="1898"/>
      <c r="AO10" s="55" t="e">
        <f t="shared" ca="1" si="9"/>
        <v>#REF!</v>
      </c>
      <c r="AP10" s="1899">
        <f t="shared" si="10"/>
        <v>0</v>
      </c>
      <c r="AQ10" s="55">
        <f t="shared" si="11"/>
        <v>0</v>
      </c>
      <c r="AR10" s="55">
        <f t="shared" si="12"/>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3" customFormat="1" ht="14.25">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4"/>
        <v>0</v>
      </c>
      <c r="P11" s="72">
        <f t="shared" si="5"/>
        <v>0</v>
      </c>
      <c r="Q11" s="86"/>
      <c r="R11" s="73">
        <f ca="1">SUMIF('数据-汇总表'!C$19:C$33,A11,'数据-汇总表'!R$19:R$27)</f>
        <v>0</v>
      </c>
      <c r="S11" s="54">
        <f>IF('数据-汇总表'!$I$17="按面积比例",SUMIF('数据-汇总表'!C$19:C$33,A11,'数据-汇总表'!K$19:K$33),SUMIF('数据-汇总表'!C$19:C$33,A11,'数据-汇总表'!N$19:N$33))</f>
        <v>0</v>
      </c>
      <c r="T11" s="1332">
        <f t="shared" si="6"/>
        <v>0</v>
      </c>
      <c r="U11" s="79"/>
      <c r="V11" s="70"/>
      <c r="W11" s="70"/>
      <c r="X11" s="1169"/>
      <c r="Y11" s="76"/>
      <c r="Z11" s="89"/>
      <c r="AA11" s="70"/>
      <c r="AB11" s="70"/>
      <c r="AC11" s="1169"/>
      <c r="AD11" s="78"/>
      <c r="AE11" s="1170">
        <f t="shared" ca="1" si="7"/>
        <v>0</v>
      </c>
      <c r="AF11" s="1531"/>
      <c r="AG11" s="142">
        <f t="shared" si="8"/>
        <v>0</v>
      </c>
      <c r="AH11" s="79"/>
      <c r="AI11" s="81"/>
      <c r="AJ11" s="82"/>
      <c r="AK11" s="90"/>
      <c r="AL11" s="91"/>
      <c r="AM11" s="92"/>
      <c r="AN11" s="1898"/>
      <c r="AO11" s="55" t="e">
        <f t="shared" ca="1" si="9"/>
        <v>#REF!</v>
      </c>
      <c r="AP11" s="1899">
        <f t="shared" si="10"/>
        <v>0</v>
      </c>
      <c r="AQ11" s="55">
        <f t="shared" si="11"/>
        <v>0</v>
      </c>
      <c r="AR11" s="55">
        <f t="shared" si="12"/>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3" customFormat="1" ht="14.25">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4"/>
        <v>0</v>
      </c>
      <c r="P12" s="72">
        <f t="shared" si="5"/>
        <v>0</v>
      </c>
      <c r="Q12" s="86"/>
      <c r="R12" s="73">
        <f ca="1">SUMIF('数据-汇总表'!C$19:C$33,A12,'数据-汇总表'!R$19:R$27)</f>
        <v>0</v>
      </c>
      <c r="S12" s="54">
        <f>IF('数据-汇总表'!$I$17="按面积比例",SUMIF('数据-汇总表'!C$19:C$33,A12,'数据-汇总表'!K$19:K$33),SUMIF('数据-汇总表'!C$19:C$33,A12,'数据-汇总表'!N$19:N$33))</f>
        <v>0</v>
      </c>
      <c r="T12" s="1332">
        <f t="shared" si="6"/>
        <v>0</v>
      </c>
      <c r="U12" s="79"/>
      <c r="V12" s="70"/>
      <c r="W12" s="70"/>
      <c r="X12" s="1169"/>
      <c r="Y12" s="76"/>
      <c r="Z12" s="89"/>
      <c r="AA12" s="70"/>
      <c r="AB12" s="70"/>
      <c r="AC12" s="1169"/>
      <c r="AD12" s="78"/>
      <c r="AE12" s="1170">
        <f t="shared" ca="1" si="7"/>
        <v>0</v>
      </c>
      <c r="AF12" s="1531"/>
      <c r="AG12" s="142">
        <f t="shared" si="8"/>
        <v>0</v>
      </c>
      <c r="AH12" s="79"/>
      <c r="AI12" s="81"/>
      <c r="AJ12" s="82"/>
      <c r="AK12" s="90"/>
      <c r="AL12" s="91"/>
      <c r="AM12" s="92"/>
      <c r="AN12" s="1898"/>
      <c r="AO12" s="55" t="e">
        <f t="shared" ca="1" si="9"/>
        <v>#REF!</v>
      </c>
      <c r="AP12" s="1899">
        <f t="shared" si="10"/>
        <v>0</v>
      </c>
      <c r="AQ12" s="55">
        <f t="shared" si="11"/>
        <v>0</v>
      </c>
      <c r="AR12" s="55">
        <f t="shared" si="12"/>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3" customFormat="1" ht="14.25">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4"/>
        <v>0</v>
      </c>
      <c r="P13" s="72">
        <f t="shared" si="5"/>
        <v>0</v>
      </c>
      <c r="Q13" s="86"/>
      <c r="R13" s="73">
        <f ca="1">SUMIF('数据-汇总表'!C$19:C$33,A13,'数据-汇总表'!R$19:R$27)</f>
        <v>0</v>
      </c>
      <c r="S13" s="54">
        <f>IF('数据-汇总表'!$I$17="按面积比例",SUMIF('数据-汇总表'!C$19:C$33,A13,'数据-汇总表'!K$19:K$33),SUMIF('数据-汇总表'!C$19:C$33,A13,'数据-汇总表'!N$19:N$33))</f>
        <v>0</v>
      </c>
      <c r="T13" s="1332">
        <f t="shared" si="6"/>
        <v>0</v>
      </c>
      <c r="U13" s="74"/>
      <c r="V13" s="75"/>
      <c r="W13" s="75"/>
      <c r="X13" s="1169"/>
      <c r="Y13" s="76"/>
      <c r="Z13" s="77"/>
      <c r="AA13" s="70"/>
      <c r="AB13" s="70"/>
      <c r="AC13" s="1169"/>
      <c r="AD13" s="78"/>
      <c r="AE13" s="1170">
        <f t="shared" ca="1" si="7"/>
        <v>0</v>
      </c>
      <c r="AF13" s="1531"/>
      <c r="AG13" s="142">
        <f t="shared" si="8"/>
        <v>0</v>
      </c>
      <c r="AH13" s="79"/>
      <c r="AI13" s="81"/>
      <c r="AJ13" s="82"/>
      <c r="AK13" s="83"/>
      <c r="AL13" s="84"/>
      <c r="AM13" s="85"/>
      <c r="AN13" s="1898"/>
      <c r="AO13" s="55" t="e">
        <f t="shared" ca="1" si="9"/>
        <v>#REF!</v>
      </c>
      <c r="AP13" s="1899">
        <f t="shared" si="10"/>
        <v>0</v>
      </c>
      <c r="AQ13" s="55">
        <f t="shared" si="11"/>
        <v>0</v>
      </c>
      <c r="AR13" s="55">
        <f t="shared" si="12"/>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3" customFormat="1" ht="14.25">
      <c r="A14" s="1900" t="s">
        <v>1891</v>
      </c>
      <c r="B14" s="1896" t="s">
        <v>1892</v>
      </c>
      <c r="C14" s="1901" t="s">
        <v>1891</v>
      </c>
      <c r="D14" s="965"/>
      <c r="E14" s="964"/>
      <c r="F14" s="68"/>
      <c r="G14" s="69"/>
      <c r="H14" s="1158"/>
      <c r="I14" s="1158"/>
      <c r="J14" s="1158"/>
      <c r="K14" s="1159">
        <f>SUMIF('数据-汇总表'!C$19:C$33,A14,'数据-汇总表'!E$19:E$33)</f>
        <v>0</v>
      </c>
      <c r="L14" s="87"/>
      <c r="M14" s="71">
        <f t="shared" si="0"/>
        <v>0</v>
      </c>
      <c r="N14" s="88"/>
      <c r="O14" s="71">
        <f t="shared" si="4"/>
        <v>0</v>
      </c>
      <c r="P14" s="72">
        <f t="shared" si="5"/>
        <v>0</v>
      </c>
      <c r="Q14" s="1162"/>
      <c r="R14" s="73"/>
      <c r="S14" s="54"/>
      <c r="T14" s="1332"/>
      <c r="U14" s="678"/>
      <c r="V14" s="1164"/>
      <c r="W14" s="1164"/>
      <c r="X14" s="1165"/>
      <c r="Y14" s="1166"/>
      <c r="Z14" s="1167"/>
      <c r="AA14" s="1168"/>
      <c r="AB14" s="1168"/>
      <c r="AC14" s="1169"/>
      <c r="AD14" s="1165"/>
      <c r="AE14" s="1170"/>
      <c r="AF14" s="55"/>
      <c r="AG14" s="142"/>
      <c r="AH14" s="1170"/>
      <c r="AI14" s="1540"/>
      <c r="AJ14" s="712"/>
      <c r="AK14" s="1171"/>
      <c r="AL14" s="1172"/>
      <c r="AM14" s="1173"/>
      <c r="AN14" s="2889"/>
      <c r="AO14" s="2891"/>
      <c r="AP14" s="2891"/>
      <c r="AQ14" s="2891"/>
      <c r="AR14" s="2891"/>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3" customFormat="1" ht="27">
      <c r="A15" s="1900" t="s">
        <v>1893</v>
      </c>
      <c r="B15" s="1896" t="s">
        <v>1892</v>
      </c>
      <c r="C15" s="1901"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0"/>
      <c r="AJ15" s="712"/>
      <c r="AK15" s="1171"/>
      <c r="AL15" s="1172"/>
      <c r="AM15" s="1173"/>
      <c r="AN15" s="2889"/>
      <c r="AO15" s="2891"/>
      <c r="AP15" s="2891"/>
      <c r="AQ15" s="2891"/>
      <c r="AR15" s="2891"/>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3" customFormat="1" ht="15.75" thickBot="1">
      <c r="A16" s="1902" t="s">
        <v>1895</v>
      </c>
      <c r="B16" s="93"/>
      <c r="C16" s="940"/>
      <c r="D16" s="1903"/>
      <c r="E16" s="93"/>
      <c r="F16" s="93"/>
      <c r="G16" s="94">
        <f>ROUND(SUMPRODUCT(G6:G13,K6:K13)/SUMPRODUCT((G6:G13&gt;0)*(K6:K13)),3)</f>
        <v>0.996</v>
      </c>
      <c r="H16" s="95">
        <f>ROUND(SUMPRODUCT(H6:H13,K6:K13)/SUMPRODUCT((H6:H13&gt;0)*(K6:K13)),3)</f>
        <v>0.04</v>
      </c>
      <c r="I16" s="96"/>
      <c r="J16" s="96"/>
      <c r="K16" s="97">
        <f>SUM(K6:K15)</f>
        <v>54761.340000000026</v>
      </c>
      <c r="L16" s="98">
        <f>ROUND(M16*10000/SUM(K6:K14),0)</f>
        <v>2500</v>
      </c>
      <c r="M16" s="98">
        <f>SUM(M6:M14)</f>
        <v>13690</v>
      </c>
      <c r="N16" s="99">
        <f>ROUND(SUMPRODUCT(M6:M14,N6:N14)/M16,3)</f>
        <v>0.36799999999999999</v>
      </c>
      <c r="O16" s="98">
        <f>SUM(O6:O14)</f>
        <v>5041</v>
      </c>
      <c r="P16" s="98">
        <f>SUM(P6:P14)</f>
        <v>8649</v>
      </c>
      <c r="Q16" s="100">
        <f>ROUND(SUMPRODUCT(Q6:Q13,K6:K13)/SUMPRODUCT((Q6:Q13&gt;0)*(K6:K13)),2)</f>
        <v>0.09</v>
      </c>
      <c r="R16" s="1163">
        <f ca="1">SUM(R6:R13)</f>
        <v>30643.66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5" t="s">
        <v>1897</v>
      </c>
      <c r="B19" s="108">
        <v>0</v>
      </c>
      <c r="C19" s="3019" t="s">
        <v>3045</v>
      </c>
      <c r="D19" s="2894"/>
      <c r="E19" s="2891"/>
      <c r="F19" s="2891"/>
      <c r="G19" s="2891"/>
      <c r="H19" s="2891"/>
      <c r="I19" s="2891"/>
      <c r="J19" s="2891"/>
      <c r="K19" s="2890"/>
      <c r="L19" s="2890"/>
      <c r="M19" s="2889"/>
      <c r="N19" s="2889"/>
      <c r="O19" s="2889"/>
      <c r="P19" s="2889"/>
      <c r="Q19" s="2889"/>
      <c r="R19" s="2889"/>
      <c r="S19" s="2889"/>
      <c r="T19" s="2889"/>
      <c r="U19" s="2889">
        <f>U8*20*30</f>
        <v>360000</v>
      </c>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6" t="s">
        <v>1898</v>
      </c>
      <c r="B20" s="109">
        <v>2</v>
      </c>
      <c r="C20" s="3020" t="s">
        <v>3043</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7" t="s">
        <v>1899</v>
      </c>
      <c r="B21" s="109">
        <f>ROUND(B20*N16,1)</f>
        <v>0.7</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6" t="s">
        <v>1900</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7" t="s">
        <v>1901</v>
      </c>
      <c r="B23" s="110">
        <f>B19+B21</f>
        <v>0.7</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8" t="s">
        <v>1902</v>
      </c>
      <c r="B24" s="111">
        <f>B20-B21</f>
        <v>1.3</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41"/>
      <c r="B25" s="1870"/>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6" t="s">
        <v>1903</v>
      </c>
      <c r="B26" s="1909"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11" customFormat="1" ht="27.75">
      <c r="A27" s="1910" t="s">
        <v>1906</v>
      </c>
      <c r="B27" s="112">
        <v>0</v>
      </c>
      <c r="C27" s="3021" t="s">
        <v>3047</v>
      </c>
      <c r="D27" s="2897"/>
      <c r="E27" s="2878"/>
      <c r="F27" s="2878"/>
      <c r="G27" s="2891"/>
      <c r="H27" s="2891"/>
      <c r="I27" s="2891"/>
      <c r="J27" s="2891" t="s">
        <v>3111</v>
      </c>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5">
        <v>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159">
        <f>ROUND((B27*(K6+K7)+B28*(K8+K15))/10000,0)</f>
        <v>0</v>
      </c>
      <c r="C29" s="3022" t="s">
        <v>3034</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9">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80">
        <v>0</v>
      </c>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1">
        <v>0.03</v>
      </c>
      <c r="C33" s="3023" t="s">
        <v>3035</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7">
        <v>0.05</v>
      </c>
      <c r="C34" s="3023" t="s">
        <v>3036</v>
      </c>
      <c r="D34" s="2902" t="s">
        <v>3044</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5">
        <v>200</v>
      </c>
      <c r="C35" s="3023" t="s">
        <v>3037</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3" t="s">
        <v>3038</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4" t="s">
        <v>1916</v>
      </c>
      <c r="B37" s="119">
        <v>0.03</v>
      </c>
      <c r="C37" s="3023" t="s">
        <v>3039</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2" t="s">
        <v>1917</v>
      </c>
      <c r="B38" s="117">
        <v>0.03</v>
      </c>
      <c r="C38" s="3023" t="s">
        <v>3039</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5" t="s">
        <v>1918</v>
      </c>
      <c r="B39" s="322">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34" t="s">
        <v>3056</v>
      </c>
      <c r="B40" s="1208">
        <f ca="1">IF(A40="利息：取LPR",存贷款利率!G1,存贷款利率!G1+C40)</f>
        <v>3.85E-2</v>
      </c>
      <c r="C40" s="3033">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10" t="s">
        <v>1919</v>
      </c>
      <c r="B41" s="120">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6" t="s">
        <v>1920</v>
      </c>
      <c r="B42" s="121">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6" t="s">
        <v>1921</v>
      </c>
      <c r="B43" s="122">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7" t="s">
        <v>1922</v>
      </c>
      <c r="B44" s="123">
        <v>7.0000000000000007E-2</v>
      </c>
      <c r="C44" s="3023" t="s">
        <v>3048</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7" t="s">
        <v>1923</v>
      </c>
      <c r="B45" s="121">
        <v>0.03</v>
      </c>
      <c r="C45" s="3022" t="s">
        <v>3040</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7" t="s">
        <v>1924</v>
      </c>
      <c r="B46" s="121">
        <v>0.02</v>
      </c>
      <c r="C46" s="3022" t="s">
        <v>3041</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8" t="s">
        <v>1925</v>
      </c>
      <c r="B47" s="124"/>
      <c r="C47" s="3025" t="s">
        <v>3049</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9" t="s">
        <v>1926</v>
      </c>
      <c r="B48" s="125">
        <v>0.03</v>
      </c>
      <c r="C48" s="3022" t="s">
        <v>3040</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5" t="s">
        <v>1927</v>
      </c>
      <c r="B49" s="121">
        <v>5.0000000000000001E-4</v>
      </c>
      <c r="C49" s="3022" t="s">
        <v>3042</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20" t="s">
        <v>1928</v>
      </c>
      <c r="B50" s="126">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3" t="s">
        <v>1929</v>
      </c>
      <c r="B51" s="127">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20" t="s">
        <v>1930</v>
      </c>
      <c r="B52" s="128">
        <f>SUMIF(A54:A63,B53,B54:B63)</f>
        <v>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2" t="s">
        <v>1931</v>
      </c>
      <c r="B53" s="1921" t="s">
        <v>523</v>
      </c>
      <c r="C53" s="2878" t="s">
        <v>1932</v>
      </c>
      <c r="D53" s="3024" t="s">
        <v>3046</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22" t="s">
        <v>1933</v>
      </c>
      <c r="B54" s="80">
        <v>25</v>
      </c>
      <c r="C54" s="2878">
        <v>30</v>
      </c>
      <c r="D54" s="2894"/>
      <c r="E54" s="2891"/>
      <c r="F54" s="2891"/>
      <c r="G54" s="2891"/>
      <c r="H54" s="2891"/>
      <c r="I54" s="2891"/>
      <c r="J54" s="2891" t="s">
        <v>3112</v>
      </c>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22" t="s">
        <v>1934</v>
      </c>
      <c r="B55" s="80">
        <v>20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22" t="s">
        <v>1935</v>
      </c>
      <c r="B56" s="80">
        <v>15</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22" t="s">
        <v>1936</v>
      </c>
      <c r="B57" s="80">
        <v>10</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22" t="s">
        <v>1937</v>
      </c>
      <c r="B58" s="80">
        <v>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22" t="s">
        <v>1938</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22" t="s">
        <v>1939</v>
      </c>
      <c r="B60" s="80">
        <v>1</v>
      </c>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22"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22"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3" t="s">
        <v>1942</v>
      </c>
      <c r="B63" s="129"/>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9"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9"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9"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9"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9"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9" customFormat="1">
      <c r="A69" s="1924"/>
      <c r="D69" s="1925"/>
      <c r="K69" s="736"/>
      <c r="L69" s="736"/>
    </row>
    <row r="70" spans="1:44" s="899" customFormat="1">
      <c r="A70" s="1924"/>
      <c r="D70" s="1925"/>
      <c r="K70" s="736"/>
      <c r="L70" s="736"/>
    </row>
    <row r="71" spans="1:44" s="899" customFormat="1">
      <c r="A71" s="1924"/>
      <c r="D71" s="1925"/>
      <c r="K71" s="736"/>
      <c r="L71" s="736"/>
    </row>
    <row r="72" spans="1:44" s="899" customFormat="1">
      <c r="A72" s="1924"/>
      <c r="D72" s="1925"/>
      <c r="K72" s="736"/>
      <c r="L72" s="736"/>
    </row>
    <row r="73" spans="1:44" s="899" customFormat="1">
      <c r="A73" s="1924"/>
      <c r="D73" s="1925"/>
      <c r="K73" s="736"/>
      <c r="L73" s="736"/>
    </row>
    <row r="74" spans="1:44" s="899" customFormat="1">
      <c r="A74" s="1924"/>
      <c r="D74" s="1925"/>
      <c r="K74" s="736"/>
      <c r="L74" s="736"/>
    </row>
    <row r="75" spans="1:44" s="899" customFormat="1">
      <c r="A75" s="1924"/>
      <c r="D75" s="1925"/>
      <c r="K75" s="736"/>
      <c r="L75" s="736"/>
    </row>
    <row r="76" spans="1:44" s="899" customFormat="1">
      <c r="A76" s="1924"/>
      <c r="D76" s="1925"/>
      <c r="K76" s="736"/>
      <c r="L76" s="736"/>
    </row>
    <row r="77" spans="1:44" s="899" customFormat="1">
      <c r="A77" s="1924"/>
      <c r="D77" s="1925"/>
      <c r="K77" s="736"/>
      <c r="L77" s="736"/>
    </row>
    <row r="78" spans="1:44" s="899" customFormat="1">
      <c r="A78" s="1924"/>
      <c r="D78" s="1925"/>
      <c r="K78" s="736"/>
      <c r="L78" s="736"/>
    </row>
    <row r="79" spans="1:44" s="899" customFormat="1">
      <c r="A79" s="1924"/>
      <c r="D79" s="1925"/>
      <c r="K79" s="736"/>
      <c r="L79" s="736"/>
    </row>
    <row r="80" spans="1:44" s="899" customFormat="1">
      <c r="A80" s="1924"/>
      <c r="D80" s="1925"/>
      <c r="K80" s="736"/>
      <c r="L80" s="736"/>
    </row>
    <row r="81" spans="1:12" s="899" customFormat="1">
      <c r="A81" s="1924"/>
      <c r="D81" s="1925"/>
      <c r="K81" s="736"/>
      <c r="L81" s="736"/>
    </row>
    <row r="82" spans="1:12" s="899" customFormat="1">
      <c r="A82" s="1924"/>
      <c r="D82" s="1925"/>
      <c r="K82" s="736"/>
      <c r="L82" s="736"/>
    </row>
    <row r="83" spans="1:12" s="899" customFormat="1">
      <c r="A83" s="1924"/>
      <c r="D83" s="1925"/>
      <c r="K83" s="736"/>
      <c r="L83" s="736"/>
    </row>
    <row r="84" spans="1:12" s="899" customFormat="1">
      <c r="A84" s="1924"/>
      <c r="D84" s="1925"/>
      <c r="K84" s="736"/>
      <c r="L84" s="736"/>
    </row>
    <row r="85" spans="1:12" s="899" customFormat="1">
      <c r="A85" s="1924"/>
      <c r="D85" s="1925"/>
      <c r="K85" s="736"/>
      <c r="L85" s="736"/>
    </row>
    <row r="86" spans="1:12" s="899" customFormat="1">
      <c r="A86" s="1924"/>
      <c r="D86" s="1925"/>
      <c r="K86" s="736"/>
      <c r="L86" s="736"/>
    </row>
    <row r="87" spans="1:12" s="899" customFormat="1">
      <c r="A87" s="1924"/>
      <c r="D87" s="1925"/>
      <c r="K87" s="736"/>
      <c r="L87" s="736"/>
    </row>
    <row r="88" spans="1:12" s="899" customFormat="1">
      <c r="A88" s="1924"/>
      <c r="D88" s="1925"/>
      <c r="K88" s="736"/>
      <c r="L88" s="736"/>
    </row>
    <row r="89" spans="1:12" s="899" customFormat="1">
      <c r="A89" s="1924"/>
      <c r="D89" s="1925"/>
      <c r="K89" s="736"/>
      <c r="L89" s="736"/>
    </row>
    <row r="90" spans="1:12" s="899" customFormat="1">
      <c r="A90" s="1924"/>
      <c r="D90" s="1925"/>
      <c r="K90" s="736"/>
      <c r="L90" s="736"/>
    </row>
    <row r="91" spans="1:12" s="899" customFormat="1">
      <c r="A91" s="1924"/>
      <c r="D91" s="1925"/>
      <c r="K91" s="736"/>
      <c r="L91" s="736"/>
    </row>
    <row r="92" spans="1:12" s="899" customFormat="1">
      <c r="A92" s="1924"/>
      <c r="D92" s="1925"/>
      <c r="K92" s="736"/>
      <c r="L92" s="736"/>
    </row>
    <row r="93" spans="1:12" s="899" customFormat="1">
      <c r="A93" s="1924"/>
      <c r="D93" s="1925"/>
      <c r="K93" s="736"/>
      <c r="L93" s="736"/>
    </row>
    <row r="94" spans="1:12" s="899" customFormat="1">
      <c r="A94" s="1924"/>
      <c r="D94" s="1925"/>
      <c r="K94" s="736"/>
      <c r="L94" s="736"/>
    </row>
    <row r="95" spans="1:12" s="899" customFormat="1">
      <c r="A95" s="1924"/>
      <c r="D95" s="1925"/>
      <c r="K95" s="736"/>
      <c r="L95" s="736"/>
    </row>
    <row r="96" spans="1:12" s="899" customFormat="1">
      <c r="A96" s="1924"/>
      <c r="D96" s="1925"/>
      <c r="K96" s="736"/>
      <c r="L96" s="736"/>
    </row>
    <row r="97" spans="1:12" s="899" customFormat="1">
      <c r="A97" s="1924"/>
      <c r="D97" s="1925"/>
      <c r="K97" s="736"/>
      <c r="L97" s="736"/>
    </row>
    <row r="98" spans="1:12" s="899" customFormat="1">
      <c r="A98" s="1924"/>
      <c r="D98" s="1925"/>
      <c r="K98" s="736"/>
      <c r="L98" s="736"/>
    </row>
    <row r="99" spans="1:12" s="899" customFormat="1">
      <c r="A99" s="1924"/>
      <c r="D99" s="1925"/>
      <c r="K99" s="736"/>
      <c r="L99" s="736"/>
    </row>
    <row r="100" spans="1:12" s="899" customFormat="1">
      <c r="A100" s="1924"/>
      <c r="D100" s="1925"/>
      <c r="K100" s="736"/>
      <c r="L100" s="736"/>
    </row>
    <row r="101" spans="1:12" s="899" customFormat="1">
      <c r="A101" s="1924"/>
      <c r="D101" s="1925"/>
      <c r="K101" s="736"/>
      <c r="L101" s="736"/>
    </row>
    <row r="102" spans="1:12" s="899" customFormat="1">
      <c r="A102" s="1924"/>
      <c r="D102" s="1925"/>
      <c r="K102" s="736"/>
      <c r="L102" s="736"/>
    </row>
    <row r="103" spans="1:12" s="899" customFormat="1">
      <c r="A103" s="1924"/>
      <c r="D103" s="1925"/>
      <c r="K103" s="736"/>
      <c r="L103" s="736"/>
    </row>
    <row r="104" spans="1:12" s="899" customFormat="1">
      <c r="A104" s="1924"/>
      <c r="D104" s="1925"/>
      <c r="K104" s="736"/>
      <c r="L104" s="736"/>
    </row>
    <row r="105" spans="1:12" s="899" customFormat="1">
      <c r="A105" s="1924"/>
      <c r="D105" s="1925"/>
      <c r="K105" s="736"/>
      <c r="L105" s="736"/>
    </row>
    <row r="106" spans="1:12" s="899" customFormat="1">
      <c r="A106" s="1924"/>
      <c r="D106" s="1925"/>
      <c r="K106" s="736"/>
      <c r="L106" s="736"/>
    </row>
    <row r="107" spans="1:12" s="899" customFormat="1">
      <c r="A107" s="1924"/>
      <c r="D107" s="1925"/>
      <c r="K107" s="736"/>
      <c r="L107" s="736"/>
    </row>
    <row r="108" spans="1:12" s="899" customFormat="1">
      <c r="A108" s="1924"/>
      <c r="D108" s="1925"/>
      <c r="K108" s="736"/>
      <c r="L108" s="736"/>
    </row>
    <row r="109" spans="1:12" s="899" customFormat="1">
      <c r="A109" s="1924"/>
      <c r="D109" s="1925"/>
      <c r="K109" s="736"/>
      <c r="L109" s="736"/>
    </row>
    <row r="110" spans="1:12" s="899" customFormat="1">
      <c r="A110" s="1924"/>
      <c r="D110" s="1925"/>
      <c r="K110" s="736"/>
      <c r="L110" s="736"/>
    </row>
    <row r="111" spans="1:12" s="899" customFormat="1">
      <c r="A111" s="1924"/>
      <c r="D111" s="1925"/>
      <c r="K111" s="736"/>
      <c r="L111" s="736"/>
    </row>
    <row r="112" spans="1:12" s="899" customFormat="1">
      <c r="A112" s="1924"/>
      <c r="D112" s="1925"/>
      <c r="K112" s="736"/>
      <c r="L112" s="736"/>
    </row>
    <row r="113" spans="1:12" s="899" customFormat="1">
      <c r="A113" s="1924"/>
      <c r="D113" s="1925"/>
      <c r="K113" s="736"/>
      <c r="L113" s="736"/>
    </row>
    <row r="114" spans="1:12" s="899" customFormat="1">
      <c r="A114" s="1924"/>
      <c r="D114" s="1925"/>
      <c r="K114" s="736"/>
      <c r="L114" s="736"/>
    </row>
    <row r="115" spans="1:12" s="899" customFormat="1">
      <c r="A115" s="1924"/>
      <c r="D115" s="1925"/>
      <c r="K115" s="736"/>
      <c r="L115" s="736"/>
    </row>
    <row r="116" spans="1:12" s="899" customFormat="1">
      <c r="A116" s="1924"/>
      <c r="D116" s="1925"/>
      <c r="K116" s="736"/>
      <c r="L116" s="736"/>
    </row>
    <row r="117" spans="1:12" s="899" customFormat="1">
      <c r="A117" s="1924"/>
      <c r="D117" s="1925"/>
      <c r="K117" s="736"/>
      <c r="L117" s="736"/>
    </row>
    <row r="118" spans="1:12" s="899" customFormat="1">
      <c r="A118" s="1924"/>
      <c r="D118" s="1925"/>
      <c r="K118" s="736"/>
      <c r="L118" s="736"/>
    </row>
    <row r="119" spans="1:12" s="899" customFormat="1">
      <c r="A119" s="1924"/>
      <c r="D119" s="1925"/>
      <c r="K119" s="736"/>
      <c r="L119" s="736"/>
    </row>
    <row r="120" spans="1:12" s="899" customFormat="1">
      <c r="A120" s="1924"/>
      <c r="D120" s="1925"/>
      <c r="K120" s="736"/>
      <c r="L120" s="736"/>
    </row>
    <row r="121" spans="1:12" s="899" customFormat="1">
      <c r="A121" s="1924"/>
      <c r="D121" s="1925"/>
      <c r="K121" s="736"/>
      <c r="L121" s="736"/>
    </row>
    <row r="122" spans="1:12" s="899" customFormat="1">
      <c r="A122" s="1924"/>
      <c r="D122" s="1925"/>
      <c r="K122" s="736"/>
      <c r="L122" s="736"/>
    </row>
    <row r="123" spans="1:12" s="899" customFormat="1">
      <c r="A123" s="1924"/>
      <c r="D123" s="1925"/>
      <c r="K123" s="736"/>
      <c r="L123" s="736"/>
    </row>
    <row r="124" spans="1:12" s="899" customFormat="1">
      <c r="A124" s="1924"/>
      <c r="D124" s="1925"/>
      <c r="K124" s="736"/>
      <c r="L124" s="736"/>
    </row>
    <row r="125" spans="1:12" s="899" customFormat="1">
      <c r="A125" s="1924"/>
      <c r="D125" s="1925"/>
      <c r="K125" s="736"/>
      <c r="L125" s="736"/>
    </row>
    <row r="126" spans="1:12" s="899" customFormat="1">
      <c r="A126" s="1924"/>
      <c r="D126" s="1925"/>
      <c r="K126" s="736"/>
      <c r="L126" s="736"/>
    </row>
    <row r="127" spans="1:12" s="899" customFormat="1">
      <c r="A127" s="1924"/>
      <c r="D127" s="1925"/>
      <c r="K127" s="736"/>
      <c r="L127" s="736"/>
    </row>
    <row r="128" spans="1:12" s="899" customFormat="1">
      <c r="A128" s="1924"/>
      <c r="D128" s="1925"/>
      <c r="K128" s="736"/>
      <c r="L128" s="736"/>
    </row>
    <row r="129" spans="1:12" s="899" customFormat="1">
      <c r="A129" s="1924"/>
      <c r="D129" s="1925"/>
      <c r="K129" s="736"/>
      <c r="L129" s="736"/>
    </row>
    <row r="130" spans="1:12" s="899" customFormat="1">
      <c r="A130" s="1924"/>
      <c r="D130" s="1925"/>
      <c r="K130" s="736"/>
      <c r="L130" s="736"/>
    </row>
    <row r="131" spans="1:12" s="899" customFormat="1">
      <c r="A131" s="1924"/>
      <c r="D131" s="1925"/>
      <c r="K131" s="736"/>
      <c r="L131" s="736"/>
    </row>
    <row r="132" spans="1:12" s="899" customFormat="1">
      <c r="A132" s="1924"/>
      <c r="D132" s="1925"/>
      <c r="K132" s="736"/>
      <c r="L132" s="736"/>
    </row>
    <row r="133" spans="1:12" s="899"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26" customWidth="1"/>
    <col min="4" max="4" width="2.625" style="2726" customWidth="1"/>
    <col min="5" max="5" width="5.875" style="2726" customWidth="1"/>
    <col min="6" max="6" width="27" style="1755"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5"/>
    <col min="30" max="16384" width="9" style="1869"/>
  </cols>
  <sheetData>
    <row r="1" spans="1:29" s="2673" customFormat="1" ht="18.75" thickBot="1">
      <c r="A1" s="3247" t="s">
        <v>3026</v>
      </c>
      <c r="B1" s="3248"/>
      <c r="C1" s="3248"/>
      <c r="D1" s="3248"/>
      <c r="E1" s="3248"/>
      <c r="F1" s="3248"/>
      <c r="G1" s="3248"/>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5"/>
      <c r="I2" s="905"/>
      <c r="J2" s="905"/>
      <c r="K2" s="905"/>
      <c r="L2" s="905"/>
      <c r="M2" s="905"/>
      <c r="N2" s="905"/>
      <c r="O2" s="905"/>
      <c r="P2" s="905"/>
      <c r="Q2" s="905"/>
      <c r="R2" s="905"/>
    </row>
    <row r="3" spans="1:29" ht="48">
      <c r="A3" s="2657" t="s">
        <v>3023</v>
      </c>
      <c r="B3" s="2679" t="s">
        <v>2992</v>
      </c>
      <c r="C3" s="2680" t="s">
        <v>3024</v>
      </c>
      <c r="D3" s="2681"/>
      <c r="E3" s="2658" t="s">
        <v>3023</v>
      </c>
      <c r="F3" s="2682" t="s">
        <v>2993</v>
      </c>
      <c r="G3" s="2683" t="s">
        <v>3025</v>
      </c>
      <c r="H3" s="905"/>
      <c r="I3" s="905"/>
      <c r="J3" s="905"/>
      <c r="K3" s="905"/>
      <c r="L3" s="905"/>
      <c r="M3" s="905"/>
      <c r="N3" s="905"/>
      <c r="O3" s="905"/>
      <c r="P3" s="905"/>
      <c r="Q3" s="905"/>
      <c r="R3" s="905"/>
    </row>
    <row r="4" spans="1:29" ht="36.75">
      <c r="A4" s="2658"/>
      <c r="B4" s="328" t="s">
        <v>2994</v>
      </c>
      <c r="C4" s="2684" t="s">
        <v>2995</v>
      </c>
      <c r="D4" s="2681"/>
      <c r="E4" s="2685"/>
      <c r="F4" s="1556" t="s">
        <v>2996</v>
      </c>
      <c r="G4" s="2686" t="s">
        <v>2997</v>
      </c>
      <c r="H4" s="905"/>
      <c r="I4" s="905"/>
      <c r="J4" s="905"/>
      <c r="K4" s="905"/>
      <c r="L4" s="905"/>
      <c r="M4" s="905"/>
      <c r="N4" s="905"/>
      <c r="O4" s="905"/>
      <c r="P4" s="905"/>
      <c r="Q4" s="905"/>
      <c r="R4" s="905"/>
    </row>
    <row r="5" spans="1:29" ht="36.75">
      <c r="A5" s="2658"/>
      <c r="B5" s="328" t="s">
        <v>2998</v>
      </c>
      <c r="C5" s="2684" t="s">
        <v>2999</v>
      </c>
      <c r="D5" s="2681"/>
      <c r="E5" s="2685"/>
      <c r="F5" s="328" t="s">
        <v>3000</v>
      </c>
      <c r="G5" s="2686" t="s">
        <v>3001</v>
      </c>
      <c r="H5" s="905"/>
      <c r="I5" s="905"/>
      <c r="J5" s="905"/>
      <c r="K5" s="905"/>
      <c r="L5" s="905"/>
      <c r="M5" s="905"/>
      <c r="N5" s="905"/>
      <c r="O5" s="905"/>
      <c r="P5" s="905"/>
      <c r="Q5" s="905"/>
      <c r="R5" s="905"/>
    </row>
    <row r="6" spans="1:29" ht="36">
      <c r="A6" s="2658"/>
      <c r="B6" s="328" t="s">
        <v>3002</v>
      </c>
      <c r="C6" s="2686" t="s">
        <v>2997</v>
      </c>
      <c r="D6" s="2681"/>
      <c r="E6" s="2685"/>
      <c r="F6" s="328" t="s">
        <v>3003</v>
      </c>
      <c r="G6" s="2686" t="s">
        <v>3004</v>
      </c>
      <c r="H6" s="905"/>
      <c r="I6" s="905"/>
      <c r="J6" s="905"/>
      <c r="K6" s="905"/>
      <c r="L6" s="905"/>
      <c r="M6" s="905"/>
      <c r="N6" s="905"/>
      <c r="O6" s="905"/>
      <c r="P6" s="905"/>
      <c r="Q6" s="905"/>
      <c r="R6" s="905"/>
    </row>
    <row r="7" spans="1:29" ht="24.75" thickBot="1">
      <c r="A7" s="2658"/>
      <c r="B7" s="328" t="s">
        <v>3000</v>
      </c>
      <c r="C7" s="2686" t="s">
        <v>3001</v>
      </c>
      <c r="D7" s="2687"/>
      <c r="E7" s="2688"/>
      <c r="F7" s="2689" t="s">
        <v>3005</v>
      </c>
      <c r="G7" s="2690" t="s">
        <v>3006</v>
      </c>
      <c r="H7" s="905"/>
      <c r="I7" s="905"/>
      <c r="J7" s="905"/>
      <c r="K7" s="905"/>
      <c r="L7" s="905"/>
      <c r="M7" s="905"/>
      <c r="N7" s="905"/>
      <c r="O7" s="905"/>
      <c r="P7" s="905"/>
      <c r="Q7" s="905"/>
      <c r="R7" s="905"/>
    </row>
    <row r="8" spans="1:29">
      <c r="A8" s="2658"/>
      <c r="B8" s="328" t="s">
        <v>3003</v>
      </c>
      <c r="C8" s="2686" t="s">
        <v>3004</v>
      </c>
      <c r="D8" s="2687"/>
      <c r="E8" s="2687"/>
      <c r="F8" s="2691"/>
      <c r="G8" s="2691"/>
      <c r="H8" s="905"/>
      <c r="I8" s="905"/>
      <c r="J8" s="905"/>
      <c r="K8" s="905"/>
      <c r="L8" s="905"/>
      <c r="M8" s="905"/>
      <c r="N8" s="905"/>
      <c r="O8" s="905"/>
      <c r="P8" s="905"/>
      <c r="Q8" s="905"/>
      <c r="R8" s="905"/>
    </row>
    <row r="9" spans="1:29" ht="24">
      <c r="A9" s="2658"/>
      <c r="B9" s="328" t="s">
        <v>3007</v>
      </c>
      <c r="C9" s="2684" t="s">
        <v>3008</v>
      </c>
      <c r="D9" s="2681"/>
      <c r="E9" s="2687"/>
      <c r="F9" s="2691"/>
      <c r="G9" s="2691"/>
      <c r="H9" s="905"/>
      <c r="I9" s="905"/>
      <c r="J9" s="905"/>
      <c r="K9" s="905"/>
      <c r="L9" s="905"/>
      <c r="M9" s="905"/>
      <c r="N9" s="905"/>
      <c r="O9" s="905"/>
      <c r="P9" s="905"/>
      <c r="Q9" s="905"/>
      <c r="R9" s="905"/>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5"/>
      <c r="T10" s="905"/>
      <c r="U10" s="905"/>
      <c r="V10" s="905"/>
      <c r="W10" s="905"/>
      <c r="X10" s="905"/>
      <c r="Y10" s="905"/>
      <c r="Z10" s="905"/>
      <c r="AA10" s="905"/>
      <c r="AB10" s="905"/>
      <c r="AC10" s="905"/>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5"/>
      <c r="T11" s="905"/>
      <c r="U11" s="905"/>
      <c r="V11" s="905"/>
      <c r="W11" s="905"/>
      <c r="X11" s="905"/>
      <c r="Y11" s="905"/>
      <c r="Z11" s="905"/>
      <c r="AA11" s="905"/>
      <c r="AB11" s="905"/>
      <c r="AC11" s="905"/>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8"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8" t="s">
        <v>3003</v>
      </c>
      <c r="G20" s="2719" t="str">
        <f>G6</f>
        <v>估价对象所在区域基础设施水平</v>
      </c>
    </row>
    <row r="21" spans="1:18" ht="25.5">
      <c r="A21" s="2662"/>
      <c r="B21" s="328" t="s">
        <v>3000</v>
      </c>
      <c r="C21" s="2719" t="str">
        <f>C7</f>
        <v>估价对象所在区域公共配套设施齐备情况</v>
      </c>
      <c r="D21" s="2681"/>
      <c r="E21" s="2663"/>
      <c r="F21" s="2718" t="s">
        <v>3018</v>
      </c>
      <c r="G21" s="2721"/>
    </row>
    <row r="22" spans="1:18" ht="13.5" customHeight="1">
      <c r="A22" s="2662"/>
      <c r="B22" s="328" t="s">
        <v>3003</v>
      </c>
      <c r="C22" s="2719" t="str">
        <f>C8</f>
        <v>估价对象所在区域基础设施水平</v>
      </c>
      <c r="D22" s="2681"/>
      <c r="E22" s="2663"/>
      <c r="F22" s="2718" t="s">
        <v>3009</v>
      </c>
      <c r="G22" s="2720"/>
    </row>
    <row r="23" spans="1:18" s="905" customFormat="1" ht="15" thickBot="1">
      <c r="A23" s="2662"/>
      <c r="B23" s="2718" t="s">
        <v>3018</v>
      </c>
      <c r="C23" s="2721"/>
      <c r="D23" s="1924"/>
      <c r="E23" s="2664"/>
      <c r="F23" s="2722" t="s">
        <v>3019</v>
      </c>
      <c r="G23" s="2723"/>
      <c r="H23" s="2707"/>
      <c r="I23" s="2708"/>
      <c r="J23" s="2707"/>
      <c r="K23" s="2707"/>
      <c r="L23" s="2708"/>
      <c r="M23" s="2707"/>
      <c r="N23" s="2707"/>
      <c r="O23" s="2708"/>
      <c r="P23" s="2707"/>
      <c r="Q23" s="2707"/>
      <c r="R23" s="2709"/>
    </row>
    <row r="24" spans="1:18" s="905" customFormat="1" ht="15" thickBot="1">
      <c r="A24" s="2665"/>
      <c r="B24" s="2722" t="s">
        <v>3020</v>
      </c>
      <c r="C24" s="2724">
        <f>C10</f>
        <v>0</v>
      </c>
      <c r="D24" s="1924"/>
      <c r="E24" s="2655"/>
      <c r="F24" s="2655"/>
      <c r="G24" s="2725"/>
      <c r="H24" s="2707"/>
      <c r="I24" s="2708"/>
      <c r="J24" s="2707"/>
      <c r="K24" s="2707"/>
      <c r="L24" s="2708"/>
      <c r="M24" s="2707"/>
      <c r="N24" s="2707"/>
      <c r="O24" s="2708"/>
      <c r="P24" s="2707"/>
      <c r="Q24" s="2707"/>
      <c r="R24" s="2709"/>
    </row>
    <row r="25" spans="1:18" s="905" customFormat="1">
      <c r="B25" s="2707"/>
      <c r="C25" s="2707"/>
      <c r="D25" s="2707"/>
      <c r="H25" s="2707"/>
      <c r="I25" s="2708"/>
      <c r="J25" s="2707"/>
      <c r="K25" s="2707"/>
      <c r="L25" s="2708"/>
      <c r="M25" s="2707"/>
      <c r="N25" s="2707"/>
      <c r="O25" s="2708"/>
      <c r="P25" s="2707"/>
      <c r="Q25" s="2707"/>
      <c r="R25" s="2709"/>
    </row>
    <row r="26" spans="1:18" s="905" customFormat="1">
      <c r="B26" s="2707"/>
      <c r="C26" s="2707"/>
      <c r="D26" s="2707"/>
      <c r="H26" s="2707"/>
      <c r="I26" s="2708"/>
      <c r="J26" s="2707"/>
      <c r="K26" s="2707"/>
      <c r="L26" s="2708"/>
      <c r="M26" s="2707"/>
      <c r="N26" s="2707"/>
      <c r="O26" s="2708"/>
      <c r="P26" s="2707"/>
      <c r="Q26" s="2707"/>
      <c r="R26" s="2709"/>
    </row>
    <row r="27" spans="1:18" s="905" customFormat="1">
      <c r="B27" s="2707"/>
      <c r="C27" s="2707"/>
      <c r="D27" s="2707"/>
      <c r="H27" s="2707"/>
      <c r="I27" s="2708"/>
      <c r="J27" s="2707"/>
      <c r="K27" s="2707"/>
      <c r="L27" s="2708"/>
      <c r="M27" s="2707"/>
      <c r="N27" s="2707"/>
      <c r="O27" s="2708"/>
      <c r="P27" s="2707"/>
      <c r="Q27" s="2707"/>
      <c r="R27" s="2709"/>
    </row>
    <row r="28" spans="1:18" s="905" customFormat="1">
      <c r="B28" s="2707"/>
      <c r="C28" s="2707"/>
      <c r="D28" s="2707"/>
      <c r="H28" s="2707"/>
      <c r="I28" s="2708"/>
      <c r="J28" s="2707"/>
      <c r="K28" s="2707"/>
      <c r="L28" s="2708"/>
      <c r="M28" s="2707"/>
      <c r="N28" s="2707"/>
      <c r="O28" s="2708"/>
      <c r="P28" s="2707"/>
      <c r="Q28" s="2707"/>
      <c r="R28" s="2709"/>
    </row>
    <row r="29" spans="1:18" s="905" customFormat="1">
      <c r="B29" s="2707"/>
      <c r="C29" s="2707"/>
      <c r="D29" s="2707"/>
      <c r="H29" s="2707"/>
      <c r="I29" s="2708"/>
      <c r="J29" s="2707"/>
      <c r="K29" s="2707"/>
      <c r="L29" s="2708"/>
      <c r="M29" s="2707"/>
      <c r="N29" s="2707"/>
      <c r="O29" s="2708"/>
      <c r="P29" s="2707"/>
      <c r="Q29" s="2707"/>
      <c r="R29" s="2709"/>
    </row>
    <row r="30" spans="1:18" s="905" customFormat="1">
      <c r="B30" s="2707"/>
      <c r="C30" s="2707"/>
      <c r="D30" s="2707"/>
      <c r="H30" s="2707"/>
      <c r="I30" s="2708"/>
      <c r="J30" s="2707"/>
      <c r="K30" s="2707"/>
      <c r="L30" s="2708"/>
      <c r="M30" s="2707"/>
      <c r="N30" s="2707"/>
      <c r="O30" s="2708"/>
      <c r="P30" s="2707"/>
      <c r="Q30" s="2707"/>
      <c r="R30" s="2709"/>
    </row>
    <row r="31" spans="1:18" s="905" customFormat="1">
      <c r="B31" s="2707"/>
      <c r="C31" s="2707"/>
      <c r="D31" s="2707"/>
      <c r="H31" s="2707"/>
      <c r="I31" s="2708"/>
      <c r="J31" s="2707"/>
      <c r="K31" s="2707"/>
      <c r="L31" s="2708"/>
      <c r="M31" s="2707"/>
      <c r="N31" s="2707"/>
      <c r="O31" s="2708"/>
      <c r="P31" s="2707"/>
      <c r="Q31" s="2707"/>
      <c r="R31" s="2709"/>
    </row>
    <row r="32" spans="1:18" s="905" customFormat="1">
      <c r="B32" s="2707"/>
      <c r="C32" s="2707"/>
      <c r="D32" s="2707"/>
      <c r="H32" s="2707"/>
      <c r="I32" s="2708"/>
      <c r="J32" s="2707"/>
      <c r="K32" s="2707"/>
      <c r="L32" s="2708"/>
      <c r="M32" s="2707"/>
      <c r="N32" s="2707"/>
      <c r="O32" s="2708"/>
      <c r="P32" s="2707"/>
      <c r="Q32" s="2707"/>
      <c r="R32" s="2709"/>
    </row>
    <row r="33" spans="2:18" s="905" customFormat="1">
      <c r="B33" s="2707"/>
      <c r="C33" s="2707"/>
      <c r="D33" s="2707"/>
      <c r="H33" s="2707"/>
      <c r="I33" s="2708"/>
      <c r="J33" s="2707"/>
      <c r="K33" s="2707"/>
      <c r="L33" s="2708"/>
      <c r="M33" s="2707"/>
      <c r="N33" s="2707"/>
      <c r="O33" s="2708"/>
      <c r="P33" s="2707"/>
      <c r="Q33" s="2707"/>
      <c r="R33" s="2709"/>
    </row>
    <row r="34" spans="2:18" s="905" customFormat="1">
      <c r="B34" s="2707"/>
      <c r="C34" s="2707"/>
      <c r="D34" s="2707"/>
      <c r="H34" s="2707"/>
      <c r="I34" s="2708"/>
      <c r="J34" s="2707"/>
      <c r="K34" s="2707"/>
      <c r="L34" s="2708"/>
      <c r="M34" s="2707"/>
      <c r="N34" s="2707"/>
      <c r="O34" s="2708"/>
      <c r="P34" s="2707"/>
      <c r="Q34" s="2707"/>
      <c r="R34" s="2709"/>
    </row>
    <row r="35" spans="2:18" s="905" customFormat="1">
      <c r="B35" s="2707"/>
      <c r="C35" s="2707"/>
      <c r="D35" s="2707"/>
      <c r="H35" s="2707"/>
      <c r="I35" s="2708"/>
      <c r="J35" s="2707"/>
      <c r="K35" s="2707"/>
      <c r="L35" s="2708"/>
      <c r="M35" s="2707"/>
      <c r="N35" s="2707"/>
      <c r="O35" s="2708"/>
      <c r="P35" s="2707"/>
      <c r="Q35" s="2707"/>
      <c r="R35" s="2709"/>
    </row>
    <row r="36" spans="2:18" s="905" customFormat="1">
      <c r="B36" s="2707"/>
      <c r="C36" s="2707"/>
      <c r="D36" s="2707"/>
      <c r="H36" s="2707"/>
      <c r="I36" s="2708"/>
      <c r="J36" s="2707"/>
      <c r="K36" s="2707"/>
      <c r="L36" s="2708"/>
      <c r="M36" s="2707"/>
      <c r="N36" s="2707"/>
      <c r="O36" s="2708"/>
      <c r="P36" s="2707"/>
      <c r="Q36" s="2707"/>
      <c r="R36" s="2709"/>
    </row>
    <row r="37" spans="2:18" s="905" customFormat="1">
      <c r="B37" s="2707"/>
      <c r="C37" s="2707"/>
      <c r="D37" s="2707"/>
      <c r="H37" s="2707"/>
      <c r="I37" s="2708"/>
      <c r="J37" s="2707"/>
      <c r="K37" s="2707"/>
      <c r="L37" s="2708"/>
      <c r="M37" s="2707"/>
      <c r="N37" s="2707"/>
      <c r="O37" s="2708"/>
      <c r="P37" s="2707"/>
      <c r="Q37" s="2707"/>
      <c r="R37" s="2709"/>
    </row>
    <row r="38" spans="2:18" s="905" customFormat="1">
      <c r="B38" s="2707"/>
      <c r="C38" s="2707"/>
      <c r="D38" s="2707"/>
      <c r="E38" s="2707"/>
      <c r="F38" s="2707"/>
      <c r="G38" s="2708"/>
      <c r="H38" s="2707"/>
      <c r="I38" s="2708"/>
      <c r="J38" s="2707"/>
      <c r="K38" s="2707"/>
      <c r="L38" s="2708"/>
      <c r="M38" s="2707"/>
      <c r="N38" s="2707"/>
      <c r="O38" s="2708"/>
      <c r="P38" s="2707"/>
      <c r="Q38" s="2707"/>
      <c r="R38" s="2709"/>
    </row>
    <row r="39" spans="2:18" s="905" customFormat="1">
      <c r="B39" s="2707"/>
      <c r="C39" s="2707"/>
      <c r="D39" s="2707"/>
      <c r="E39" s="2707"/>
      <c r="F39" s="2707"/>
      <c r="G39" s="2708"/>
      <c r="H39" s="2707"/>
      <c r="I39" s="2708"/>
      <c r="J39" s="2707"/>
      <c r="K39" s="2707"/>
      <c r="L39" s="2708"/>
      <c r="M39" s="2707"/>
      <c r="N39" s="2707"/>
      <c r="O39" s="2708"/>
      <c r="P39" s="2707"/>
      <c r="Q39" s="2707"/>
      <c r="R39" s="2709"/>
    </row>
    <row r="40" spans="2:18" s="905" customFormat="1">
      <c r="B40" s="2707"/>
      <c r="C40" s="2707"/>
      <c r="D40" s="2707"/>
      <c r="E40" s="2707"/>
      <c r="F40" s="2707"/>
      <c r="G40" s="2708"/>
      <c r="H40" s="2707"/>
      <c r="I40" s="2708"/>
      <c r="J40" s="2707"/>
      <c r="K40" s="2707"/>
      <c r="L40" s="2708"/>
      <c r="M40" s="2707"/>
      <c r="N40" s="2707"/>
      <c r="O40" s="2708"/>
      <c r="P40" s="2707"/>
      <c r="Q40" s="2707"/>
      <c r="R40" s="2709"/>
    </row>
    <row r="41" spans="2:18" s="905" customFormat="1">
      <c r="B41" s="2707"/>
      <c r="C41" s="2707"/>
      <c r="D41" s="2707"/>
      <c r="E41" s="2707"/>
      <c r="F41" s="2707"/>
      <c r="G41" s="2708"/>
      <c r="H41" s="2707"/>
      <c r="I41" s="2708"/>
      <c r="J41" s="2707"/>
      <c r="K41" s="2707"/>
      <c r="L41" s="2708"/>
      <c r="M41" s="2707"/>
      <c r="N41" s="2707"/>
      <c r="O41" s="2708"/>
      <c r="P41" s="2707"/>
      <c r="Q41" s="2707"/>
      <c r="R41" s="2709"/>
    </row>
    <row r="42" spans="2:18" s="905" customFormat="1">
      <c r="B42" s="2707"/>
      <c r="C42" s="2707"/>
      <c r="D42" s="2707"/>
      <c r="E42" s="2707"/>
      <c r="F42" s="2707"/>
      <c r="G42" s="2708"/>
      <c r="H42" s="2707"/>
      <c r="I42" s="2708"/>
      <c r="J42" s="2707"/>
      <c r="K42" s="2707"/>
      <c r="L42" s="2708"/>
      <c r="M42" s="2707"/>
      <c r="N42" s="2707"/>
      <c r="O42" s="2708"/>
      <c r="P42" s="2707"/>
      <c r="Q42" s="2707"/>
      <c r="R42" s="2709"/>
    </row>
    <row r="43" spans="2:18" s="905" customFormat="1">
      <c r="B43" s="2707"/>
      <c r="C43" s="2707"/>
      <c r="D43" s="2707"/>
      <c r="E43" s="2707"/>
      <c r="F43" s="2707"/>
      <c r="G43" s="2708"/>
      <c r="H43" s="2707"/>
      <c r="I43" s="2708"/>
      <c r="J43" s="2707"/>
      <c r="K43" s="2707"/>
      <c r="L43" s="2708"/>
      <c r="M43" s="2707"/>
      <c r="N43" s="2707"/>
      <c r="O43" s="2708"/>
      <c r="P43" s="2707"/>
      <c r="Q43" s="2707"/>
      <c r="R43" s="2709"/>
    </row>
    <row r="44" spans="2:18" s="905" customFormat="1">
      <c r="B44" s="2707"/>
      <c r="C44" s="2707"/>
      <c r="D44" s="2707"/>
      <c r="E44" s="2707"/>
      <c r="F44" s="2707"/>
      <c r="G44" s="2708"/>
      <c r="H44" s="2707"/>
      <c r="I44" s="2708"/>
      <c r="J44" s="2707"/>
      <c r="K44" s="2707"/>
      <c r="L44" s="2708"/>
      <c r="M44" s="2707"/>
      <c r="N44" s="2707"/>
      <c r="O44" s="2708"/>
      <c r="P44" s="2707"/>
      <c r="Q44" s="2707"/>
      <c r="R44" s="2709"/>
    </row>
    <row r="45" spans="2:18" s="905" customFormat="1">
      <c r="B45" s="2707"/>
      <c r="C45" s="2707"/>
      <c r="D45" s="2707"/>
      <c r="E45" s="2707"/>
      <c r="F45" s="2707"/>
      <c r="G45" s="2708"/>
      <c r="H45" s="2707"/>
      <c r="I45" s="2708"/>
      <c r="J45" s="2707"/>
      <c r="K45" s="2707"/>
      <c r="L45" s="2708"/>
      <c r="M45" s="2707"/>
      <c r="N45" s="2707"/>
      <c r="O45" s="2708"/>
      <c r="P45" s="2707"/>
      <c r="Q45" s="2707"/>
      <c r="R45" s="2709"/>
    </row>
    <row r="46" spans="2:18" s="905" customFormat="1">
      <c r="B46" s="2707"/>
      <c r="C46" s="2707"/>
      <c r="D46" s="2707"/>
      <c r="E46" s="2707"/>
      <c r="F46" s="2707"/>
      <c r="G46" s="2708"/>
      <c r="H46" s="2707"/>
      <c r="I46" s="2708"/>
      <c r="J46" s="2707"/>
      <c r="K46" s="2707"/>
      <c r="L46" s="2708"/>
      <c r="M46" s="2707"/>
      <c r="N46" s="2707"/>
      <c r="O46" s="2708"/>
      <c r="P46" s="2707"/>
      <c r="Q46" s="2707"/>
      <c r="R46" s="2709"/>
    </row>
    <row r="47" spans="2:18" s="905" customFormat="1">
      <c r="B47" s="2707"/>
      <c r="C47" s="2707"/>
      <c r="D47" s="2707"/>
      <c r="E47" s="2707"/>
      <c r="F47" s="2707"/>
      <c r="G47" s="2708"/>
      <c r="H47" s="2707"/>
      <c r="I47" s="2708"/>
      <c r="J47" s="2707"/>
      <c r="K47" s="2707"/>
      <c r="L47" s="2708"/>
      <c r="M47" s="2707"/>
      <c r="N47" s="2707"/>
      <c r="O47" s="2708"/>
      <c r="P47" s="2707"/>
      <c r="Q47" s="2707"/>
      <c r="R47" s="2709"/>
    </row>
    <row r="48" spans="2:18" s="905" customFormat="1">
      <c r="B48" s="2707"/>
      <c r="C48" s="2707"/>
      <c r="D48" s="2707"/>
      <c r="E48" s="2707"/>
      <c r="F48" s="2707"/>
      <c r="G48" s="2708"/>
      <c r="H48" s="2707"/>
      <c r="I48" s="2708"/>
      <c r="J48" s="2707"/>
      <c r="K48" s="2707"/>
      <c r="L48" s="2708"/>
      <c r="M48" s="2707"/>
      <c r="N48" s="2707"/>
      <c r="O48" s="2708"/>
      <c r="P48" s="2707"/>
      <c r="Q48" s="2707"/>
      <c r="R48" s="2709"/>
    </row>
    <row r="49" spans="2:18" s="905" customFormat="1">
      <c r="B49" s="2707"/>
      <c r="C49" s="2707"/>
      <c r="D49" s="2707"/>
      <c r="E49" s="2707"/>
      <c r="F49" s="2707"/>
      <c r="G49" s="2708"/>
      <c r="H49" s="2707"/>
      <c r="I49" s="2708"/>
      <c r="J49" s="2707"/>
      <c r="K49" s="2707"/>
      <c r="L49" s="2708"/>
      <c r="M49" s="2707"/>
      <c r="N49" s="2707"/>
      <c r="O49" s="2708"/>
      <c r="P49" s="2707"/>
      <c r="Q49" s="2707"/>
      <c r="R49" s="2709"/>
    </row>
    <row r="50" spans="2:18" s="905" customFormat="1">
      <c r="B50" s="2707"/>
      <c r="C50" s="2707"/>
      <c r="D50" s="2707"/>
      <c r="E50" s="2707"/>
      <c r="F50" s="2707"/>
      <c r="G50" s="2708"/>
      <c r="H50" s="2707"/>
      <c r="I50" s="2708"/>
      <c r="J50" s="2707"/>
      <c r="K50" s="2707"/>
      <c r="L50" s="2708"/>
      <c r="M50" s="2707"/>
      <c r="N50" s="2707"/>
      <c r="O50" s="2708"/>
      <c r="P50" s="2707"/>
      <c r="Q50" s="2707"/>
      <c r="R50" s="2709"/>
    </row>
    <row r="51" spans="2:18" s="905" customFormat="1">
      <c r="B51" s="2707"/>
      <c r="C51" s="2707"/>
      <c r="D51" s="2707"/>
      <c r="E51" s="2707"/>
      <c r="F51" s="2707"/>
      <c r="G51" s="2708"/>
      <c r="H51" s="2707"/>
      <c r="I51" s="2708"/>
      <c r="J51" s="2707"/>
      <c r="K51" s="2707"/>
      <c r="L51" s="2708"/>
      <c r="M51" s="2707"/>
      <c r="N51" s="2707"/>
      <c r="O51" s="2708"/>
      <c r="P51" s="2707"/>
      <c r="Q51" s="2707"/>
      <c r="R51" s="2709"/>
    </row>
    <row r="52" spans="2:18" s="905" customFormat="1">
      <c r="B52" s="2707"/>
      <c r="C52" s="2707"/>
      <c r="D52" s="2707"/>
      <c r="E52" s="2707"/>
      <c r="F52" s="2707"/>
      <c r="G52" s="2708"/>
      <c r="H52" s="2707"/>
      <c r="I52" s="2708"/>
      <c r="J52" s="2707"/>
      <c r="K52" s="2707"/>
      <c r="L52" s="2708"/>
      <c r="M52" s="2707"/>
      <c r="N52" s="2707"/>
      <c r="O52" s="2708"/>
      <c r="P52" s="2707"/>
      <c r="Q52" s="2707"/>
      <c r="R52" s="2709"/>
    </row>
    <row r="53" spans="2:18" s="905" customFormat="1">
      <c r="B53" s="2707"/>
      <c r="C53" s="2707"/>
      <c r="D53" s="2707"/>
      <c r="E53" s="2707"/>
      <c r="F53" s="2707"/>
      <c r="G53" s="2708"/>
      <c r="H53" s="2707"/>
      <c r="I53" s="2708"/>
      <c r="J53" s="2707"/>
      <c r="K53" s="2707"/>
      <c r="L53" s="2708"/>
      <c r="M53" s="2707"/>
      <c r="N53" s="2707"/>
      <c r="O53" s="2708"/>
      <c r="P53" s="2707"/>
      <c r="Q53" s="2707"/>
      <c r="R53" s="2709"/>
    </row>
    <row r="54" spans="2:18" s="905" customFormat="1">
      <c r="B54" s="2707"/>
      <c r="C54" s="2707"/>
      <c r="D54" s="2707"/>
      <c r="E54" s="2707"/>
      <c r="F54" s="2707"/>
      <c r="G54" s="2708"/>
      <c r="H54" s="2707"/>
      <c r="I54" s="2708"/>
      <c r="J54" s="2707"/>
      <c r="K54" s="2707"/>
      <c r="L54" s="2708"/>
      <c r="M54" s="2707"/>
      <c r="N54" s="2707"/>
      <c r="O54" s="2708"/>
      <c r="P54" s="2707"/>
      <c r="Q54" s="2707"/>
      <c r="R54" s="2709"/>
    </row>
    <row r="55" spans="2:18" s="905" customFormat="1">
      <c r="B55" s="2707"/>
      <c r="C55" s="2707"/>
      <c r="D55" s="2707"/>
      <c r="E55" s="2707"/>
      <c r="F55" s="2707"/>
      <c r="G55" s="2708"/>
      <c r="H55" s="2707"/>
      <c r="I55" s="2708"/>
      <c r="J55" s="2707"/>
      <c r="K55" s="2707"/>
      <c r="L55" s="2708"/>
      <c r="M55" s="2707"/>
      <c r="N55" s="2707"/>
      <c r="O55" s="2708"/>
      <c r="P55" s="2707"/>
      <c r="Q55" s="2707"/>
      <c r="R55" s="2709"/>
    </row>
    <row r="56" spans="2:18" s="905" customFormat="1">
      <c r="B56" s="2707"/>
      <c r="C56" s="2707"/>
      <c r="D56" s="2707"/>
      <c r="E56" s="2707"/>
      <c r="F56" s="2707"/>
      <c r="G56" s="2708"/>
      <c r="H56" s="2707"/>
      <c r="I56" s="2708"/>
      <c r="J56" s="2707"/>
      <c r="K56" s="2707"/>
      <c r="L56" s="2708"/>
      <c r="M56" s="2707"/>
      <c r="N56" s="2707"/>
      <c r="O56" s="2708"/>
      <c r="P56" s="2707"/>
      <c r="Q56" s="2707"/>
      <c r="R56" s="2709"/>
    </row>
    <row r="57" spans="2:18" s="905" customFormat="1">
      <c r="B57" s="2707"/>
      <c r="C57" s="2707"/>
      <c r="D57" s="2707"/>
      <c r="E57" s="2707"/>
      <c r="F57" s="2707"/>
      <c r="G57" s="2708"/>
      <c r="H57" s="2707"/>
      <c r="I57" s="2708"/>
      <c r="J57" s="2707"/>
      <c r="K57" s="2707"/>
      <c r="L57" s="2708"/>
      <c r="M57" s="2707"/>
      <c r="N57" s="2707"/>
      <c r="O57" s="2708"/>
      <c r="P57" s="2707"/>
      <c r="Q57" s="2707"/>
      <c r="R57" s="2709"/>
    </row>
    <row r="58" spans="2:18" s="905" customFormat="1">
      <c r="B58" s="2707"/>
      <c r="C58" s="2707"/>
      <c r="D58" s="2707"/>
      <c r="E58" s="2707"/>
      <c r="F58" s="2707"/>
      <c r="G58" s="2708"/>
      <c r="H58" s="2707"/>
      <c r="I58" s="2708"/>
      <c r="J58" s="2707"/>
      <c r="K58" s="2707"/>
      <c r="L58" s="2708"/>
      <c r="M58" s="2707"/>
      <c r="N58" s="2707"/>
      <c r="O58" s="2708"/>
      <c r="P58" s="2707"/>
      <c r="Q58" s="2707"/>
      <c r="R58" s="2709"/>
    </row>
    <row r="59" spans="2:18" s="905" customFormat="1">
      <c r="B59" s="2707"/>
      <c r="C59" s="2707"/>
      <c r="D59" s="2707"/>
      <c r="E59" s="2707"/>
      <c r="F59" s="2707"/>
      <c r="G59" s="2708"/>
      <c r="H59" s="2707"/>
      <c r="I59" s="2708"/>
      <c r="J59" s="2707"/>
      <c r="K59" s="2707"/>
      <c r="L59" s="2708"/>
      <c r="M59" s="2707"/>
      <c r="N59" s="2707"/>
      <c r="O59" s="2708"/>
      <c r="P59" s="2707"/>
      <c r="Q59" s="2707"/>
      <c r="R59" s="2709"/>
    </row>
    <row r="60" spans="2:18" s="905" customFormat="1">
      <c r="B60" s="2707"/>
      <c r="C60" s="2707"/>
      <c r="D60" s="2707"/>
      <c r="E60" s="2707"/>
      <c r="F60" s="2707"/>
      <c r="G60" s="2708"/>
      <c r="H60" s="2707"/>
      <c r="I60" s="2708"/>
      <c r="J60" s="2707"/>
      <c r="K60" s="2707"/>
      <c r="L60" s="2708"/>
      <c r="M60" s="2707"/>
      <c r="N60" s="2707"/>
      <c r="O60" s="2708"/>
      <c r="P60" s="2707"/>
      <c r="Q60" s="2707"/>
      <c r="R60" s="2709"/>
    </row>
    <row r="61" spans="2:18" s="905" customFormat="1">
      <c r="B61" s="2707"/>
      <c r="C61" s="2707"/>
      <c r="D61" s="2707"/>
      <c r="E61" s="2707"/>
      <c r="F61" s="2707"/>
      <c r="G61" s="2708"/>
      <c r="H61" s="2707"/>
      <c r="I61" s="2708"/>
      <c r="J61" s="2707"/>
      <c r="K61" s="2707"/>
      <c r="L61" s="2708"/>
      <c r="M61" s="2707"/>
      <c r="N61" s="2707"/>
      <c r="O61" s="2708"/>
      <c r="P61" s="2707"/>
      <c r="Q61" s="2707"/>
      <c r="R61" s="2709"/>
    </row>
    <row r="62" spans="2:18" s="905" customFormat="1">
      <c r="B62" s="2707"/>
      <c r="C62" s="2707"/>
      <c r="D62" s="2707"/>
      <c r="E62" s="2707"/>
      <c r="F62" s="2707"/>
      <c r="G62" s="2708"/>
      <c r="H62" s="2707"/>
      <c r="I62" s="2708"/>
      <c r="J62" s="2707"/>
      <c r="K62" s="2707"/>
      <c r="L62" s="2708"/>
      <c r="M62" s="2707"/>
      <c r="N62" s="2707"/>
      <c r="O62" s="2708"/>
      <c r="P62" s="2707"/>
      <c r="Q62" s="2707"/>
      <c r="R62" s="2709"/>
    </row>
    <row r="63" spans="2:18" s="905" customFormat="1">
      <c r="B63" s="2707"/>
      <c r="C63" s="2707"/>
      <c r="D63" s="2707"/>
      <c r="E63" s="2707"/>
      <c r="F63" s="2707"/>
      <c r="G63" s="2708"/>
      <c r="H63" s="2707"/>
      <c r="I63" s="2708"/>
      <c r="J63" s="2707"/>
      <c r="K63" s="2707"/>
      <c r="L63" s="2708"/>
      <c r="M63" s="2707"/>
      <c r="N63" s="2707"/>
      <c r="O63" s="2708"/>
      <c r="P63" s="2707"/>
      <c r="Q63" s="2707"/>
      <c r="R63" s="2709"/>
    </row>
    <row r="64" spans="2:18" s="905" customFormat="1">
      <c r="B64" s="2707"/>
      <c r="C64" s="2707"/>
      <c r="D64" s="2707"/>
      <c r="E64" s="2707"/>
      <c r="F64" s="2707"/>
      <c r="G64" s="2708"/>
      <c r="H64" s="2707"/>
      <c r="I64" s="2708"/>
      <c r="J64" s="2707"/>
      <c r="K64" s="2707"/>
      <c r="L64" s="2708"/>
      <c r="M64" s="2707"/>
      <c r="N64" s="2707"/>
      <c r="O64" s="2708"/>
      <c r="P64" s="2707"/>
      <c r="Q64" s="2707"/>
      <c r="R64" s="2709"/>
    </row>
    <row r="65" spans="2:18" s="905" customFormat="1">
      <c r="B65" s="2707"/>
      <c r="C65" s="2707"/>
      <c r="D65" s="2707"/>
      <c r="E65" s="2707"/>
      <c r="F65" s="2707"/>
      <c r="G65" s="2708"/>
      <c r="H65" s="2707"/>
      <c r="I65" s="2708"/>
      <c r="J65" s="2707"/>
      <c r="K65" s="2707"/>
      <c r="L65" s="2708"/>
      <c r="M65" s="2707"/>
      <c r="N65" s="2707"/>
      <c r="O65" s="2708"/>
      <c r="P65" s="2707"/>
      <c r="Q65" s="2707"/>
      <c r="R65" s="2709"/>
    </row>
    <row r="66" spans="2:18" s="905" customFormat="1">
      <c r="B66" s="2707"/>
      <c r="C66" s="2707"/>
      <c r="D66" s="2707"/>
      <c r="E66" s="2707"/>
      <c r="F66" s="2707"/>
      <c r="G66" s="2708"/>
      <c r="H66" s="2707"/>
      <c r="I66" s="2708"/>
      <c r="J66" s="2707"/>
      <c r="K66" s="2707"/>
      <c r="L66" s="2708"/>
      <c r="M66" s="2707"/>
      <c r="N66" s="2707"/>
      <c r="O66" s="2708"/>
      <c r="P66" s="2707"/>
      <c r="Q66" s="2707"/>
      <c r="R66" s="2709"/>
    </row>
    <row r="67" spans="2:18" s="905" customFormat="1">
      <c r="B67" s="2707"/>
      <c r="C67" s="2707"/>
      <c r="D67" s="2707"/>
      <c r="E67" s="2707"/>
      <c r="F67" s="2707"/>
      <c r="G67" s="2708"/>
      <c r="H67" s="2707"/>
      <c r="I67" s="2708"/>
      <c r="J67" s="2707"/>
      <c r="K67" s="2707"/>
      <c r="L67" s="2708"/>
      <c r="M67" s="2707"/>
      <c r="N67" s="2707"/>
      <c r="O67" s="2708"/>
      <c r="P67" s="2707"/>
      <c r="Q67" s="2707"/>
      <c r="R67" s="2709"/>
    </row>
    <row r="68" spans="2:18" s="905" customFormat="1">
      <c r="B68" s="2707"/>
      <c r="C68" s="2707"/>
      <c r="D68" s="2707"/>
      <c r="E68" s="2707"/>
      <c r="F68" s="2707"/>
      <c r="G68" s="2708"/>
      <c r="H68" s="2707"/>
      <c r="I68" s="2708"/>
      <c r="J68" s="2707"/>
      <c r="K68" s="2707"/>
      <c r="L68" s="2708"/>
      <c r="M68" s="2707"/>
      <c r="N68" s="2707"/>
      <c r="O68" s="2708"/>
      <c r="P68" s="2707"/>
      <c r="Q68" s="2707"/>
      <c r="R68" s="2709"/>
    </row>
    <row r="69" spans="2:18" s="905" customFormat="1">
      <c r="B69" s="2707"/>
      <c r="C69" s="2707"/>
      <c r="D69" s="2707"/>
      <c r="E69" s="2707"/>
      <c r="F69" s="2707"/>
      <c r="G69" s="2708"/>
      <c r="H69" s="2707"/>
      <c r="I69" s="2708"/>
      <c r="J69" s="2707"/>
      <c r="K69" s="2707"/>
      <c r="L69" s="2708"/>
      <c r="M69" s="2707"/>
      <c r="N69" s="2707"/>
      <c r="O69" s="2708"/>
      <c r="P69" s="2707"/>
      <c r="Q69" s="2707"/>
      <c r="R69" s="2709"/>
    </row>
    <row r="70" spans="2:18" s="905" customFormat="1">
      <c r="B70" s="2707"/>
      <c r="C70" s="2707"/>
      <c r="D70" s="2707"/>
      <c r="E70" s="2707"/>
      <c r="F70" s="2707"/>
      <c r="G70" s="2708"/>
      <c r="H70" s="2707"/>
      <c r="I70" s="2708"/>
      <c r="J70" s="2707"/>
      <c r="K70" s="2707"/>
      <c r="L70" s="2708"/>
      <c r="M70" s="2707"/>
      <c r="N70" s="2707"/>
      <c r="O70" s="2708"/>
      <c r="P70" s="2707"/>
      <c r="Q70" s="2707"/>
      <c r="R70" s="2709"/>
    </row>
    <row r="71" spans="2:18" s="905" customFormat="1">
      <c r="B71" s="2707"/>
      <c r="C71" s="2707"/>
      <c r="D71" s="2707"/>
      <c r="E71" s="2707"/>
      <c r="F71" s="2707"/>
      <c r="G71" s="2708"/>
      <c r="H71" s="2707"/>
      <c r="I71" s="2708"/>
      <c r="J71" s="2707"/>
      <c r="K71" s="2707"/>
      <c r="L71" s="2708"/>
      <c r="M71" s="2707"/>
      <c r="N71" s="2707"/>
      <c r="O71" s="2708"/>
      <c r="P71" s="2707"/>
      <c r="Q71" s="2707"/>
      <c r="R71" s="2709"/>
    </row>
    <row r="72" spans="2:18" s="905" customFormat="1">
      <c r="B72" s="2707"/>
      <c r="C72" s="2707"/>
      <c r="D72" s="2707"/>
      <c r="E72" s="2707"/>
      <c r="F72" s="2707"/>
      <c r="G72" s="2708"/>
      <c r="H72" s="2707"/>
      <c r="I72" s="2708"/>
      <c r="J72" s="2707"/>
      <c r="K72" s="2707"/>
      <c r="L72" s="2708"/>
      <c r="M72" s="2707"/>
      <c r="N72" s="2707"/>
      <c r="O72" s="2708"/>
      <c r="P72" s="2707"/>
      <c r="Q72" s="2707"/>
      <c r="R72" s="2709"/>
    </row>
    <row r="73" spans="2:18" s="905" customFormat="1">
      <c r="B73" s="2707"/>
      <c r="C73" s="2707"/>
      <c r="D73" s="2707"/>
      <c r="E73" s="2707"/>
      <c r="F73" s="2707"/>
      <c r="G73" s="2708"/>
      <c r="H73" s="2707"/>
      <c r="I73" s="2708"/>
      <c r="J73" s="2707"/>
      <c r="K73" s="2707"/>
      <c r="L73" s="2708"/>
      <c r="M73" s="2707"/>
      <c r="N73" s="2707"/>
      <c r="O73" s="2708"/>
      <c r="P73" s="2707"/>
      <c r="Q73" s="2707"/>
      <c r="R73" s="2709"/>
    </row>
    <row r="74" spans="2:18" s="905" customFormat="1">
      <c r="B74" s="2707"/>
      <c r="C74" s="2707"/>
      <c r="D74" s="2707"/>
      <c r="E74" s="2707"/>
      <c r="F74" s="2707"/>
      <c r="G74" s="2708"/>
      <c r="H74" s="2707"/>
      <c r="I74" s="2708"/>
      <c r="J74" s="2707"/>
      <c r="K74" s="2707"/>
      <c r="L74" s="2708"/>
      <c r="M74" s="2707"/>
      <c r="N74" s="2707"/>
      <c r="O74" s="2708"/>
      <c r="P74" s="2707"/>
      <c r="Q74" s="2707"/>
      <c r="R74" s="2709"/>
    </row>
    <row r="75" spans="2:18" s="905" customFormat="1">
      <c r="B75" s="2707"/>
      <c r="C75" s="2707"/>
      <c r="D75" s="2707"/>
      <c r="E75" s="2707"/>
      <c r="F75" s="2707"/>
      <c r="G75" s="2708"/>
      <c r="H75" s="2707"/>
      <c r="I75" s="2708"/>
      <c r="J75" s="2707"/>
      <c r="K75" s="2707"/>
      <c r="L75" s="2708"/>
      <c r="M75" s="2707"/>
      <c r="N75" s="2707"/>
      <c r="O75" s="2708"/>
      <c r="P75" s="2707"/>
      <c r="Q75" s="2707"/>
      <c r="R75" s="2709"/>
    </row>
    <row r="76" spans="2:18" s="905" customFormat="1">
      <c r="B76" s="2707"/>
      <c r="C76" s="2707"/>
      <c r="D76" s="2707"/>
      <c r="E76" s="2707"/>
      <c r="F76" s="2707"/>
      <c r="G76" s="2708"/>
      <c r="H76" s="2707"/>
      <c r="I76" s="2708"/>
      <c r="J76" s="2707"/>
      <c r="K76" s="2707"/>
      <c r="L76" s="2708"/>
      <c r="M76" s="2707"/>
      <c r="N76" s="2707"/>
      <c r="O76" s="2708"/>
      <c r="P76" s="2707"/>
      <c r="Q76" s="2707"/>
      <c r="R76" s="2709"/>
    </row>
    <row r="77" spans="2:18" s="905" customFormat="1">
      <c r="B77" s="2707"/>
      <c r="C77" s="2707"/>
      <c r="D77" s="2707"/>
      <c r="E77" s="2707"/>
      <c r="F77" s="2707"/>
      <c r="G77" s="2708"/>
      <c r="H77" s="2707"/>
      <c r="I77" s="2708"/>
      <c r="J77" s="2707"/>
      <c r="K77" s="2707"/>
      <c r="L77" s="2708"/>
      <c r="M77" s="2707"/>
      <c r="N77" s="2707"/>
      <c r="O77" s="2708"/>
      <c r="P77" s="2707"/>
      <c r="Q77" s="2707"/>
      <c r="R77" s="2709"/>
    </row>
    <row r="78" spans="2:18" s="905" customFormat="1">
      <c r="B78" s="2707"/>
      <c r="C78" s="2707"/>
      <c r="D78" s="2707"/>
      <c r="E78" s="2707"/>
      <c r="F78" s="2707"/>
      <c r="G78" s="2708"/>
      <c r="H78" s="2707"/>
      <c r="I78" s="2708"/>
      <c r="J78" s="2707"/>
      <c r="K78" s="2707"/>
      <c r="L78" s="2708"/>
      <c r="M78" s="2707"/>
      <c r="N78" s="2707"/>
      <c r="O78" s="2708"/>
      <c r="P78" s="2707"/>
      <c r="Q78" s="2707"/>
      <c r="R78" s="2709"/>
    </row>
    <row r="79" spans="2:18" s="905" customFormat="1">
      <c r="B79" s="2707"/>
      <c r="C79" s="2707"/>
      <c r="D79" s="2707"/>
      <c r="E79" s="2707"/>
      <c r="F79" s="2707"/>
      <c r="G79" s="2708"/>
      <c r="H79" s="2707"/>
      <c r="I79" s="2708"/>
      <c r="J79" s="2707"/>
      <c r="K79" s="2707"/>
      <c r="L79" s="2708"/>
      <c r="M79" s="2707"/>
      <c r="N79" s="2707"/>
      <c r="O79" s="2708"/>
      <c r="P79" s="2707"/>
      <c r="Q79" s="2707"/>
      <c r="R79" s="2709"/>
    </row>
    <row r="80" spans="2:18" s="905" customFormat="1">
      <c r="B80" s="2707"/>
      <c r="C80" s="2707"/>
      <c r="D80" s="2707"/>
      <c r="E80" s="2707"/>
      <c r="F80" s="2707"/>
      <c r="G80" s="2708"/>
      <c r="H80" s="2707"/>
      <c r="I80" s="2708"/>
      <c r="J80" s="2707"/>
      <c r="K80" s="2707"/>
      <c r="L80" s="2708"/>
      <c r="M80" s="2707"/>
      <c r="N80" s="2707"/>
      <c r="O80" s="2708"/>
      <c r="P80" s="2707"/>
      <c r="Q80" s="2707"/>
      <c r="R80" s="2709"/>
    </row>
    <row r="81" spans="2:18" s="905" customFormat="1">
      <c r="B81" s="2707"/>
      <c r="C81" s="2707"/>
      <c r="D81" s="2707"/>
      <c r="E81" s="2707"/>
      <c r="F81" s="2707"/>
      <c r="G81" s="2708"/>
      <c r="H81" s="2707"/>
      <c r="I81" s="2708"/>
      <c r="J81" s="2707"/>
      <c r="K81" s="2707"/>
      <c r="L81" s="2708"/>
      <c r="M81" s="2707"/>
      <c r="N81" s="2707"/>
      <c r="O81" s="2708"/>
      <c r="P81" s="2707"/>
      <c r="Q81" s="2707"/>
      <c r="R81" s="2709"/>
    </row>
    <row r="82" spans="2:18" s="905" customFormat="1">
      <c r="B82" s="2707"/>
      <c r="C82" s="2707"/>
      <c r="D82" s="2707"/>
      <c r="E82" s="2707"/>
      <c r="F82" s="2707"/>
      <c r="G82" s="2708"/>
      <c r="H82" s="2707"/>
      <c r="I82" s="2708"/>
      <c r="J82" s="2707"/>
      <c r="K82" s="2707"/>
      <c r="L82" s="2708"/>
      <c r="M82" s="2707"/>
      <c r="N82" s="2707"/>
      <c r="O82" s="2708"/>
      <c r="P82" s="2707"/>
      <c r="Q82" s="2707"/>
      <c r="R82" s="2709"/>
    </row>
    <row r="83" spans="2:18" s="905" customFormat="1">
      <c r="B83" s="2707"/>
      <c r="C83" s="2707"/>
      <c r="D83" s="2707"/>
      <c r="E83" s="2707"/>
      <c r="F83" s="2707"/>
      <c r="G83" s="2708"/>
      <c r="H83" s="2707"/>
      <c r="I83" s="2708"/>
      <c r="J83" s="2707"/>
      <c r="K83" s="2707"/>
      <c r="L83" s="2708"/>
      <c r="M83" s="2707"/>
      <c r="N83" s="2707"/>
      <c r="O83" s="2708"/>
      <c r="P83" s="2707"/>
      <c r="Q83" s="2707"/>
      <c r="R83" s="2709"/>
    </row>
    <row r="84" spans="2:18" s="905" customFormat="1">
      <c r="B84" s="2707"/>
      <c r="C84" s="2707"/>
      <c r="D84" s="2707"/>
      <c r="E84" s="2707"/>
      <c r="F84" s="2707"/>
      <c r="G84" s="2708"/>
      <c r="H84" s="2707"/>
      <c r="I84" s="2708"/>
      <c r="J84" s="2707"/>
      <c r="K84" s="2707"/>
      <c r="L84" s="2708"/>
      <c r="M84" s="2707"/>
      <c r="N84" s="2707"/>
      <c r="O84" s="2708"/>
      <c r="P84" s="2707"/>
      <c r="Q84" s="2707"/>
      <c r="R84" s="2709"/>
    </row>
    <row r="85" spans="2:18" s="905" customFormat="1">
      <c r="B85" s="2707"/>
      <c r="C85" s="2707"/>
      <c r="D85" s="2707"/>
      <c r="E85" s="2707"/>
      <c r="F85" s="2707"/>
      <c r="G85" s="2708"/>
      <c r="H85" s="2707"/>
      <c r="I85" s="2708"/>
      <c r="J85" s="2707"/>
      <c r="K85" s="2707"/>
      <c r="L85" s="2708"/>
      <c r="M85" s="2707"/>
      <c r="N85" s="2707"/>
      <c r="O85" s="2708"/>
      <c r="P85" s="2707"/>
      <c r="Q85" s="2707"/>
      <c r="R85" s="2709"/>
    </row>
    <row r="86" spans="2:18" s="905" customFormat="1">
      <c r="B86" s="2707"/>
      <c r="C86" s="2707"/>
      <c r="D86" s="2707"/>
      <c r="E86" s="2707"/>
      <c r="F86" s="2707"/>
      <c r="G86" s="2708"/>
      <c r="H86" s="2707"/>
      <c r="I86" s="2708"/>
      <c r="J86" s="2707"/>
      <c r="K86" s="2707"/>
      <c r="L86" s="2708"/>
      <c r="M86" s="2707"/>
      <c r="N86" s="2707"/>
      <c r="O86" s="2708"/>
      <c r="P86" s="2707"/>
      <c r="Q86" s="2707"/>
      <c r="R86" s="2709"/>
    </row>
    <row r="87" spans="2:18" s="905" customFormat="1">
      <c r="B87" s="2707"/>
      <c r="C87" s="2707"/>
      <c r="D87" s="2707"/>
      <c r="E87" s="2707"/>
      <c r="F87" s="2707"/>
      <c r="G87" s="2708"/>
      <c r="H87" s="2707"/>
      <c r="I87" s="2708"/>
      <c r="J87" s="2707"/>
      <c r="K87" s="2707"/>
      <c r="L87" s="2708"/>
      <c r="M87" s="2707"/>
      <c r="N87" s="2707"/>
      <c r="O87" s="2708"/>
      <c r="P87" s="2707"/>
      <c r="Q87" s="2707"/>
      <c r="R87" s="2709"/>
    </row>
    <row r="88" spans="2:18" s="905" customFormat="1">
      <c r="B88" s="2707"/>
      <c r="C88" s="2707"/>
      <c r="D88" s="2707"/>
      <c r="E88" s="2707"/>
      <c r="F88" s="2707"/>
      <c r="G88" s="2708"/>
      <c r="H88" s="2707"/>
      <c r="I88" s="2708"/>
      <c r="J88" s="2707"/>
      <c r="K88" s="2707"/>
      <c r="L88" s="2708"/>
      <c r="M88" s="2707"/>
      <c r="N88" s="2707"/>
      <c r="O88" s="2708"/>
      <c r="P88" s="2707"/>
      <c r="Q88" s="2707"/>
      <c r="R88" s="2709"/>
    </row>
    <row r="89" spans="2:18" s="905" customFormat="1">
      <c r="B89" s="2707"/>
      <c r="C89" s="2707"/>
      <c r="D89" s="2707"/>
      <c r="E89" s="2707"/>
      <c r="F89" s="2707"/>
      <c r="G89" s="2708"/>
      <c r="H89" s="2707"/>
      <c r="I89" s="2708"/>
      <c r="J89" s="2707"/>
      <c r="K89" s="2707"/>
      <c r="L89" s="2708"/>
      <c r="M89" s="2707"/>
      <c r="N89" s="2707"/>
      <c r="O89" s="2708"/>
      <c r="P89" s="2707"/>
      <c r="Q89" s="2707"/>
      <c r="R89" s="2709"/>
    </row>
    <row r="90" spans="2:18" s="905" customFormat="1">
      <c r="B90" s="2707"/>
      <c r="C90" s="2707"/>
      <c r="D90" s="2707"/>
      <c r="E90" s="2707"/>
      <c r="F90" s="2707"/>
      <c r="G90" s="2708"/>
      <c r="H90" s="2707"/>
      <c r="I90" s="2708"/>
      <c r="J90" s="2707"/>
      <c r="K90" s="2707"/>
      <c r="L90" s="2708"/>
      <c r="M90" s="2707"/>
      <c r="N90" s="2707"/>
      <c r="O90" s="2708"/>
      <c r="P90" s="2707"/>
      <c r="Q90" s="2707"/>
      <c r="R90" s="2709"/>
    </row>
    <row r="91" spans="2:18" s="905" customFormat="1">
      <c r="B91" s="2707"/>
      <c r="C91" s="2707"/>
      <c r="D91" s="2707"/>
      <c r="E91" s="2707"/>
      <c r="F91" s="2707"/>
      <c r="G91" s="2708"/>
      <c r="H91" s="2707"/>
      <c r="I91" s="2708"/>
      <c r="J91" s="2707"/>
      <c r="K91" s="2707"/>
      <c r="L91" s="2708"/>
      <c r="M91" s="2707"/>
      <c r="N91" s="2707"/>
      <c r="O91" s="2708"/>
      <c r="P91" s="2707"/>
      <c r="Q91" s="2707"/>
      <c r="R91" s="2709"/>
    </row>
    <row r="92" spans="2:18" s="905" customFormat="1">
      <c r="B92" s="2707"/>
      <c r="C92" s="2707"/>
      <c r="D92" s="2707"/>
      <c r="E92" s="2707"/>
      <c r="F92" s="2707"/>
      <c r="G92" s="2708"/>
      <c r="H92" s="2707"/>
      <c r="I92" s="2708"/>
      <c r="J92" s="2707"/>
      <c r="K92" s="2707"/>
      <c r="L92" s="2708"/>
      <c r="M92" s="2707"/>
      <c r="N92" s="2707"/>
      <c r="O92" s="2708"/>
      <c r="P92" s="2707"/>
      <c r="Q92" s="2707"/>
      <c r="R92" s="2709"/>
    </row>
    <row r="93" spans="2:18" s="905" customFormat="1">
      <c r="B93" s="2707"/>
      <c r="C93" s="2707"/>
      <c r="D93" s="2707"/>
      <c r="E93" s="2707"/>
      <c r="F93" s="2707"/>
      <c r="G93" s="2708"/>
      <c r="H93" s="2707"/>
      <c r="I93" s="2708"/>
      <c r="J93" s="2707"/>
      <c r="K93" s="2707"/>
      <c r="L93" s="2708"/>
      <c r="M93" s="2707"/>
      <c r="N93" s="2707"/>
      <c r="O93" s="2708"/>
      <c r="P93" s="2707"/>
      <c r="Q93" s="2707"/>
      <c r="R93" s="2709"/>
    </row>
    <row r="94" spans="2:18" s="905" customFormat="1">
      <c r="B94" s="2707"/>
      <c r="C94" s="2707"/>
      <c r="D94" s="2707"/>
      <c r="E94" s="2707"/>
      <c r="F94" s="2707"/>
      <c r="G94" s="2708"/>
      <c r="H94" s="2707"/>
      <c r="I94" s="2708"/>
      <c r="J94" s="2707"/>
      <c r="K94" s="2707"/>
      <c r="L94" s="2708"/>
      <c r="M94" s="2707"/>
      <c r="N94" s="2707"/>
      <c r="O94" s="2708"/>
      <c r="P94" s="2707"/>
      <c r="Q94" s="2707"/>
      <c r="R94" s="2709"/>
    </row>
    <row r="95" spans="2:18" s="905" customFormat="1">
      <c r="B95" s="2707"/>
      <c r="C95" s="2707"/>
      <c r="D95" s="2707"/>
      <c r="E95" s="2707"/>
      <c r="F95" s="2707"/>
      <c r="G95" s="2708"/>
      <c r="H95" s="2707"/>
      <c r="I95" s="2708"/>
      <c r="J95" s="2707"/>
      <c r="K95" s="2707"/>
      <c r="L95" s="2708"/>
      <c r="M95" s="2707"/>
      <c r="N95" s="2707"/>
      <c r="O95" s="2708"/>
      <c r="P95" s="2707"/>
      <c r="Q95" s="2707"/>
      <c r="R95" s="2709"/>
    </row>
    <row r="96" spans="2:18" s="905" customFormat="1">
      <c r="B96" s="2707"/>
      <c r="C96" s="2707"/>
      <c r="D96" s="2707"/>
      <c r="E96" s="2707"/>
      <c r="F96" s="2707"/>
      <c r="G96" s="2708"/>
      <c r="H96" s="2707"/>
      <c r="I96" s="2708"/>
      <c r="J96" s="2707"/>
      <c r="K96" s="2707"/>
      <c r="L96" s="2708"/>
      <c r="M96" s="2707"/>
      <c r="N96" s="2707"/>
      <c r="O96" s="2708"/>
      <c r="P96" s="2707"/>
      <c r="Q96" s="2707"/>
      <c r="R96" s="2709"/>
    </row>
    <row r="97" spans="2:18" s="905" customFormat="1">
      <c r="B97" s="2707"/>
      <c r="C97" s="2707"/>
      <c r="D97" s="2707"/>
      <c r="E97" s="2707"/>
      <c r="F97" s="2707"/>
      <c r="G97" s="2708"/>
      <c r="H97" s="2707"/>
      <c r="I97" s="2708"/>
      <c r="J97" s="2707"/>
      <c r="K97" s="2707"/>
      <c r="L97" s="2708"/>
      <c r="M97" s="2707"/>
      <c r="N97" s="2707"/>
      <c r="O97" s="2708"/>
      <c r="P97" s="2707"/>
      <c r="Q97" s="2707"/>
      <c r="R97" s="2709"/>
    </row>
    <row r="98" spans="2:18" s="905" customFormat="1">
      <c r="B98" s="2707"/>
      <c r="C98" s="2707"/>
      <c r="D98" s="2707"/>
      <c r="E98" s="2707"/>
      <c r="F98" s="2707"/>
      <c r="G98" s="2708"/>
      <c r="H98" s="2707"/>
      <c r="I98" s="2708"/>
      <c r="J98" s="2707"/>
      <c r="K98" s="2707"/>
      <c r="L98" s="2708"/>
      <c r="M98" s="2707"/>
      <c r="N98" s="2707"/>
      <c r="O98" s="2708"/>
      <c r="P98" s="2707"/>
      <c r="Q98" s="2707"/>
      <c r="R98" s="2709"/>
    </row>
    <row r="99" spans="2:18" s="905" customFormat="1">
      <c r="B99" s="2707"/>
      <c r="C99" s="2707"/>
      <c r="D99" s="2707"/>
      <c r="E99" s="2707"/>
      <c r="F99" s="2707"/>
      <c r="G99" s="2708"/>
      <c r="H99" s="2707"/>
      <c r="I99" s="2708"/>
      <c r="J99" s="2707"/>
      <c r="K99" s="2707"/>
      <c r="L99" s="2708"/>
      <c r="M99" s="2707"/>
      <c r="N99" s="2707"/>
      <c r="O99" s="2708"/>
      <c r="P99" s="2707"/>
      <c r="Q99" s="2707"/>
      <c r="R99" s="2709"/>
    </row>
    <row r="100" spans="2:18" s="905" customFormat="1">
      <c r="B100" s="2707"/>
      <c r="C100" s="2707"/>
      <c r="D100" s="2707"/>
      <c r="E100" s="2707"/>
      <c r="F100" s="2707"/>
      <c r="G100" s="2708"/>
      <c r="H100" s="2707"/>
      <c r="I100" s="2708"/>
      <c r="J100" s="2707"/>
      <c r="K100" s="2707"/>
      <c r="L100" s="2708"/>
      <c r="M100" s="2707"/>
      <c r="N100" s="2707"/>
      <c r="O100" s="2708"/>
      <c r="P100" s="2707"/>
      <c r="Q100" s="2707"/>
      <c r="R100" s="2709"/>
    </row>
    <row r="101" spans="2:18" s="905" customFormat="1">
      <c r="B101" s="2707"/>
      <c r="C101" s="2707"/>
      <c r="D101" s="2707"/>
      <c r="E101" s="2707"/>
      <c r="F101" s="2707"/>
      <c r="G101" s="2708"/>
      <c r="H101" s="2707"/>
      <c r="I101" s="2708"/>
      <c r="J101" s="2707"/>
      <c r="K101" s="2707"/>
      <c r="L101" s="2708"/>
      <c r="M101" s="2707"/>
      <c r="N101" s="2707"/>
      <c r="O101" s="2708"/>
      <c r="P101" s="2707"/>
      <c r="Q101" s="2707"/>
      <c r="R101" s="2709"/>
    </row>
    <row r="102" spans="2:18" s="905" customFormat="1">
      <c r="B102" s="2707"/>
      <c r="C102" s="2707"/>
      <c r="D102" s="2707"/>
      <c r="E102" s="2707"/>
      <c r="F102" s="2707"/>
      <c r="G102" s="2708"/>
      <c r="H102" s="2707"/>
      <c r="I102" s="2708"/>
      <c r="J102" s="2707"/>
      <c r="K102" s="2707"/>
      <c r="L102" s="2708"/>
      <c r="M102" s="2707"/>
      <c r="N102" s="2707"/>
      <c r="O102" s="2708"/>
      <c r="P102" s="2707"/>
      <c r="Q102" s="2707"/>
      <c r="R102" s="2709"/>
    </row>
    <row r="103" spans="2:18" s="905" customFormat="1">
      <c r="B103" s="2707"/>
      <c r="C103" s="2707"/>
      <c r="D103" s="2707"/>
      <c r="E103" s="2707"/>
      <c r="F103" s="2707"/>
      <c r="G103" s="2708"/>
      <c r="H103" s="2707"/>
      <c r="I103" s="2708"/>
      <c r="J103" s="2707"/>
      <c r="K103" s="2707"/>
      <c r="L103" s="2708"/>
      <c r="M103" s="2707"/>
      <c r="N103" s="2707"/>
      <c r="O103" s="2708"/>
      <c r="P103" s="2707"/>
      <c r="Q103" s="2707"/>
      <c r="R103" s="2709"/>
    </row>
    <row r="104" spans="2:18" s="905" customFormat="1">
      <c r="B104" s="2707"/>
      <c r="C104" s="2707"/>
      <c r="D104" s="2707"/>
      <c r="E104" s="2707"/>
      <c r="F104" s="2707"/>
      <c r="G104" s="2708"/>
      <c r="H104" s="2707"/>
      <c r="I104" s="2708"/>
      <c r="J104" s="2707"/>
      <c r="K104" s="2707"/>
      <c r="L104" s="2708"/>
      <c r="M104" s="2707"/>
      <c r="N104" s="2707"/>
      <c r="O104" s="2708"/>
      <c r="P104" s="2707"/>
      <c r="Q104" s="2707"/>
      <c r="R104" s="2709"/>
    </row>
    <row r="105" spans="2:18" s="905" customFormat="1">
      <c r="B105" s="2707"/>
      <c r="C105" s="2707"/>
      <c r="D105" s="2707"/>
      <c r="E105" s="2707"/>
      <c r="F105" s="2707"/>
      <c r="G105" s="2708"/>
      <c r="H105" s="2707"/>
      <c r="I105" s="2708"/>
      <c r="J105" s="2707"/>
      <c r="K105" s="2707"/>
      <c r="L105" s="2708"/>
      <c r="M105" s="2707"/>
      <c r="N105" s="2707"/>
      <c r="O105" s="2708"/>
      <c r="P105" s="2707"/>
      <c r="Q105" s="2707"/>
      <c r="R105" s="2709"/>
    </row>
    <row r="106" spans="2:18" s="905" customFormat="1">
      <c r="B106" s="2707"/>
      <c r="C106" s="2707"/>
      <c r="D106" s="2707"/>
      <c r="E106" s="2707"/>
      <c r="F106" s="2707"/>
      <c r="G106" s="2708"/>
      <c r="H106" s="2707"/>
      <c r="I106" s="2708"/>
      <c r="J106" s="2707"/>
      <c r="K106" s="2707"/>
      <c r="L106" s="2708"/>
      <c r="M106" s="2707"/>
      <c r="N106" s="2707"/>
      <c r="O106" s="2708"/>
      <c r="P106" s="2707"/>
      <c r="Q106" s="2707"/>
      <c r="R106" s="2709"/>
    </row>
    <row r="107" spans="2:18" s="905" customFormat="1">
      <c r="B107" s="2707"/>
      <c r="C107" s="2707"/>
      <c r="D107" s="2707"/>
      <c r="E107" s="2707"/>
      <c r="F107" s="2707"/>
      <c r="G107" s="2708"/>
      <c r="H107" s="2707"/>
      <c r="I107" s="2708"/>
      <c r="J107" s="2707"/>
      <c r="K107" s="2707"/>
      <c r="L107" s="2708"/>
      <c r="M107" s="2707"/>
      <c r="N107" s="2707"/>
      <c r="O107" s="2708"/>
      <c r="P107" s="2707"/>
      <c r="Q107" s="2707"/>
      <c r="R107" s="2709"/>
    </row>
    <row r="108" spans="2:18" s="905" customFormat="1">
      <c r="B108" s="2707"/>
      <c r="C108" s="2707"/>
      <c r="D108" s="2707"/>
      <c r="E108" s="2707"/>
      <c r="F108" s="2707"/>
      <c r="G108" s="2708"/>
      <c r="H108" s="2707"/>
      <c r="I108" s="2708"/>
      <c r="J108" s="2707"/>
      <c r="K108" s="2707"/>
      <c r="L108" s="2708"/>
      <c r="M108" s="2707"/>
      <c r="N108" s="2707"/>
      <c r="O108" s="2708"/>
      <c r="P108" s="2707"/>
      <c r="Q108" s="2707"/>
      <c r="R108" s="2709"/>
    </row>
    <row r="109" spans="2:18" s="905" customFormat="1">
      <c r="B109" s="2707"/>
      <c r="C109" s="2707"/>
      <c r="D109" s="2707"/>
      <c r="E109" s="2707"/>
      <c r="F109" s="2707"/>
      <c r="G109" s="2708"/>
      <c r="H109" s="2707"/>
      <c r="I109" s="2708"/>
      <c r="J109" s="2707"/>
      <c r="K109" s="2707"/>
      <c r="L109" s="2708"/>
      <c r="M109" s="2707"/>
      <c r="N109" s="2707"/>
      <c r="O109" s="2708"/>
      <c r="P109" s="2707"/>
      <c r="Q109" s="2707"/>
      <c r="R109" s="2709"/>
    </row>
    <row r="110" spans="2:18" s="905" customFormat="1">
      <c r="B110" s="2707"/>
      <c r="C110" s="2707"/>
      <c r="D110" s="2707"/>
      <c r="E110" s="2707"/>
      <c r="F110" s="2707"/>
      <c r="G110" s="2708"/>
      <c r="H110" s="2707"/>
      <c r="I110" s="2708"/>
      <c r="J110" s="2707"/>
      <c r="K110" s="2707"/>
      <c r="L110" s="2708"/>
      <c r="M110" s="2707"/>
      <c r="N110" s="2707"/>
      <c r="O110" s="2708"/>
      <c r="P110" s="2707"/>
      <c r="Q110" s="2707"/>
      <c r="R110" s="2709"/>
    </row>
    <row r="111" spans="2:18" s="905" customFormat="1">
      <c r="B111" s="2707"/>
      <c r="C111" s="2707"/>
      <c r="D111" s="2707"/>
      <c r="E111" s="2707"/>
      <c r="F111" s="2707"/>
      <c r="G111" s="2708"/>
      <c r="H111" s="2707"/>
      <c r="I111" s="2708"/>
      <c r="J111" s="2707"/>
      <c r="K111" s="2707"/>
      <c r="L111" s="2708"/>
      <c r="M111" s="2707"/>
      <c r="N111" s="2707"/>
      <c r="O111" s="2708"/>
      <c r="P111" s="2707"/>
      <c r="Q111" s="2707"/>
      <c r="R111" s="2709"/>
    </row>
    <row r="112" spans="2:18" s="905" customFormat="1">
      <c r="B112" s="2707"/>
      <c r="C112" s="2707"/>
      <c r="D112" s="2707"/>
      <c r="E112" s="2707"/>
      <c r="F112" s="2707"/>
      <c r="G112" s="2708"/>
      <c r="H112" s="2707"/>
      <c r="I112" s="2708"/>
      <c r="J112" s="2707"/>
      <c r="K112" s="2707"/>
      <c r="L112" s="2708"/>
      <c r="M112" s="2707"/>
      <c r="N112" s="2707"/>
      <c r="O112" s="2708"/>
      <c r="P112" s="2707"/>
      <c r="Q112" s="2707"/>
      <c r="R112" s="2709"/>
    </row>
    <row r="113" spans="2:18" s="905" customFormat="1">
      <c r="B113" s="2707"/>
      <c r="C113" s="2707"/>
      <c r="D113" s="2707"/>
      <c r="E113" s="2707"/>
      <c r="F113" s="2707"/>
      <c r="G113" s="2708"/>
      <c r="H113" s="2707"/>
      <c r="I113" s="2708"/>
      <c r="J113" s="2707"/>
      <c r="K113" s="2707"/>
      <c r="L113" s="2708"/>
      <c r="M113" s="2707"/>
      <c r="N113" s="2707"/>
      <c r="O113" s="2708"/>
      <c r="P113" s="2707"/>
      <c r="Q113" s="2707"/>
      <c r="R113" s="2709"/>
    </row>
    <row r="114" spans="2:18" s="905" customFormat="1">
      <c r="B114" s="2707"/>
      <c r="C114" s="2707"/>
      <c r="D114" s="2707"/>
      <c r="E114" s="2707"/>
      <c r="F114" s="2707"/>
      <c r="G114" s="2708"/>
      <c r="H114" s="2707"/>
      <c r="I114" s="2708"/>
      <c r="J114" s="2707"/>
      <c r="K114" s="2707"/>
      <c r="L114" s="2708"/>
      <c r="M114" s="2707"/>
      <c r="N114" s="2707"/>
      <c r="O114" s="2708"/>
      <c r="P114" s="2707"/>
      <c r="Q114" s="2707"/>
      <c r="R114" s="2709"/>
    </row>
    <row r="115" spans="2:18" s="905" customFormat="1">
      <c r="B115" s="2707"/>
      <c r="C115" s="2707"/>
      <c r="D115" s="2707"/>
      <c r="E115" s="2707"/>
      <c r="F115" s="2707"/>
      <c r="G115" s="2708"/>
      <c r="H115" s="2707"/>
      <c r="I115" s="2708"/>
      <c r="J115" s="2707"/>
      <c r="K115" s="2707"/>
      <c r="L115" s="2708"/>
      <c r="M115" s="2707"/>
      <c r="N115" s="2707"/>
      <c r="O115" s="2708"/>
      <c r="P115" s="2707"/>
      <c r="Q115" s="2707"/>
      <c r="R115" s="2709"/>
    </row>
    <row r="116" spans="2:18" s="905" customFormat="1">
      <c r="B116" s="2707"/>
      <c r="C116" s="2707"/>
      <c r="D116" s="2707"/>
      <c r="E116" s="2707"/>
      <c r="F116" s="2707"/>
      <c r="G116" s="2708"/>
      <c r="H116" s="2707"/>
      <c r="I116" s="2708"/>
      <c r="J116" s="2707"/>
      <c r="K116" s="2707"/>
      <c r="L116" s="2708"/>
      <c r="M116" s="2707"/>
      <c r="N116" s="2707"/>
      <c r="O116" s="2708"/>
      <c r="P116" s="2707"/>
      <c r="Q116" s="2707"/>
      <c r="R116" s="2709"/>
    </row>
    <row r="117" spans="2:18" s="905" customFormat="1">
      <c r="B117" s="2707"/>
      <c r="C117" s="2707"/>
      <c r="D117" s="2707"/>
      <c r="E117" s="2707"/>
      <c r="F117" s="2707"/>
      <c r="G117" s="2708"/>
      <c r="H117" s="2707"/>
      <c r="I117" s="2708"/>
      <c r="J117" s="2707"/>
      <c r="K117" s="2707"/>
      <c r="L117" s="2708"/>
      <c r="M117" s="2707"/>
      <c r="N117" s="2707"/>
      <c r="O117" s="2708"/>
      <c r="P117" s="2707"/>
      <c r="Q117" s="2707"/>
      <c r="R117" s="2709"/>
    </row>
    <row r="118" spans="2:18" s="905" customFormat="1">
      <c r="B118" s="2707"/>
      <c r="C118" s="2707"/>
      <c r="D118" s="2707"/>
      <c r="E118" s="2707"/>
      <c r="F118" s="2707"/>
      <c r="G118" s="2708"/>
      <c r="H118" s="2707"/>
      <c r="I118" s="2708"/>
      <c r="J118" s="2707"/>
      <c r="K118" s="2707"/>
      <c r="L118" s="2708"/>
      <c r="M118" s="2707"/>
      <c r="N118" s="2707"/>
      <c r="O118" s="2708"/>
      <c r="P118" s="2707"/>
      <c r="Q118" s="2707"/>
      <c r="R118" s="2709"/>
    </row>
    <row r="119" spans="2:18" s="905" customFormat="1">
      <c r="B119" s="2707"/>
      <c r="C119" s="2707"/>
      <c r="D119" s="2707"/>
      <c r="E119" s="2707"/>
      <c r="F119" s="2707"/>
      <c r="G119" s="2708"/>
      <c r="H119" s="2707"/>
      <c r="I119" s="2708"/>
      <c r="J119" s="2707"/>
      <c r="K119" s="2707"/>
      <c r="L119" s="2708"/>
      <c r="M119" s="2707"/>
      <c r="N119" s="2707"/>
      <c r="O119" s="2708"/>
      <c r="P119" s="2707"/>
      <c r="Q119" s="2707"/>
      <c r="R119" s="2709"/>
    </row>
    <row r="120" spans="2:18" s="905" customFormat="1">
      <c r="B120" s="2707"/>
      <c r="C120" s="2707"/>
      <c r="D120" s="2707"/>
      <c r="E120" s="2707"/>
      <c r="F120" s="2707"/>
      <c r="G120" s="2708"/>
      <c r="H120" s="2707"/>
      <c r="I120" s="2708"/>
      <c r="J120" s="2707"/>
      <c r="K120" s="2707"/>
      <c r="L120" s="2708"/>
      <c r="M120" s="2707"/>
      <c r="N120" s="2707"/>
      <c r="O120" s="2708"/>
      <c r="P120" s="2707"/>
      <c r="Q120" s="2707"/>
      <c r="R120" s="2709"/>
    </row>
    <row r="121" spans="2:18" s="905" customFormat="1">
      <c r="B121" s="2707"/>
      <c r="C121" s="2707"/>
      <c r="D121" s="2707"/>
      <c r="E121" s="2707"/>
      <c r="F121" s="2707"/>
      <c r="G121" s="2708"/>
      <c r="H121" s="2707"/>
      <c r="I121" s="2708"/>
      <c r="J121" s="2707"/>
      <c r="K121" s="2707"/>
      <c r="L121" s="2708"/>
      <c r="M121" s="2707"/>
      <c r="N121" s="2707"/>
      <c r="O121" s="2708"/>
      <c r="P121" s="2707"/>
      <c r="Q121" s="2707"/>
      <c r="R121" s="2709"/>
    </row>
    <row r="122" spans="2:18" s="905" customFormat="1">
      <c r="B122" s="2707"/>
      <c r="C122" s="2707"/>
      <c r="D122" s="2707"/>
      <c r="E122" s="2707"/>
      <c r="F122" s="2707"/>
      <c r="G122" s="2708"/>
      <c r="H122" s="2707"/>
      <c r="I122" s="2708"/>
      <c r="J122" s="2707"/>
      <c r="K122" s="2707"/>
      <c r="L122" s="2708"/>
      <c r="M122" s="2707"/>
      <c r="N122" s="2707"/>
      <c r="O122" s="2708"/>
      <c r="P122" s="2707"/>
      <c r="Q122" s="2707"/>
      <c r="R122" s="2709"/>
    </row>
    <row r="123" spans="2:18" s="905" customFormat="1">
      <c r="B123" s="2707"/>
      <c r="C123" s="2707"/>
      <c r="D123" s="2707"/>
      <c r="E123" s="2707"/>
      <c r="F123" s="2707"/>
      <c r="G123" s="2708"/>
      <c r="H123" s="2707"/>
      <c r="I123" s="2708"/>
      <c r="J123" s="2707"/>
      <c r="K123" s="2707"/>
      <c r="L123" s="2708"/>
      <c r="M123" s="2707"/>
      <c r="N123" s="2707"/>
      <c r="O123" s="2708"/>
      <c r="P123" s="2707"/>
      <c r="Q123" s="2707"/>
      <c r="R123" s="2709"/>
    </row>
    <row r="124" spans="2:18" s="905" customFormat="1">
      <c r="B124" s="2707"/>
      <c r="C124" s="2707"/>
      <c r="D124" s="2707"/>
      <c r="E124" s="2707"/>
      <c r="F124" s="2707"/>
      <c r="G124" s="2708"/>
      <c r="H124" s="2707"/>
      <c r="I124" s="2708"/>
      <c r="J124" s="2707"/>
      <c r="K124" s="2707"/>
      <c r="L124" s="2708"/>
      <c r="M124" s="2707"/>
      <c r="N124" s="2707"/>
      <c r="O124" s="2708"/>
      <c r="P124" s="2707"/>
      <c r="Q124" s="2707"/>
      <c r="R124" s="2709"/>
    </row>
    <row r="125" spans="2:18" s="905" customFormat="1">
      <c r="B125" s="2707"/>
      <c r="C125" s="2707"/>
      <c r="D125" s="2707"/>
      <c r="E125" s="2707"/>
      <c r="F125" s="2707"/>
      <c r="G125" s="2708"/>
      <c r="H125" s="2707"/>
      <c r="I125" s="2708"/>
      <c r="J125" s="2707"/>
      <c r="K125" s="2707"/>
      <c r="L125" s="2708"/>
      <c r="M125" s="2707"/>
      <c r="N125" s="2707"/>
      <c r="O125" s="2708"/>
      <c r="P125" s="2707"/>
      <c r="Q125" s="2707"/>
      <c r="R125" s="2709"/>
    </row>
    <row r="126" spans="2:18" s="905" customFormat="1">
      <c r="B126" s="2707"/>
      <c r="C126" s="2707"/>
      <c r="D126" s="2707"/>
      <c r="E126" s="2707"/>
      <c r="F126" s="2707"/>
      <c r="G126" s="2708"/>
      <c r="H126" s="2707"/>
      <c r="I126" s="2708"/>
      <c r="J126" s="2707"/>
      <c r="K126" s="2707"/>
      <c r="L126" s="2708"/>
      <c r="M126" s="2707"/>
      <c r="N126" s="2707"/>
      <c r="O126" s="2708"/>
      <c r="P126" s="2707"/>
      <c r="Q126" s="2707"/>
      <c r="R126" s="2709"/>
    </row>
    <row r="127" spans="2:18" s="905" customFormat="1">
      <c r="B127" s="2707"/>
      <c r="C127" s="2707"/>
      <c r="D127" s="2707"/>
      <c r="E127" s="2707"/>
      <c r="F127" s="2707"/>
      <c r="G127" s="2708"/>
      <c r="H127" s="2707"/>
      <c r="I127" s="2708"/>
      <c r="J127" s="2707"/>
      <c r="K127" s="2707"/>
      <c r="L127" s="2708"/>
      <c r="M127" s="2707"/>
      <c r="N127" s="2707"/>
      <c r="O127" s="2708"/>
      <c r="P127" s="2707"/>
      <c r="Q127" s="2707"/>
      <c r="R127" s="2709"/>
    </row>
    <row r="128" spans="2:18" s="905" customFormat="1">
      <c r="B128" s="2707"/>
      <c r="C128" s="2707"/>
      <c r="D128" s="2707"/>
      <c r="E128" s="2707"/>
      <c r="F128" s="2707"/>
      <c r="G128" s="2708"/>
      <c r="H128" s="2707"/>
      <c r="I128" s="2708"/>
      <c r="J128" s="2707"/>
      <c r="K128" s="2707"/>
      <c r="L128" s="2708"/>
      <c r="M128" s="2707"/>
      <c r="N128" s="2707"/>
      <c r="O128" s="2708"/>
      <c r="P128" s="2707"/>
      <c r="Q128" s="2707"/>
      <c r="R128" s="2709"/>
    </row>
    <row r="129" spans="2:18" s="905" customFormat="1">
      <c r="B129" s="2707"/>
      <c r="C129" s="2707"/>
      <c r="D129" s="2707"/>
      <c r="E129" s="2707"/>
      <c r="F129" s="2707"/>
      <c r="G129" s="2708"/>
      <c r="H129" s="2707"/>
      <c r="I129" s="2708"/>
      <c r="J129" s="2707"/>
      <c r="K129" s="2707"/>
      <c r="L129" s="2708"/>
      <c r="M129" s="2707"/>
      <c r="N129" s="2707"/>
      <c r="O129" s="2708"/>
      <c r="P129" s="2707"/>
      <c r="Q129" s="2707"/>
      <c r="R129" s="2709"/>
    </row>
    <row r="130" spans="2:18" s="905" customFormat="1">
      <c r="B130" s="2707"/>
      <c r="C130" s="2707"/>
      <c r="D130" s="2707"/>
      <c r="E130" s="2707"/>
      <c r="F130" s="2707"/>
      <c r="G130" s="2708"/>
      <c r="H130" s="2707"/>
      <c r="I130" s="2708"/>
      <c r="J130" s="2707"/>
      <c r="K130" s="2707"/>
      <c r="L130" s="2708"/>
      <c r="M130" s="2707"/>
      <c r="N130" s="2707"/>
      <c r="O130" s="2708"/>
      <c r="P130" s="2707"/>
      <c r="Q130" s="2707"/>
      <c r="R130" s="2709"/>
    </row>
    <row r="131" spans="2:18" s="905" customFormat="1">
      <c r="B131" s="2707"/>
      <c r="C131" s="2707"/>
      <c r="D131" s="2707"/>
      <c r="E131" s="2707"/>
      <c r="F131" s="2707"/>
      <c r="G131" s="2708"/>
      <c r="H131" s="2707"/>
      <c r="I131" s="2708"/>
      <c r="J131" s="2707"/>
      <c r="K131" s="2707"/>
      <c r="L131" s="2708"/>
      <c r="M131" s="2707"/>
      <c r="N131" s="2707"/>
      <c r="O131" s="2708"/>
      <c r="P131" s="2707"/>
      <c r="Q131" s="2707"/>
      <c r="R131" s="2709"/>
    </row>
    <row r="132" spans="2:18" s="905" customFormat="1">
      <c r="B132" s="2707"/>
      <c r="C132" s="2707"/>
      <c r="D132" s="2707"/>
      <c r="E132" s="2707"/>
      <c r="F132" s="2707"/>
      <c r="G132" s="2708"/>
      <c r="H132" s="2707"/>
      <c r="I132" s="2708"/>
      <c r="J132" s="2707"/>
      <c r="K132" s="2707"/>
      <c r="L132" s="2708"/>
      <c r="M132" s="2707"/>
      <c r="N132" s="2707"/>
      <c r="O132" s="2708"/>
      <c r="P132" s="2707"/>
      <c r="Q132" s="2707"/>
      <c r="R132" s="2709"/>
    </row>
    <row r="133" spans="2:18" s="905" customFormat="1">
      <c r="B133" s="2707"/>
      <c r="C133" s="2707"/>
      <c r="D133" s="2707"/>
      <c r="E133" s="2707"/>
      <c r="F133" s="2707"/>
      <c r="G133" s="2708"/>
      <c r="H133" s="2707"/>
      <c r="I133" s="2708"/>
      <c r="J133" s="2707"/>
      <c r="K133" s="2707"/>
      <c r="L133" s="2708"/>
      <c r="M133" s="2707"/>
      <c r="N133" s="2707"/>
      <c r="O133" s="2708"/>
      <c r="P133" s="2707"/>
      <c r="Q133" s="2707"/>
      <c r="R133" s="2709"/>
    </row>
    <row r="134" spans="2:18" s="905" customFormat="1">
      <c r="B134" s="2707"/>
      <c r="C134" s="2707"/>
      <c r="D134" s="2707"/>
      <c r="E134" s="2707"/>
      <c r="F134" s="2707"/>
      <c r="G134" s="2708"/>
      <c r="H134" s="2707"/>
      <c r="I134" s="2708"/>
      <c r="J134" s="2707"/>
      <c r="K134" s="2707"/>
      <c r="L134" s="2708"/>
      <c r="M134" s="2707"/>
      <c r="N134" s="2707"/>
      <c r="O134" s="2708"/>
      <c r="P134" s="2707"/>
      <c r="Q134" s="2707"/>
      <c r="R134" s="2709"/>
    </row>
    <row r="135" spans="2:18" s="905" customFormat="1">
      <c r="B135" s="2707"/>
      <c r="C135" s="2707"/>
      <c r="D135" s="2707"/>
      <c r="E135" s="2707"/>
      <c r="F135" s="2707"/>
      <c r="G135" s="2708"/>
      <c r="H135" s="2707"/>
      <c r="I135" s="2708"/>
      <c r="J135" s="2707"/>
      <c r="K135" s="2707"/>
      <c r="L135" s="2708"/>
      <c r="M135" s="2707"/>
      <c r="N135" s="2707"/>
      <c r="O135" s="2708"/>
      <c r="P135" s="2707"/>
      <c r="Q135" s="2707"/>
      <c r="R135" s="2709"/>
    </row>
    <row r="136" spans="2:18" s="905" customFormat="1">
      <c r="B136" s="2707"/>
      <c r="C136" s="2707"/>
      <c r="D136" s="2707"/>
      <c r="E136" s="2707"/>
      <c r="F136" s="2707"/>
      <c r="G136" s="2708"/>
      <c r="H136" s="2707"/>
      <c r="I136" s="2708"/>
      <c r="J136" s="2707"/>
      <c r="K136" s="2707"/>
      <c r="L136" s="2708"/>
      <c r="M136" s="2707"/>
      <c r="N136" s="2707"/>
      <c r="O136" s="2708"/>
      <c r="P136" s="2707"/>
      <c r="Q136" s="2707"/>
      <c r="R136" s="2709"/>
    </row>
    <row r="137" spans="2:18" s="905" customFormat="1">
      <c r="B137" s="2707"/>
      <c r="C137" s="2707"/>
      <c r="D137" s="2707"/>
      <c r="E137" s="2707"/>
      <c r="F137" s="2707"/>
      <c r="G137" s="2708"/>
      <c r="H137" s="2707"/>
      <c r="I137" s="2708"/>
      <c r="J137" s="2707"/>
      <c r="K137" s="2707"/>
      <c r="L137" s="2708"/>
      <c r="M137" s="2707"/>
      <c r="N137" s="2707"/>
      <c r="O137" s="2708"/>
      <c r="P137" s="2707"/>
      <c r="Q137" s="2707"/>
      <c r="R137" s="2709"/>
    </row>
    <row r="138" spans="2:18" s="905" customFormat="1">
      <c r="B138" s="2707"/>
      <c r="C138" s="2707"/>
      <c r="D138" s="2707"/>
      <c r="E138" s="2707"/>
      <c r="F138" s="2707"/>
      <c r="G138" s="2708"/>
      <c r="H138" s="2707"/>
      <c r="I138" s="2708"/>
      <c r="J138" s="2707"/>
      <c r="K138" s="2707"/>
      <c r="L138" s="2708"/>
      <c r="M138" s="2707"/>
      <c r="N138" s="2707"/>
      <c r="O138" s="2708"/>
      <c r="P138" s="2707"/>
      <c r="Q138" s="2707"/>
      <c r="R138" s="2709"/>
    </row>
    <row r="139" spans="2:18" s="905" customFormat="1">
      <c r="B139" s="2707"/>
      <c r="C139" s="2707"/>
      <c r="D139" s="2707"/>
      <c r="E139" s="2707"/>
      <c r="F139" s="2707"/>
      <c r="G139" s="2708"/>
      <c r="H139" s="2707"/>
      <c r="I139" s="2708"/>
      <c r="J139" s="2707"/>
      <c r="K139" s="2707"/>
      <c r="L139" s="2708"/>
      <c r="M139" s="2707"/>
      <c r="N139" s="2707"/>
      <c r="O139" s="2708"/>
      <c r="P139" s="2707"/>
      <c r="Q139" s="2707"/>
      <c r="R139" s="2709"/>
    </row>
    <row r="140" spans="2:18" s="905" customFormat="1">
      <c r="B140" s="2707"/>
      <c r="C140" s="2707"/>
      <c r="D140" s="2707"/>
      <c r="E140" s="2707"/>
      <c r="F140" s="2707"/>
      <c r="G140" s="2708"/>
      <c r="H140" s="2707"/>
      <c r="I140" s="2708"/>
      <c r="J140" s="2707"/>
      <c r="K140" s="2707"/>
      <c r="L140" s="2708"/>
      <c r="M140" s="2707"/>
      <c r="N140" s="2707"/>
      <c r="O140" s="2708"/>
      <c r="P140" s="2707"/>
      <c r="Q140" s="2707"/>
      <c r="R140" s="2709"/>
    </row>
    <row r="141" spans="2:18" s="905" customFormat="1">
      <c r="B141" s="2707"/>
      <c r="C141" s="2707"/>
      <c r="D141" s="2707"/>
      <c r="E141" s="2707"/>
      <c r="F141" s="2707"/>
      <c r="G141" s="2708"/>
      <c r="H141" s="2707"/>
      <c r="I141" s="2708"/>
      <c r="J141" s="2707"/>
      <c r="K141" s="2707"/>
      <c r="L141" s="2708"/>
      <c r="M141" s="2707"/>
      <c r="N141" s="2707"/>
      <c r="O141" s="2708"/>
      <c r="P141" s="2707"/>
      <c r="Q141" s="2707"/>
      <c r="R141" s="2709"/>
    </row>
    <row r="142" spans="2:18" s="905" customFormat="1">
      <c r="B142" s="2707"/>
      <c r="C142" s="2707"/>
      <c r="D142" s="2707"/>
      <c r="E142" s="2707"/>
      <c r="F142" s="2707"/>
      <c r="G142" s="2708"/>
      <c r="H142" s="2707"/>
      <c r="I142" s="2708"/>
      <c r="J142" s="2707"/>
      <c r="K142" s="2707"/>
      <c r="L142" s="2708"/>
      <c r="M142" s="2707"/>
      <c r="N142" s="2707"/>
      <c r="O142" s="2708"/>
      <c r="P142" s="2707"/>
      <c r="Q142" s="2707"/>
      <c r="R142" s="2709"/>
    </row>
    <row r="143" spans="2:18" s="905" customFormat="1">
      <c r="B143" s="2707"/>
      <c r="C143" s="2707"/>
      <c r="D143" s="2707"/>
      <c r="E143" s="2707"/>
      <c r="F143" s="2707"/>
      <c r="G143" s="2708"/>
      <c r="H143" s="2707"/>
      <c r="I143" s="2708"/>
      <c r="J143" s="2707"/>
      <c r="K143" s="2707"/>
      <c r="L143" s="2708"/>
      <c r="M143" s="2707"/>
      <c r="N143" s="2707"/>
      <c r="O143" s="2708"/>
      <c r="P143" s="2707"/>
      <c r="Q143" s="2707"/>
      <c r="R143" s="2709"/>
    </row>
    <row r="144" spans="2:18" s="905" customFormat="1">
      <c r="B144" s="2707"/>
      <c r="C144" s="2707"/>
      <c r="D144" s="2707"/>
      <c r="E144" s="2707"/>
      <c r="F144" s="2707"/>
      <c r="G144" s="2708"/>
      <c r="H144" s="2707"/>
      <c r="I144" s="2708"/>
      <c r="J144" s="2707"/>
      <c r="K144" s="2707"/>
      <c r="L144" s="2708"/>
      <c r="M144" s="2707"/>
      <c r="N144" s="2707"/>
      <c r="O144" s="2708"/>
      <c r="P144" s="2707"/>
      <c r="Q144" s="2707"/>
      <c r="R144" s="2709"/>
    </row>
    <row r="145" spans="2:18" s="905" customFormat="1">
      <c r="B145" s="2707"/>
      <c r="C145" s="2707"/>
      <c r="D145" s="2707"/>
      <c r="E145" s="2707"/>
      <c r="F145" s="2707"/>
      <c r="G145" s="2708"/>
      <c r="H145" s="2707"/>
      <c r="I145" s="2708"/>
      <c r="J145" s="2707"/>
      <c r="K145" s="2707"/>
      <c r="L145" s="2708"/>
      <c r="M145" s="2707"/>
      <c r="N145" s="2707"/>
      <c r="O145" s="2708"/>
      <c r="P145" s="2707"/>
      <c r="Q145" s="2707"/>
      <c r="R145" s="2709"/>
    </row>
    <row r="146" spans="2:18" s="905" customFormat="1">
      <c r="B146" s="2707"/>
      <c r="C146" s="2707"/>
      <c r="D146" s="2707"/>
      <c r="E146" s="2707"/>
      <c r="F146" s="2707"/>
      <c r="G146" s="2708"/>
      <c r="H146" s="2707"/>
      <c r="I146" s="2708"/>
      <c r="J146" s="2707"/>
      <c r="K146" s="2707"/>
      <c r="L146" s="2708"/>
      <c r="M146" s="2707"/>
      <c r="N146" s="2707"/>
      <c r="O146" s="2708"/>
      <c r="P146" s="2707"/>
      <c r="Q146" s="2707"/>
      <c r="R146" s="2709"/>
    </row>
    <row r="147" spans="2:18" s="905" customFormat="1">
      <c r="B147" s="2707"/>
      <c r="C147" s="2707"/>
      <c r="D147" s="2707"/>
      <c r="E147" s="2707"/>
      <c r="F147" s="2707"/>
      <c r="G147" s="2708"/>
      <c r="H147" s="2707"/>
      <c r="I147" s="2708"/>
      <c r="J147" s="2707"/>
      <c r="K147" s="2707"/>
      <c r="L147" s="2708"/>
      <c r="M147" s="2707"/>
      <c r="N147" s="2707"/>
      <c r="O147" s="2708"/>
      <c r="P147" s="2707"/>
      <c r="Q147" s="2707"/>
      <c r="R147" s="2709"/>
    </row>
    <row r="148" spans="2:18" s="905" customFormat="1">
      <c r="B148" s="2707"/>
      <c r="C148" s="2707"/>
      <c r="D148" s="2707"/>
      <c r="E148" s="2707"/>
      <c r="F148" s="2707"/>
      <c r="G148" s="2708"/>
      <c r="H148" s="2707"/>
      <c r="I148" s="2708"/>
      <c r="J148" s="2707"/>
      <c r="K148" s="2707"/>
      <c r="L148" s="2708"/>
      <c r="M148" s="2707"/>
      <c r="N148" s="2707"/>
      <c r="O148" s="2708"/>
      <c r="P148" s="2707"/>
      <c r="Q148" s="2707"/>
      <c r="R148" s="2709"/>
    </row>
    <row r="149" spans="2:18" s="905" customFormat="1">
      <c r="B149" s="2707"/>
      <c r="C149" s="2707"/>
      <c r="D149" s="2707"/>
      <c r="E149" s="2707"/>
      <c r="F149" s="2707"/>
      <c r="G149" s="2708"/>
      <c r="H149" s="2707"/>
      <c r="I149" s="2708"/>
      <c r="J149" s="2707"/>
      <c r="K149" s="2707"/>
      <c r="L149" s="2708"/>
      <c r="M149" s="2707"/>
      <c r="N149" s="2707"/>
      <c r="O149" s="2708"/>
      <c r="P149" s="2707"/>
      <c r="Q149" s="2707"/>
      <c r="R149" s="2709"/>
    </row>
    <row r="150" spans="2:18" s="905" customFormat="1">
      <c r="B150" s="2707"/>
      <c r="C150" s="2707"/>
      <c r="D150" s="2707"/>
      <c r="E150" s="2707"/>
      <c r="F150" s="2707"/>
      <c r="G150" s="2708"/>
      <c r="H150" s="2707"/>
      <c r="I150" s="2708"/>
      <c r="J150" s="2707"/>
      <c r="K150" s="2707"/>
      <c r="L150" s="2708"/>
      <c r="M150" s="2707"/>
      <c r="N150" s="2707"/>
      <c r="O150" s="2708"/>
      <c r="P150" s="2707"/>
      <c r="Q150" s="2707"/>
      <c r="R150" s="2709"/>
    </row>
    <row r="151" spans="2:18" s="905" customFormat="1">
      <c r="B151" s="2707"/>
      <c r="C151" s="2707"/>
      <c r="D151" s="2707"/>
      <c r="E151" s="2707"/>
      <c r="F151" s="2707"/>
      <c r="G151" s="2708"/>
      <c r="H151" s="2707"/>
      <c r="I151" s="2708"/>
      <c r="J151" s="2707"/>
      <c r="K151" s="2707"/>
      <c r="L151" s="2708"/>
      <c r="M151" s="2707"/>
      <c r="N151" s="2707"/>
      <c r="O151" s="2708"/>
      <c r="P151" s="2707"/>
      <c r="Q151" s="2707"/>
      <c r="R151" s="2709"/>
    </row>
    <row r="152" spans="2:18" s="905" customFormat="1">
      <c r="B152" s="2707"/>
      <c r="C152" s="2707"/>
      <c r="D152" s="2707"/>
      <c r="E152" s="2707"/>
      <c r="F152" s="2707"/>
      <c r="G152" s="2708"/>
      <c r="H152" s="2707"/>
      <c r="I152" s="2708"/>
      <c r="J152" s="2707"/>
      <c r="K152" s="2707"/>
      <c r="L152" s="2708"/>
      <c r="M152" s="2707"/>
      <c r="N152" s="2707"/>
      <c r="O152" s="2708"/>
      <c r="P152" s="2707"/>
      <c r="Q152" s="2707"/>
      <c r="R152" s="2709"/>
    </row>
    <row r="153" spans="2:18" s="905" customFormat="1">
      <c r="B153" s="2707"/>
      <c r="C153" s="2707"/>
      <c r="D153" s="2707"/>
      <c r="E153" s="2707"/>
      <c r="F153" s="2707"/>
      <c r="G153" s="2708"/>
      <c r="H153" s="2707"/>
      <c r="I153" s="2708"/>
      <c r="J153" s="2707"/>
      <c r="K153" s="2707"/>
      <c r="L153" s="2708"/>
      <c r="M153" s="2707"/>
      <c r="N153" s="2707"/>
      <c r="O153" s="2708"/>
      <c r="P153" s="2707"/>
      <c r="Q153" s="2707"/>
      <c r="R153" s="2709"/>
    </row>
    <row r="154" spans="2:18" s="905" customFormat="1">
      <c r="B154" s="2707"/>
      <c r="C154" s="2707"/>
      <c r="D154" s="2707"/>
      <c r="E154" s="2707"/>
      <c r="F154" s="2707"/>
      <c r="G154" s="2708"/>
      <c r="H154" s="2707"/>
      <c r="I154" s="2708"/>
      <c r="J154" s="2707"/>
      <c r="K154" s="2707"/>
      <c r="L154" s="2708"/>
      <c r="M154" s="2707"/>
      <c r="N154" s="2707"/>
      <c r="O154" s="2708"/>
      <c r="P154" s="2707"/>
      <c r="Q154" s="2707"/>
      <c r="R154" s="2709"/>
    </row>
    <row r="155" spans="2:18" s="905" customFormat="1">
      <c r="B155" s="2707"/>
      <c r="C155" s="2707"/>
      <c r="D155" s="2707"/>
      <c r="E155" s="2707"/>
      <c r="F155" s="2707"/>
      <c r="G155" s="2708"/>
      <c r="H155" s="2707"/>
      <c r="I155" s="2708"/>
      <c r="J155" s="2707"/>
      <c r="K155" s="2707"/>
      <c r="L155" s="2708"/>
      <c r="M155" s="2707"/>
      <c r="N155" s="2707"/>
      <c r="O155" s="2708"/>
      <c r="P155" s="2707"/>
      <c r="Q155" s="2707"/>
      <c r="R155" s="2709"/>
    </row>
    <row r="156" spans="2:18" s="905" customFormat="1">
      <c r="B156" s="2707"/>
      <c r="C156" s="2707"/>
      <c r="D156" s="2707"/>
      <c r="E156" s="2707"/>
      <c r="F156" s="2707"/>
      <c r="G156" s="2708"/>
      <c r="H156" s="2707"/>
      <c r="I156" s="2708"/>
      <c r="J156" s="2707"/>
      <c r="K156" s="2707"/>
      <c r="L156" s="2708"/>
      <c r="M156" s="2707"/>
      <c r="N156" s="2707"/>
      <c r="O156" s="2708"/>
      <c r="P156" s="2707"/>
      <c r="Q156" s="2707"/>
      <c r="R156" s="2709"/>
    </row>
    <row r="157" spans="2:18" s="905" customFormat="1">
      <c r="B157" s="2707"/>
      <c r="C157" s="2707"/>
      <c r="D157" s="2707"/>
      <c r="E157" s="2707"/>
      <c r="F157" s="2707"/>
      <c r="G157" s="2708"/>
      <c r="H157" s="2707"/>
      <c r="I157" s="2708"/>
      <c r="J157" s="2707"/>
      <c r="K157" s="2707"/>
      <c r="L157" s="2708"/>
      <c r="M157" s="2707"/>
      <c r="N157" s="2707"/>
      <c r="O157" s="2708"/>
      <c r="P157" s="2707"/>
      <c r="Q157" s="2707"/>
      <c r="R157" s="2709"/>
    </row>
    <row r="158" spans="2:18" s="905" customFormat="1">
      <c r="B158" s="2707"/>
      <c r="C158" s="2707"/>
      <c r="D158" s="2707"/>
      <c r="E158" s="2707"/>
      <c r="F158" s="2707"/>
      <c r="G158" s="2708"/>
      <c r="H158" s="2707"/>
      <c r="I158" s="2708"/>
      <c r="J158" s="2707"/>
      <c r="K158" s="2707"/>
      <c r="L158" s="2708"/>
      <c r="M158" s="2707"/>
      <c r="N158" s="2707"/>
      <c r="O158" s="2708"/>
      <c r="P158" s="2707"/>
      <c r="Q158" s="2707"/>
      <c r="R158" s="2709"/>
    </row>
    <row r="159" spans="2:18" s="905" customFormat="1">
      <c r="B159" s="2707"/>
      <c r="C159" s="2707"/>
      <c r="D159" s="2707"/>
      <c r="E159" s="2707"/>
      <c r="F159" s="2707"/>
      <c r="G159" s="2708"/>
      <c r="H159" s="2707"/>
      <c r="I159" s="2708"/>
      <c r="J159" s="2707"/>
      <c r="K159" s="2707"/>
      <c r="L159" s="2708"/>
      <c r="M159" s="2707"/>
      <c r="N159" s="2707"/>
      <c r="O159" s="2708"/>
      <c r="P159" s="2707"/>
      <c r="Q159" s="2707"/>
      <c r="R159" s="2709"/>
    </row>
    <row r="160" spans="2:18" s="905" customFormat="1">
      <c r="B160" s="2707"/>
      <c r="C160" s="2707"/>
      <c r="D160" s="2707"/>
      <c r="E160" s="2707"/>
      <c r="F160" s="2707"/>
      <c r="G160" s="2708"/>
      <c r="H160" s="2707"/>
      <c r="I160" s="2708"/>
      <c r="J160" s="2707"/>
      <c r="K160" s="2707"/>
      <c r="L160" s="2708"/>
      <c r="M160" s="2707"/>
      <c r="N160" s="2707"/>
      <c r="O160" s="2708"/>
      <c r="P160" s="2707"/>
      <c r="Q160" s="2707"/>
      <c r="R160" s="2709"/>
    </row>
    <row r="161" spans="2:18" s="905" customFormat="1">
      <c r="B161" s="2707"/>
      <c r="C161" s="2707"/>
      <c r="D161" s="2707"/>
      <c r="E161" s="2707"/>
      <c r="F161" s="2707"/>
      <c r="G161" s="2708"/>
      <c r="H161" s="2707"/>
      <c r="I161" s="2708"/>
      <c r="J161" s="2707"/>
      <c r="K161" s="2707"/>
      <c r="L161" s="2708"/>
      <c r="M161" s="2707"/>
      <c r="N161" s="2707"/>
      <c r="O161" s="2708"/>
      <c r="P161" s="2707"/>
      <c r="Q161" s="2707"/>
      <c r="R161" s="2709"/>
    </row>
    <row r="162" spans="2:18" s="905" customFormat="1">
      <c r="B162" s="2707"/>
      <c r="C162" s="2707"/>
      <c r="D162" s="2707"/>
      <c r="E162" s="2707"/>
      <c r="F162" s="2707"/>
      <c r="G162" s="2708"/>
      <c r="H162" s="2707"/>
      <c r="I162" s="2708"/>
      <c r="J162" s="2707"/>
      <c r="K162" s="2707"/>
      <c r="L162" s="2708"/>
      <c r="M162" s="2707"/>
      <c r="N162" s="2707"/>
      <c r="O162" s="2708"/>
      <c r="P162" s="2707"/>
      <c r="Q162" s="2707"/>
      <c r="R162" s="2709"/>
    </row>
    <row r="163" spans="2:18" s="905" customFormat="1">
      <c r="B163" s="2707"/>
      <c r="C163" s="2707"/>
      <c r="D163" s="2707"/>
      <c r="E163" s="2707"/>
      <c r="F163" s="2707"/>
      <c r="G163" s="2708"/>
      <c r="H163" s="2707"/>
      <c r="I163" s="2708"/>
      <c r="J163" s="2707"/>
      <c r="K163" s="2707"/>
      <c r="L163" s="2708"/>
      <c r="M163" s="2707"/>
      <c r="N163" s="2707"/>
      <c r="O163" s="2708"/>
      <c r="P163" s="2707"/>
      <c r="Q163" s="2707"/>
      <c r="R163" s="2709"/>
    </row>
    <row r="164" spans="2:18" s="905" customFormat="1">
      <c r="B164" s="2707"/>
      <c r="C164" s="2707"/>
      <c r="D164" s="2707"/>
      <c r="E164" s="2707"/>
      <c r="F164" s="2707"/>
      <c r="G164" s="2708"/>
      <c r="H164" s="2707"/>
      <c r="I164" s="2708"/>
      <c r="J164" s="2707"/>
      <c r="K164" s="2707"/>
      <c r="L164" s="2708"/>
      <c r="M164" s="2707"/>
      <c r="N164" s="2707"/>
      <c r="O164" s="2708"/>
      <c r="P164" s="2707"/>
      <c r="Q164" s="2707"/>
      <c r="R164" s="2709"/>
    </row>
    <row r="165" spans="2:18" s="905" customFormat="1">
      <c r="B165" s="2707"/>
      <c r="C165" s="2707"/>
      <c r="D165" s="2707"/>
      <c r="E165" s="2707"/>
      <c r="F165" s="2707"/>
      <c r="G165" s="2708"/>
      <c r="H165" s="2707"/>
      <c r="I165" s="2708"/>
      <c r="J165" s="2707"/>
      <c r="K165" s="2707"/>
      <c r="L165" s="2708"/>
      <c r="M165" s="2707"/>
      <c r="N165" s="2707"/>
      <c r="O165" s="2708"/>
      <c r="P165" s="2707"/>
      <c r="Q165" s="2707"/>
      <c r="R165" s="2709"/>
    </row>
    <row r="166" spans="2:18" s="905" customFormat="1">
      <c r="B166" s="2707"/>
      <c r="C166" s="2707"/>
      <c r="D166" s="2707"/>
      <c r="E166" s="2707"/>
      <c r="F166" s="2707"/>
      <c r="G166" s="2708"/>
      <c r="H166" s="2707"/>
      <c r="I166" s="2708"/>
      <c r="J166" s="2707"/>
      <c r="K166" s="2707"/>
      <c r="L166" s="2708"/>
      <c r="M166" s="2707"/>
      <c r="N166" s="2707"/>
      <c r="O166" s="2708"/>
      <c r="P166" s="2707"/>
      <c r="Q166" s="2707"/>
      <c r="R166" s="2709"/>
    </row>
    <row r="167" spans="2:18" s="905" customFormat="1">
      <c r="B167" s="2707"/>
      <c r="C167" s="2707"/>
      <c r="D167" s="2707"/>
      <c r="E167" s="2707"/>
      <c r="F167" s="2707"/>
      <c r="G167" s="2708"/>
      <c r="H167" s="2707"/>
      <c r="I167" s="2708"/>
      <c r="J167" s="2707"/>
      <c r="K167" s="2707"/>
      <c r="L167" s="2708"/>
      <c r="M167" s="2707"/>
      <c r="N167" s="2707"/>
      <c r="O167" s="2708"/>
      <c r="P167" s="2707"/>
      <c r="Q167" s="2707"/>
      <c r="R167" s="2709"/>
    </row>
    <row r="168" spans="2:18" s="905" customFormat="1">
      <c r="B168" s="2707"/>
      <c r="C168" s="2707"/>
      <c r="D168" s="2707"/>
      <c r="E168" s="2707"/>
      <c r="F168" s="2707"/>
      <c r="G168" s="2708"/>
      <c r="H168" s="2707"/>
      <c r="I168" s="2708"/>
      <c r="J168" s="2707"/>
      <c r="K168" s="2707"/>
      <c r="L168" s="2708"/>
      <c r="M168" s="2707"/>
      <c r="N168" s="2707"/>
      <c r="O168" s="2708"/>
      <c r="P168" s="2707"/>
      <c r="Q168" s="2707"/>
      <c r="R168" s="2709"/>
    </row>
    <row r="169" spans="2:18" s="905" customFormat="1">
      <c r="B169" s="2707"/>
      <c r="C169" s="2707"/>
      <c r="D169" s="2707"/>
      <c r="E169" s="2707"/>
      <c r="F169" s="2707"/>
      <c r="G169" s="2708"/>
      <c r="H169" s="2707"/>
      <c r="I169" s="2708"/>
      <c r="J169" s="2707"/>
      <c r="K169" s="2707"/>
      <c r="L169" s="2708"/>
      <c r="M169" s="2707"/>
      <c r="N169" s="2707"/>
      <c r="O169" s="2708"/>
      <c r="P169" s="2707"/>
      <c r="Q169" s="2707"/>
      <c r="R169" s="2709"/>
    </row>
    <row r="170" spans="2:18" s="905" customFormat="1">
      <c r="B170" s="2707"/>
      <c r="C170" s="2707"/>
      <c r="D170" s="2707"/>
      <c r="E170" s="2707"/>
      <c r="F170" s="2707"/>
      <c r="G170" s="2708"/>
      <c r="H170" s="2707"/>
      <c r="I170" s="2708"/>
      <c r="J170" s="2707"/>
      <c r="K170" s="2707"/>
      <c r="L170" s="2708"/>
      <c r="M170" s="2707"/>
      <c r="N170" s="2707"/>
      <c r="O170" s="2708"/>
      <c r="P170" s="2707"/>
      <c r="Q170" s="2707"/>
      <c r="R170" s="2709"/>
    </row>
    <row r="171" spans="2:18" s="905" customFormat="1">
      <c r="B171" s="2707"/>
      <c r="C171" s="2707"/>
      <c r="D171" s="2707"/>
      <c r="E171" s="2707"/>
      <c r="F171" s="2707"/>
      <c r="G171" s="2708"/>
      <c r="H171" s="2707"/>
      <c r="I171" s="2708"/>
      <c r="J171" s="2707"/>
      <c r="K171" s="2707"/>
      <c r="L171" s="2708"/>
      <c r="M171" s="2707"/>
      <c r="N171" s="2707"/>
      <c r="O171" s="2708"/>
      <c r="P171" s="2707"/>
      <c r="Q171" s="2707"/>
      <c r="R171" s="2709"/>
    </row>
    <row r="172" spans="2:18" s="905" customFormat="1">
      <c r="B172" s="2707"/>
      <c r="C172" s="2707"/>
      <c r="D172" s="2707"/>
      <c r="E172" s="2707"/>
      <c r="F172" s="2707"/>
      <c r="G172" s="2708"/>
      <c r="H172" s="2707"/>
      <c r="I172" s="2708"/>
      <c r="J172" s="2707"/>
      <c r="K172" s="2707"/>
      <c r="L172" s="2708"/>
      <c r="M172" s="2707"/>
      <c r="N172" s="2707"/>
      <c r="O172" s="2708"/>
      <c r="P172" s="2707"/>
      <c r="Q172" s="2707"/>
      <c r="R172" s="2709"/>
    </row>
    <row r="173" spans="2:18" s="905" customFormat="1">
      <c r="B173" s="2707"/>
      <c r="C173" s="2707"/>
      <c r="D173" s="2707"/>
      <c r="E173" s="2707"/>
      <c r="F173" s="2707"/>
      <c r="G173" s="2708"/>
      <c r="H173" s="2707"/>
      <c r="I173" s="2708"/>
      <c r="J173" s="2707"/>
      <c r="K173" s="2707"/>
      <c r="L173" s="2708"/>
      <c r="M173" s="2707"/>
      <c r="N173" s="2707"/>
      <c r="O173" s="2708"/>
      <c r="P173" s="2707"/>
      <c r="Q173" s="2707"/>
      <c r="R173" s="2709"/>
    </row>
    <row r="174" spans="2:18" s="905" customFormat="1">
      <c r="B174" s="2707"/>
      <c r="C174" s="2707"/>
      <c r="D174" s="2707"/>
      <c r="E174" s="2707"/>
      <c r="F174" s="2707"/>
      <c r="G174" s="2708"/>
      <c r="H174" s="2707"/>
      <c r="I174" s="2708"/>
      <c r="J174" s="2707"/>
      <c r="K174" s="2707"/>
      <c r="L174" s="2708"/>
      <c r="M174" s="2707"/>
      <c r="N174" s="2707"/>
      <c r="O174" s="2708"/>
      <c r="P174" s="2707"/>
      <c r="Q174" s="2707"/>
      <c r="R174" s="2709"/>
    </row>
    <row r="175" spans="2:18" s="905" customFormat="1">
      <c r="B175" s="2707"/>
      <c r="C175" s="2707"/>
      <c r="D175" s="2707"/>
      <c r="E175" s="2707"/>
      <c r="F175" s="2707"/>
      <c r="G175" s="2708"/>
      <c r="H175" s="2707"/>
      <c r="I175" s="2708"/>
      <c r="J175" s="2707"/>
      <c r="K175" s="2707"/>
      <c r="L175" s="2708"/>
      <c r="M175" s="2707"/>
      <c r="N175" s="2707"/>
      <c r="O175" s="2708"/>
      <c r="P175" s="2707"/>
      <c r="Q175" s="2707"/>
      <c r="R175" s="2709"/>
    </row>
    <row r="176" spans="2:18" s="905" customFormat="1">
      <c r="B176" s="2707"/>
      <c r="C176" s="2707"/>
      <c r="D176" s="2707"/>
      <c r="E176" s="2707"/>
      <c r="F176" s="2707"/>
      <c r="G176" s="2708"/>
      <c r="H176" s="2707"/>
      <c r="I176" s="2708"/>
      <c r="J176" s="2707"/>
      <c r="K176" s="2707"/>
      <c r="L176" s="2708"/>
      <c r="M176" s="2707"/>
      <c r="N176" s="2707"/>
      <c r="O176" s="2708"/>
      <c r="P176" s="2707"/>
      <c r="Q176" s="2707"/>
      <c r="R176" s="2709"/>
    </row>
    <row r="177" spans="1:18" s="905" customFormat="1">
      <c r="B177" s="2707"/>
      <c r="C177" s="2707"/>
      <c r="D177" s="2707"/>
      <c r="E177" s="2707"/>
      <c r="F177" s="2707"/>
      <c r="G177" s="2708"/>
      <c r="H177" s="2707"/>
      <c r="I177" s="2708"/>
      <c r="J177" s="2707"/>
      <c r="K177" s="2707"/>
      <c r="L177" s="2708"/>
      <c r="M177" s="2707"/>
      <c r="N177" s="2707"/>
      <c r="O177" s="2708"/>
      <c r="P177" s="2707"/>
      <c r="Q177" s="2707"/>
      <c r="R177" s="2709"/>
    </row>
    <row r="178" spans="1:18" s="905" customFormat="1">
      <c r="B178" s="2707"/>
      <c r="C178" s="2707"/>
      <c r="D178" s="2707"/>
      <c r="E178" s="2707"/>
      <c r="F178" s="2707"/>
      <c r="G178" s="2708"/>
      <c r="H178" s="2707"/>
      <c r="I178" s="2708"/>
      <c r="J178" s="2707"/>
      <c r="K178" s="2707"/>
      <c r="L178" s="2708"/>
      <c r="M178" s="2707"/>
      <c r="N178" s="2707"/>
      <c r="O178" s="2708"/>
      <c r="P178" s="2707"/>
      <c r="Q178" s="2707"/>
      <c r="R178" s="2709"/>
    </row>
    <row r="179" spans="1:18" s="905" customFormat="1">
      <c r="B179" s="2707"/>
      <c r="C179" s="2707"/>
      <c r="D179" s="2707"/>
      <c r="E179" s="2707"/>
      <c r="F179" s="2707"/>
      <c r="G179" s="2708"/>
      <c r="H179" s="2707"/>
      <c r="I179" s="2708"/>
      <c r="J179" s="2707"/>
      <c r="K179" s="2707"/>
      <c r="L179" s="2708"/>
      <c r="M179" s="2707"/>
      <c r="N179" s="2707"/>
      <c r="O179" s="2708"/>
      <c r="P179" s="2707"/>
      <c r="Q179" s="2707"/>
      <c r="R179" s="2709"/>
    </row>
    <row r="180" spans="1:18" s="905" customFormat="1">
      <c r="B180" s="2707"/>
      <c r="C180" s="2707"/>
      <c r="D180" s="2707"/>
      <c r="E180" s="2707"/>
      <c r="F180" s="2707"/>
      <c r="G180" s="2708"/>
      <c r="H180" s="2707"/>
      <c r="I180" s="2708"/>
      <c r="J180" s="2707"/>
      <c r="K180" s="2707"/>
      <c r="L180" s="2708"/>
      <c r="M180" s="2707"/>
      <c r="N180" s="2707"/>
      <c r="O180" s="2708"/>
      <c r="P180" s="2707"/>
      <c r="Q180" s="2707"/>
      <c r="R180" s="2709"/>
    </row>
    <row r="181" spans="1:18" s="905" customFormat="1">
      <c r="B181" s="2707"/>
      <c r="C181" s="2707"/>
      <c r="D181" s="2707"/>
      <c r="E181" s="2707"/>
      <c r="F181" s="2707"/>
      <c r="G181" s="2708"/>
      <c r="H181" s="2707"/>
      <c r="I181" s="2708"/>
      <c r="J181" s="2707"/>
      <c r="K181" s="2707"/>
      <c r="L181" s="2708"/>
      <c r="M181" s="2707"/>
      <c r="N181" s="2707"/>
      <c r="O181" s="2708"/>
      <c r="P181" s="2707"/>
      <c r="Q181" s="2707"/>
      <c r="R181" s="2709"/>
    </row>
    <row r="182" spans="1:18" s="905" customFormat="1">
      <c r="B182" s="2707"/>
      <c r="C182" s="2707"/>
      <c r="D182" s="2707"/>
      <c r="E182" s="2707"/>
      <c r="F182" s="2707"/>
      <c r="G182" s="2708"/>
      <c r="H182" s="2707"/>
      <c r="I182" s="2708"/>
      <c r="J182" s="2707"/>
      <c r="K182" s="2707"/>
      <c r="L182" s="2708"/>
      <c r="M182" s="2707"/>
      <c r="N182" s="2707"/>
      <c r="O182" s="2708"/>
      <c r="P182" s="2707"/>
      <c r="Q182" s="2707"/>
      <c r="R182" s="2709"/>
    </row>
    <row r="183" spans="1:18" s="905" customFormat="1">
      <c r="B183" s="2707"/>
      <c r="C183" s="2707"/>
      <c r="D183" s="2707"/>
      <c r="E183" s="2707"/>
      <c r="F183" s="2707"/>
      <c r="G183" s="2708"/>
      <c r="H183" s="2707"/>
      <c r="I183" s="2708"/>
      <c r="J183" s="2707"/>
      <c r="K183" s="2707"/>
      <c r="L183" s="2708"/>
      <c r="M183" s="2707"/>
      <c r="N183" s="2707"/>
      <c r="O183" s="2708"/>
      <c r="P183" s="2707"/>
      <c r="Q183" s="2707"/>
      <c r="R183" s="2709"/>
    </row>
    <row r="184" spans="1:18" s="905" customFormat="1">
      <c r="B184" s="2707"/>
      <c r="C184" s="2707"/>
      <c r="D184" s="2707"/>
      <c r="E184" s="2707"/>
      <c r="F184" s="2707"/>
      <c r="G184" s="2708"/>
      <c r="H184" s="2707"/>
      <c r="I184" s="2708"/>
      <c r="J184" s="2707"/>
      <c r="K184" s="2707"/>
      <c r="L184" s="2708"/>
      <c r="M184" s="2707"/>
      <c r="N184" s="2707"/>
      <c r="O184" s="2708"/>
      <c r="P184" s="2707"/>
      <c r="Q184" s="2707"/>
      <c r="R184" s="2709"/>
    </row>
    <row r="185" spans="1:18" s="905"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5"/>
      <c r="B186" s="2707"/>
      <c r="C186" s="2707"/>
      <c r="E186" s="2707"/>
      <c r="F186" s="2707"/>
      <c r="G186" s="2708"/>
    </row>
    <row r="187" spans="1:18">
      <c r="A187" s="905"/>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54761.34</v>
      </c>
      <c r="C1" s="2904"/>
      <c r="D1" s="2904"/>
      <c r="E1" s="2904"/>
      <c r="F1" s="2904"/>
      <c r="G1" s="2905"/>
      <c r="H1" s="2906"/>
      <c r="I1" s="2906"/>
      <c r="J1" s="2906"/>
      <c r="K1" s="2906"/>
    </row>
    <row r="2" spans="1:11" ht="16.5">
      <c r="A2" s="2728" t="s">
        <v>1319</v>
      </c>
      <c r="B2" s="2728">
        <f>SUM(C14:C23)</f>
        <v>30643.66</v>
      </c>
      <c r="C2" s="2904"/>
      <c r="D2" s="2904"/>
      <c r="E2" s="2904"/>
      <c r="F2" s="2904"/>
      <c r="G2" s="2905"/>
      <c r="H2" s="2906"/>
      <c r="I2" s="2906"/>
      <c r="J2" s="2906"/>
      <c r="K2" s="2906"/>
    </row>
    <row r="3" spans="1:11" ht="16.5">
      <c r="A3" s="2728" t="s">
        <v>1328</v>
      </c>
      <c r="B3" s="2730">
        <f>项目基本情况!D3</f>
        <v>44259</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52355</v>
      </c>
      <c r="C5" s="2728">
        <f ca="1">ROUND(B5*10000/$B$1,0)</f>
        <v>9561</v>
      </c>
      <c r="D5" s="2728">
        <f ca="1">ROUND(B5*10000/$B$2,0)</f>
        <v>17085</v>
      </c>
      <c r="E5" s="2904"/>
      <c r="F5" s="2905"/>
      <c r="G5" s="2905"/>
      <c r="H5" s="2906"/>
      <c r="I5" s="2906"/>
      <c r="J5" s="2906"/>
      <c r="K5" s="2906"/>
    </row>
    <row r="6" spans="1:11" ht="16.5">
      <c r="A6" s="2728" t="s">
        <v>1322</v>
      </c>
      <c r="B6" s="2728">
        <f ca="1">SUM(G14:G23)</f>
        <v>52355</v>
      </c>
      <c r="C6" s="2728">
        <f ca="1">ROUND(B6*10000/$B$1,0)</f>
        <v>9561</v>
      </c>
      <c r="D6" s="2728">
        <f ca="1">ROUND(B6*10000/$B$2,0)</f>
        <v>17085</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SUM(I14:I23)</f>
        <v>0</v>
      </c>
      <c r="C8" s="2728">
        <f>ROUND(B8*10000/$B$1,0)</f>
        <v>0</v>
      </c>
      <c r="D8" s="2728">
        <f>ROUND(B8*10000/$B$2,0)</f>
        <v>0</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54761.34</v>
      </c>
      <c r="C14" s="2734">
        <f>结果表!C118</f>
        <v>30643.66</v>
      </c>
      <c r="D14" s="2734">
        <f ca="1">结果表!H118</f>
        <v>52355</v>
      </c>
      <c r="E14" s="2734">
        <f ca="1">ROUND(D14*10000/B14,0)</f>
        <v>9561</v>
      </c>
      <c r="F14" s="2734">
        <f ca="1">ROUND(D14*10000/C14,0)</f>
        <v>17085</v>
      </c>
      <c r="G14" s="2734">
        <f ca="1">结果表!D122</f>
        <v>52355</v>
      </c>
      <c r="H14" s="2734" t="str">
        <f>结果表!D124</f>
        <v>——</v>
      </c>
      <c r="I14" s="2734" t="str">
        <f>结果表!D126</f>
        <v>——</v>
      </c>
      <c r="J14" s="2905"/>
      <c r="K14" s="2906"/>
    </row>
    <row r="15" spans="1:11" ht="16.5">
      <c r="A15" s="2733" t="s">
        <v>1315</v>
      </c>
      <c r="B15" s="2735"/>
      <c r="C15" s="2735"/>
      <c r="D15" s="2735"/>
      <c r="E15" s="2734" t="e">
        <f t="shared" ref="E15:E23" si="0">ROUND(D15*10000/B15,0)</f>
        <v>#DIV/0!</v>
      </c>
      <c r="F15" s="2734" t="e">
        <f t="shared" ref="F15:F23" si="1">ROUND(D15*10000/C15,0)</f>
        <v>#DIV/0!</v>
      </c>
      <c r="G15" s="1499"/>
      <c r="H15" s="1499"/>
      <c r="I15" s="2735"/>
      <c r="J15" s="2905"/>
      <c r="K15" s="2906"/>
    </row>
    <row r="16" spans="1:11" ht="16.5">
      <c r="A16" s="2733" t="s">
        <v>1314</v>
      </c>
      <c r="B16" s="2735"/>
      <c r="C16" s="2735"/>
      <c r="D16" s="2735"/>
      <c r="E16" s="2734" t="e">
        <f t="shared" si="0"/>
        <v>#DIV/0!</v>
      </c>
      <c r="F16" s="2734" t="e">
        <f t="shared" si="1"/>
        <v>#DIV/0!</v>
      </c>
      <c r="G16" s="1499"/>
      <c r="H16" s="1499"/>
      <c r="I16" s="2735"/>
      <c r="J16" s="2906"/>
      <c r="K16" s="2906"/>
    </row>
    <row r="17" spans="1:11" ht="16.5">
      <c r="A17" s="2733" t="s">
        <v>1313</v>
      </c>
      <c r="B17" s="2735"/>
      <c r="C17" s="2735"/>
      <c r="D17" s="2735"/>
      <c r="E17" s="2734" t="e">
        <f t="shared" si="0"/>
        <v>#DIV/0!</v>
      </c>
      <c r="F17" s="2734" t="e">
        <f t="shared" si="1"/>
        <v>#DIV/0!</v>
      </c>
      <c r="G17" s="1499"/>
      <c r="H17" s="1499"/>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M36" sqref="M36"/>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1948</v>
      </c>
      <c r="B1" s="1930"/>
      <c r="C1" s="1931"/>
      <c r="D1" s="1930"/>
      <c r="E1" s="1930"/>
      <c r="F1" s="1932" t="s">
        <v>1949</v>
      </c>
      <c r="G1" s="1745"/>
      <c r="H1" s="1933" t="str">
        <f>IF(G1="现房","——","估价对象范围")</f>
        <v>估价对象范围</v>
      </c>
      <c r="I1" s="1934"/>
    </row>
    <row r="2" spans="1:12" ht="21.75" customHeight="1" thickBot="1">
      <c r="A2" s="3283" t="str">
        <f>项目基本情况!S2</f>
        <v>天津海河教育园区瑞明路与雅馨路交口西南侧房地产</v>
      </c>
      <c r="B2" s="3284"/>
      <c r="C2" s="3284"/>
      <c r="D2" s="3284"/>
      <c r="E2" s="3284"/>
      <c r="F2" s="3284"/>
      <c r="G2" s="3284"/>
      <c r="H2" s="3284"/>
      <c r="I2" s="3285"/>
    </row>
    <row r="3" spans="1:12" ht="12.75">
      <c r="A3" s="3287" t="s">
        <v>1950</v>
      </c>
      <c r="B3" s="3288"/>
      <c r="C3" s="3288"/>
      <c r="D3" s="3288"/>
      <c r="E3" s="3288"/>
      <c r="F3" s="3288"/>
      <c r="G3" s="3288"/>
      <c r="H3" s="3288"/>
      <c r="I3" s="3288"/>
    </row>
    <row r="4" spans="1:12" ht="14.25">
      <c r="A4" s="1937" t="s">
        <v>1951</v>
      </c>
      <c r="B4" s="1938" t="s">
        <v>1952</v>
      </c>
      <c r="C4" s="1939" t="s">
        <v>3154</v>
      </c>
      <c r="D4" s="1939" t="s">
        <v>3155</v>
      </c>
      <c r="E4" s="3289" t="s">
        <v>1953</v>
      </c>
      <c r="F4" s="3290"/>
      <c r="G4" s="3290"/>
      <c r="H4" s="3290"/>
      <c r="I4" s="3291"/>
      <c r="K4" s="150" t="str">
        <f>IF(ISNUMBER(FIND("比较法",结果表!C4)),"比较法",IF(ISNUMBER(FIND("成本法",结果表!C4)),"成本法",IF(ISNUMBER(FIND("假设开发法",结果表!C4)),"假设开发法",IF(ISNUMBER(FIND("收益法",结果表!C4)),"收益法","基准地价系数修正法"))))</f>
        <v>假设开发法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63" t="s">
        <v>1954</v>
      </c>
      <c r="B5" s="3250">
        <v>25</v>
      </c>
      <c r="C5" s="3266"/>
      <c r="D5" s="3286"/>
      <c r="E5" s="135" t="s">
        <v>1955</v>
      </c>
      <c r="F5" s="1940"/>
      <c r="G5" s="1940"/>
      <c r="H5" s="1940"/>
      <c r="I5" s="1556"/>
    </row>
    <row r="6" spans="1:12" ht="12.75">
      <c r="A6" s="3263"/>
      <c r="B6" s="3250"/>
      <c r="C6" s="3267"/>
      <c r="D6" s="3286"/>
      <c r="E6" s="135" t="s">
        <v>1956</v>
      </c>
      <c r="F6" s="1940"/>
      <c r="G6" s="1940"/>
      <c r="H6" s="1940"/>
      <c r="I6" s="1556"/>
    </row>
    <row r="7" spans="1:12" ht="12.75">
      <c r="A7" s="3263"/>
      <c r="B7" s="3250"/>
      <c r="C7" s="3268"/>
      <c r="D7" s="3286"/>
      <c r="E7" s="135" t="s">
        <v>1957</v>
      </c>
      <c r="F7" s="1940"/>
      <c r="G7" s="1940"/>
      <c r="H7" s="1940"/>
      <c r="I7" s="1556"/>
    </row>
    <row r="8" spans="1:12" ht="12.75">
      <c r="A8" s="3263" t="s">
        <v>1958</v>
      </c>
      <c r="B8" s="3250">
        <v>15</v>
      </c>
      <c r="C8" s="3266"/>
      <c r="D8" s="3286"/>
      <c r="E8" s="135" t="s">
        <v>1959</v>
      </c>
      <c r="F8" s="1940"/>
      <c r="G8" s="1940"/>
      <c r="H8" s="1940"/>
      <c r="I8" s="1556"/>
    </row>
    <row r="9" spans="1:12" ht="12.75">
      <c r="A9" s="3263"/>
      <c r="B9" s="3250"/>
      <c r="C9" s="3268"/>
      <c r="D9" s="3286"/>
      <c r="E9" s="135" t="s">
        <v>1960</v>
      </c>
      <c r="F9" s="1940"/>
      <c r="G9" s="1940"/>
      <c r="H9" s="1940"/>
      <c r="I9" s="1556"/>
    </row>
    <row r="10" spans="1:12" ht="12.75">
      <c r="A10" s="3263" t="s">
        <v>1961</v>
      </c>
      <c r="B10" s="3250">
        <v>15</v>
      </c>
      <c r="C10" s="3266"/>
      <c r="D10" s="3286"/>
      <c r="E10" s="135" t="s">
        <v>1962</v>
      </c>
      <c r="F10" s="1940"/>
      <c r="G10" s="1940"/>
      <c r="H10" s="1940"/>
      <c r="I10" s="1556"/>
    </row>
    <row r="11" spans="1:12" ht="12.75">
      <c r="A11" s="3263"/>
      <c r="B11" s="3250"/>
      <c r="C11" s="3268"/>
      <c r="D11" s="3286"/>
      <c r="E11" s="135" t="s">
        <v>1963</v>
      </c>
      <c r="F11" s="1940"/>
      <c r="G11" s="1940"/>
      <c r="H11" s="1940"/>
      <c r="I11" s="1556"/>
    </row>
    <row r="12" spans="1:12" ht="12.75">
      <c r="A12" s="3263" t="s">
        <v>1964</v>
      </c>
      <c r="B12" s="3250">
        <v>15</v>
      </c>
      <c r="C12" s="3266"/>
      <c r="D12" s="3286"/>
      <c r="E12" s="135" t="s">
        <v>1965</v>
      </c>
      <c r="F12" s="1940"/>
      <c r="G12" s="1940"/>
      <c r="H12" s="1940"/>
      <c r="I12" s="1556"/>
    </row>
    <row r="13" spans="1:12" ht="12.75">
      <c r="A13" s="3263"/>
      <c r="B13" s="3250"/>
      <c r="C13" s="3268"/>
      <c r="D13" s="3286"/>
      <c r="E13" s="135" t="s">
        <v>1966</v>
      </c>
      <c r="F13" s="1940"/>
      <c r="G13" s="1940"/>
      <c r="H13" s="1940"/>
      <c r="I13" s="1556"/>
    </row>
    <row r="14" spans="1:12" ht="12.75">
      <c r="A14" s="3263" t="s">
        <v>1967</v>
      </c>
      <c r="B14" s="3250">
        <v>30</v>
      </c>
      <c r="C14" s="3266">
        <v>7</v>
      </c>
      <c r="D14" s="3286">
        <v>3</v>
      </c>
      <c r="E14" s="135" t="s">
        <v>1968</v>
      </c>
      <c r="F14" s="1940"/>
      <c r="G14" s="1940"/>
      <c r="H14" s="1940"/>
      <c r="I14" s="1556"/>
    </row>
    <row r="15" spans="1:12" ht="12.75">
      <c r="A15" s="3263"/>
      <c r="B15" s="3250"/>
      <c r="C15" s="3267"/>
      <c r="D15" s="3286"/>
      <c r="E15" s="135" t="s">
        <v>1969</v>
      </c>
      <c r="F15" s="1940"/>
      <c r="G15" s="1940"/>
      <c r="H15" s="1940"/>
      <c r="I15" s="1556"/>
    </row>
    <row r="16" spans="1:12" ht="12.75">
      <c r="A16" s="3263"/>
      <c r="B16" s="3250"/>
      <c r="C16" s="3268"/>
      <c r="D16" s="3286"/>
      <c r="E16" s="135" t="s">
        <v>1970</v>
      </c>
      <c r="F16" s="1940"/>
      <c r="G16" s="1940"/>
      <c r="H16" s="1940"/>
      <c r="I16" s="1556"/>
    </row>
    <row r="17" spans="1:36" ht="15">
      <c r="A17" s="1941" t="s">
        <v>1971</v>
      </c>
      <c r="B17" s="60"/>
      <c r="C17" s="136">
        <f>SUM(C5:C16)</f>
        <v>7</v>
      </c>
      <c r="D17" s="136">
        <f>SUM(D5:D16)</f>
        <v>3</v>
      </c>
      <c r="E17" s="133"/>
      <c r="F17" s="133"/>
      <c r="G17" s="133"/>
      <c r="H17" s="133"/>
      <c r="I17" s="133"/>
      <c r="K17" s="307"/>
      <c r="L17" s="307" t="s">
        <v>1972</v>
      </c>
      <c r="M17" s="307" t="s">
        <v>1973</v>
      </c>
    </row>
    <row r="18" spans="1:36" ht="31.9" customHeight="1" thickBot="1">
      <c r="A18" s="1942" t="s">
        <v>1974</v>
      </c>
      <c r="B18" s="1943"/>
      <c r="C18" s="137">
        <f>ROUND(C17/SUM(C17:D17),2)</f>
        <v>0.7</v>
      </c>
      <c r="D18" s="137">
        <f>1-C18</f>
        <v>0.30000000000000004</v>
      </c>
      <c r="E18" s="3273" t="s">
        <v>2870</v>
      </c>
      <c r="F18" s="3274"/>
      <c r="G18" s="3274"/>
      <c r="H18" s="3274"/>
      <c r="I18" s="3274"/>
      <c r="K18" s="307" t="s">
        <v>1975</v>
      </c>
      <c r="L18" s="307">
        <f>IF(C1="",'数据-汇总表'!E3,SUMIF(项目类型,C1,'数据-汇总表'!E17:E26)+SUMIF(项目类型,C1,'数据-汇总表'!I17:I26))</f>
        <v>54761.34</v>
      </c>
      <c r="M18" s="307">
        <f>IF(C1="",'数据-汇总表'!E3,SUMIF(项目类型,C1,'数据-汇总表'!E17:E26))</f>
        <v>54761.34</v>
      </c>
    </row>
    <row r="19" spans="1:36" ht="15">
      <c r="A19" s="1944" t="s">
        <v>1976</v>
      </c>
      <c r="B19" s="1945" t="s">
        <v>1977</v>
      </c>
      <c r="C19" s="138">
        <f ca="1">SUMIF(INDIRECT("'"&amp;C4&amp;"'"&amp;"!A:A"),结果表!B19,INDIRECT("'"&amp;C4&amp;"'"&amp;"!B:B"))</f>
        <v>48201</v>
      </c>
      <c r="D19" s="139">
        <f ca="1">SUMIF(INDIRECT("'"&amp;D4&amp;"'"&amp;"!A:A"),结果表!B19,INDIRECT("'"&amp;D4&amp;"'"&amp;"!B:B"))</f>
        <v>62047</v>
      </c>
      <c r="E19" s="1944" t="s">
        <v>1978</v>
      </c>
      <c r="F19" s="1945" t="s">
        <v>1977</v>
      </c>
      <c r="G19" s="140">
        <f ca="1">ROUND(C19*$C$18+D19*$D$18,0)</f>
        <v>52355</v>
      </c>
      <c r="H19" s="1946" t="s">
        <v>1979</v>
      </c>
      <c r="I19" s="133"/>
      <c r="K19" s="307" t="s">
        <v>1980</v>
      </c>
      <c r="L19" s="307">
        <f>IF(C1="",'数据-汇总表'!D3,SUMIF(项目类型,C1,'数据-汇总表'!D17:D26)+SUMIF(项目类型,C1,'数据-汇总表'!H17:H27))</f>
        <v>30643.66</v>
      </c>
      <c r="M19" s="307">
        <f>IF(C1="",'数据-汇总表'!D3,SUMIF(项目类型,C1,'数据-汇总表'!D17:D26))</f>
        <v>30643.66</v>
      </c>
    </row>
    <row r="20" spans="1:36" ht="15">
      <c r="A20" s="1947"/>
      <c r="B20" s="1155" t="s">
        <v>1981</v>
      </c>
      <c r="C20" s="141">
        <f ca="1">SUMIF(INDIRECT("'"&amp;C4&amp;"'"&amp;"!A:A"),结果表!B20,INDIRECT("'"&amp;C4&amp;"'"&amp;"!B:B"))</f>
        <v>8802</v>
      </c>
      <c r="D20" s="142">
        <f ca="1">SUMIF(INDIRECT("'"&amp;D4&amp;"'"&amp;"!A:A"),结果表!B20,INDIRECT("'"&amp;D4&amp;"'"&amp;"!B:B"))</f>
        <v>11330</v>
      </c>
      <c r="E20" s="1947"/>
      <c r="F20" s="1155" t="s">
        <v>1981</v>
      </c>
      <c r="G20" s="143">
        <f ca="1">ROUND(C20*$C$18+D20*$D$18,0)</f>
        <v>9560</v>
      </c>
      <c r="H20" s="915" t="s">
        <v>1982</v>
      </c>
      <c r="I20" s="133"/>
    </row>
    <row r="21" spans="1:36" ht="15" customHeight="1" thickBot="1">
      <c r="A21" s="935"/>
      <c r="B21" s="1948" t="s">
        <v>1983</v>
      </c>
      <c r="C21" s="727">
        <f ca="1">ROUND(C19*10000/L19,0)</f>
        <v>15730</v>
      </c>
      <c r="D21" s="728">
        <f ca="1">ROUND(D19*10000/L19,0)</f>
        <v>20248</v>
      </c>
      <c r="E21" s="935"/>
      <c r="F21" s="1948" t="s">
        <v>1983</v>
      </c>
      <c r="G21" s="144">
        <f ca="1">ROUND(G19*10000/L19,0)</f>
        <v>17085</v>
      </c>
      <c r="H21" s="1949" t="s">
        <v>1982</v>
      </c>
      <c r="I21" s="133"/>
    </row>
    <row r="22" spans="1:36" ht="15" thickBot="1">
      <c r="A22" s="1871" t="s">
        <v>1984</v>
      </c>
      <c r="B22" s="1950"/>
      <c r="C22" s="1951"/>
      <c r="D22" s="729">
        <f ca="1">IF(C19&lt;D19,D19/C19-1,C19/D19-1)</f>
        <v>0.28725545113171935</v>
      </c>
      <c r="E22" s="133"/>
      <c r="F22" s="133"/>
      <c r="G22" s="133"/>
      <c r="H22" s="133"/>
      <c r="I22" s="133"/>
    </row>
    <row r="23" spans="1:36" ht="13.5" thickBot="1">
      <c r="A23" s="1930"/>
      <c r="B23" s="1930"/>
      <c r="C23" s="1930"/>
      <c r="D23" s="1930"/>
      <c r="E23" s="133"/>
      <c r="F23" s="133"/>
      <c r="G23" s="133"/>
      <c r="H23" s="133"/>
      <c r="I23" s="133"/>
    </row>
    <row r="24" spans="1:36" ht="14.25">
      <c r="A24" s="3257" t="s">
        <v>1985</v>
      </c>
      <c r="B24" s="1945" t="s">
        <v>1977</v>
      </c>
      <c r="C24" s="140">
        <f>IF(B30=0,0,D30)</f>
        <v>0</v>
      </c>
      <c r="D24" s="1952"/>
      <c r="E24" s="133"/>
      <c r="F24" s="133"/>
      <c r="G24" s="133"/>
      <c r="H24" s="133"/>
      <c r="I24" s="133"/>
    </row>
    <row r="25" spans="1:36" ht="14.25">
      <c r="A25" s="3258"/>
      <c r="B25" s="1155" t="s">
        <v>1981</v>
      </c>
      <c r="C25" s="145">
        <f>IF(B30=0,0,C30)</f>
        <v>0</v>
      </c>
      <c r="D25" s="1953"/>
      <c r="E25" s="133"/>
      <c r="F25" s="133"/>
      <c r="G25" s="133"/>
      <c r="H25" s="133"/>
      <c r="I25" s="133"/>
    </row>
    <row r="26" spans="1:36" ht="13.5" customHeight="1">
      <c r="A26" s="1954" t="s">
        <v>1986</v>
      </c>
      <c r="B26" s="146" t="s">
        <v>1987</v>
      </c>
      <c r="C26" s="146" t="s">
        <v>1988</v>
      </c>
      <c r="D26" s="147" t="s">
        <v>1989</v>
      </c>
      <c r="E26" s="133"/>
      <c r="F26" s="133"/>
      <c r="G26" s="133"/>
      <c r="H26" s="133"/>
      <c r="I26" s="133"/>
    </row>
    <row r="27" spans="1:36" ht="14.25">
      <c r="A27" s="1954"/>
      <c r="B27" s="146">
        <v>0</v>
      </c>
      <c r="C27" s="146">
        <v>0</v>
      </c>
      <c r="D27" s="147">
        <f ca="1">G19/'数据-汇总表'!F31*10000</f>
        <v>9560.5768595143909</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1990</v>
      </c>
      <c r="B30" s="146"/>
      <c r="C30" s="146"/>
      <c r="D30" s="146"/>
      <c r="E30" s="2515" t="s">
        <v>2871</v>
      </c>
      <c r="F30" s="133"/>
      <c r="G30" s="133"/>
      <c r="H30" s="133"/>
      <c r="I30" s="133"/>
    </row>
    <row r="31" spans="1:36" s="2521" customFormat="1" ht="26.45" customHeight="1" thickTop="1" thickBot="1">
      <c r="A31" s="2516"/>
      <c r="B31" s="2517"/>
      <c r="C31" s="2517"/>
      <c r="D31" s="2517"/>
      <c r="E31" s="2517"/>
      <c r="F31" s="2517"/>
      <c r="G31" s="2517"/>
      <c r="H31" s="2517"/>
      <c r="I31" s="2518" t="s">
        <v>2872</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6" t="s">
        <v>1991</v>
      </c>
      <c r="B32" s="1957"/>
      <c r="C32" s="148">
        <f ca="1">IF(D32="总价",G19-C24,G20-C25)</f>
        <v>52355</v>
      </c>
      <c r="D32" s="1958" t="s">
        <v>3318</v>
      </c>
      <c r="E32" s="133"/>
      <c r="F32" s="133"/>
      <c r="G32" s="133"/>
      <c r="H32" s="133"/>
      <c r="I32" s="133"/>
    </row>
    <row r="33" spans="1:15" ht="15">
      <c r="A33" s="892" t="s">
        <v>1992</v>
      </c>
      <c r="B33" s="1959"/>
      <c r="C33" s="1960" t="s">
        <v>3319</v>
      </c>
      <c r="D33" s="1961" t="s">
        <v>3155</v>
      </c>
      <c r="E33" s="1962" t="s">
        <v>1993</v>
      </c>
      <c r="F33" s="1963" t="str">
        <f>IF(D32="楼面单价","取值（单价）","取值（总价）")</f>
        <v>取值（总价）</v>
      </c>
      <c r="G33" s="133"/>
      <c r="H33" s="133"/>
      <c r="I33" s="133"/>
    </row>
    <row r="34" spans="1:15" ht="15">
      <c r="A34" s="1964"/>
      <c r="B34" s="1965" t="s">
        <v>1994</v>
      </c>
      <c r="C34" s="152">
        <f ca="1">IF(C33="自定义",F34,C32-C35)</f>
        <v>46125</v>
      </c>
      <c r="D34" s="968">
        <f ca="1">IF(C33="自定义",ROUND(C34/C32,3),IF(C33="收益比率",SUMIF(INDIRECT("'"&amp;D33&amp;"'"&amp;"!b:b"),"土地收益比率",INDIRECT("'"&amp;D33&amp;"'"&amp;"!c:c")),SUMIF(INDIRECT("'"&amp;D33&amp;"'"&amp;"!b:b"),"土地成本比率",INDIRECT("'"&amp;D33&amp;"'"&amp;"!c:c"))))</f>
        <v>0.88100000000000001</v>
      </c>
      <c r="E34" s="1966" t="s">
        <v>1995</v>
      </c>
      <c r="F34" s="1497"/>
      <c r="G34" s="133"/>
      <c r="H34" s="133"/>
      <c r="I34" s="133"/>
    </row>
    <row r="35" spans="1:15" ht="15.75" thickBot="1">
      <c r="A35" s="1967"/>
      <c r="B35" s="1968" t="s">
        <v>1996</v>
      </c>
      <c r="C35" s="1330">
        <f ca="1">IF(C33="自定义",F35,ROUND(C32*D35,0))</f>
        <v>6230</v>
      </c>
      <c r="D35" s="1331">
        <f ca="1">IF(C33="自定义",ROUND(C35/C32,3),IF(C33="收益比率",SUMIF(INDIRECT("'"&amp;D33&amp;"'"&amp;"!b:b"),"建筑物收益比率",INDIRECT("'"&amp;D33&amp;"'"&amp;"!c:c")),SUMIF(INDIRECT("'"&amp;D33&amp;"'"&amp;"!b:b"),"建筑物成本比率",INDIRECT("'"&amp;D33&amp;"'"&amp;"!c:c"))))</f>
        <v>0.11899999999999999</v>
      </c>
      <c r="E35" s="1969" t="s">
        <v>1997</v>
      </c>
      <c r="F35" s="158"/>
      <c r="G35" s="133"/>
      <c r="H35" s="133"/>
      <c r="I35" s="133"/>
    </row>
    <row r="36" spans="1:15" ht="15.75" thickBot="1">
      <c r="A36" s="3277" t="s">
        <v>1998</v>
      </c>
      <c r="B36" s="1970" t="s">
        <v>1999</v>
      </c>
      <c r="C36" s="149"/>
      <c r="D36" s="1971"/>
      <c r="E36" s="1972"/>
      <c r="F36" s="1973"/>
      <c r="G36" s="133"/>
      <c r="H36" s="133"/>
      <c r="I36" s="133"/>
    </row>
    <row r="37" spans="1:15" ht="15.75" thickBot="1">
      <c r="A37" s="3278"/>
      <c r="B37" s="1857" t="s">
        <v>2000</v>
      </c>
      <c r="C37" s="151"/>
      <c r="D37" s="1299"/>
      <c r="E37" s="1299"/>
      <c r="F37" s="1973"/>
      <c r="G37" s="133"/>
      <c r="H37" s="133"/>
      <c r="I37" s="133"/>
    </row>
    <row r="38" spans="1:15" ht="15.75" thickBot="1">
      <c r="A38" s="3279"/>
      <c r="B38" s="1974" t="s">
        <v>2001</v>
      </c>
      <c r="C38" s="682"/>
      <c r="D38" s="1975" t="s">
        <v>2002</v>
      </c>
      <c r="E38" s="1299"/>
      <c r="F38" s="1973"/>
      <c r="G38" s="133"/>
      <c r="H38" s="133"/>
      <c r="I38" s="133"/>
    </row>
    <row r="39" spans="1:15" ht="15">
      <c r="A39" s="1947" t="s">
        <v>2003</v>
      </c>
      <c r="B39" s="1976" t="s">
        <v>2004</v>
      </c>
      <c r="C39" s="1977" t="s">
        <v>2005</v>
      </c>
      <c r="D39" s="1977" t="s">
        <v>2006</v>
      </c>
      <c r="E39" s="1978" t="s">
        <v>2007</v>
      </c>
      <c r="F39" s="1973"/>
      <c r="G39" s="133"/>
      <c r="H39" s="133"/>
      <c r="I39" s="133"/>
    </row>
    <row r="40" spans="1:15" ht="14.25">
      <c r="A40" s="1979" t="s">
        <v>2008</v>
      </c>
      <c r="B40" s="153"/>
      <c r="C40" s="154"/>
      <c r="D40" s="154"/>
      <c r="E40" s="155"/>
      <c r="F40" s="1973"/>
      <c r="G40" s="133"/>
      <c r="H40" s="133"/>
      <c r="I40" s="133"/>
    </row>
    <row r="41" spans="1:15" ht="14.25">
      <c r="A41" s="1979" t="s">
        <v>2009</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54" t="s">
        <v>2012</v>
      </c>
      <c r="B45" s="3255"/>
      <c r="C45" s="3256"/>
      <c r="D45" s="159">
        <f ca="1">ROUND(H101*F45,0)</f>
        <v>52355</v>
      </c>
      <c r="E45" s="160" t="s">
        <v>2013</v>
      </c>
      <c r="F45" s="161">
        <v>1</v>
      </c>
      <c r="G45" s="162" t="s">
        <v>2014</v>
      </c>
      <c r="H45" s="133"/>
      <c r="I45" s="133"/>
      <c r="J45" s="3335" t="s">
        <v>2015</v>
      </c>
      <c r="K45" s="3335"/>
      <c r="L45" s="3335"/>
      <c r="M45" s="3335"/>
      <c r="N45" s="3335"/>
      <c r="O45" s="3335"/>
    </row>
    <row r="46" spans="1:15" ht="14.25" customHeight="1">
      <c r="A46" s="3251" t="s">
        <v>2016</v>
      </c>
      <c r="B46" s="3252"/>
      <c r="C46" s="3252"/>
      <c r="D46" s="3252"/>
      <c r="E46" s="3252"/>
      <c r="F46" s="3252"/>
      <c r="G46" s="3253"/>
      <c r="H46" s="1989"/>
      <c r="I46" s="163"/>
      <c r="J46" s="2739">
        <v>1</v>
      </c>
      <c r="K46" s="3316" t="s">
        <v>2017</v>
      </c>
      <c r="L46" s="3316"/>
      <c r="M46" s="3336"/>
      <c r="N46" s="3336"/>
      <c r="O46" s="3336"/>
    </row>
    <row r="47" spans="1:15" ht="12" customHeight="1">
      <c r="A47" s="164" t="s">
        <v>2018</v>
      </c>
      <c r="B47" s="165"/>
      <c r="C47" s="166"/>
      <c r="D47" s="1245" t="s">
        <v>2019</v>
      </c>
      <c r="E47" s="307" t="s">
        <v>2020</v>
      </c>
      <c r="F47" s="167" t="s">
        <v>2021</v>
      </c>
      <c r="G47" s="2762" t="s">
        <v>2022</v>
      </c>
      <c r="H47" s="2763"/>
      <c r="I47" s="163"/>
      <c r="J47" s="2739">
        <v>2</v>
      </c>
      <c r="K47" s="3316" t="s">
        <v>2023</v>
      </c>
      <c r="L47" s="3316"/>
      <c r="M47" s="3337">
        <f>'数据-取费表'!B2</f>
        <v>44259</v>
      </c>
      <c r="N47" s="3337"/>
      <c r="O47" s="3337"/>
    </row>
    <row r="48" spans="1:15" ht="25.5">
      <c r="A48" s="3282" t="s">
        <v>2024</v>
      </c>
      <c r="B48" s="3265"/>
      <c r="C48" s="3265"/>
      <c r="D48" s="2541" t="b">
        <f>IF(H48="情况1",0,IF(H48="情况2",D52,IF(H48="情况3",D53,IF(H48="情况4",D54))))</f>
        <v>0</v>
      </c>
      <c r="E48" s="2551" t="str">
        <f>IF(H48="情况4","(销售额-原购置价)×税（费）率","销售额×税（费）率")</f>
        <v>销售额×税（费）率</v>
      </c>
      <c r="F48" s="2764">
        <f>IF(H48="情况1","免征",'数据-取费表'!B41)</f>
        <v>5.6000000000000001E-2</v>
      </c>
      <c r="G48" s="2765" t="s">
        <v>2025</v>
      </c>
      <c r="H48" s="2766"/>
      <c r="I48" s="1989"/>
      <c r="J48" s="2739">
        <v>3</v>
      </c>
      <c r="K48" s="3316" t="s">
        <v>2026</v>
      </c>
      <c r="L48" s="3316"/>
      <c r="M48" s="3338">
        <f ca="1">H101</f>
        <v>52355</v>
      </c>
      <c r="N48" s="3338"/>
      <c r="O48" s="3338"/>
    </row>
    <row r="49" spans="1:35" ht="25.5" customHeight="1">
      <c r="A49" s="2550" t="s">
        <v>2027</v>
      </c>
      <c r="B49" s="3249" t="s">
        <v>2028</v>
      </c>
      <c r="C49" s="3249"/>
      <c r="D49" s="1773">
        <v>0</v>
      </c>
      <c r="E49" s="329" t="s">
        <v>2029</v>
      </c>
      <c r="F49" s="2640" t="s">
        <v>34</v>
      </c>
      <c r="G49" s="3322"/>
      <c r="H49" s="2522" t="s">
        <v>2873</v>
      </c>
      <c r="I49" s="2523"/>
      <c r="J49" s="2739">
        <v>4</v>
      </c>
      <c r="K49" s="3316" t="str">
        <f>IF(项目基本情况!E8="房地产抵押价值","房地产抵押价值","抵押担保权已注销时的房地产抵押价值")</f>
        <v>房地产抵押价值</v>
      </c>
      <c r="L49" s="3316"/>
      <c r="M49" s="3338">
        <f ca="1">IF(项目基本情况!E8="房地产抵押价值",H107,H109)</f>
        <v>52355</v>
      </c>
      <c r="N49" s="3338"/>
      <c r="O49" s="3338"/>
    </row>
    <row r="50" spans="1:35" ht="25.5" customHeight="1">
      <c r="A50" s="2767"/>
      <c r="B50" s="3249" t="s">
        <v>2030</v>
      </c>
      <c r="C50" s="3249"/>
      <c r="D50" s="2768"/>
      <c r="E50" s="337"/>
      <c r="F50" s="2640"/>
      <c r="G50" s="3323"/>
      <c r="H50" s="2524" t="s">
        <v>2874</v>
      </c>
      <c r="I50" s="2523"/>
      <c r="J50" s="3335" t="s">
        <v>2031</v>
      </c>
      <c r="K50" s="3335"/>
      <c r="L50" s="3335"/>
      <c r="M50" s="3335"/>
      <c r="N50" s="3335"/>
      <c r="O50" s="3335"/>
    </row>
    <row r="51" spans="1:35" ht="20.45" customHeight="1">
      <c r="A51" s="2769"/>
      <c r="B51" s="3249" t="s">
        <v>2032</v>
      </c>
      <c r="C51" s="3249"/>
      <c r="D51" s="1245"/>
      <c r="E51" s="332"/>
      <c r="F51" s="2640"/>
      <c r="G51" s="3324"/>
      <c r="H51" s="2524" t="s">
        <v>2875</v>
      </c>
      <c r="I51" s="2523"/>
      <c r="J51" s="2740" t="s">
        <v>2033</v>
      </c>
      <c r="K51" s="3316" t="s">
        <v>2034</v>
      </c>
      <c r="L51" s="3316"/>
      <c r="M51" s="2740" t="s">
        <v>2035</v>
      </c>
      <c r="N51" s="2740" t="s">
        <v>2036</v>
      </c>
      <c r="O51" s="2740" t="s">
        <v>2037</v>
      </c>
    </row>
    <row r="52" spans="1:35" ht="24" customHeight="1">
      <c r="A52" s="2552" t="s">
        <v>2038</v>
      </c>
      <c r="B52" s="3249" t="s">
        <v>2039</v>
      </c>
      <c r="C52" s="3249"/>
      <c r="D52" s="1245">
        <f ca="1">ROUND(D45*'数据-取费表'!B41/(1+'数据-取费表'!C42),0)</f>
        <v>2792</v>
      </c>
      <c r="E52" s="2551" t="s">
        <v>2040</v>
      </c>
      <c r="F52" s="2770">
        <f>'数据-取费表'!B41</f>
        <v>5.6000000000000001E-2</v>
      </c>
      <c r="G52" s="2771"/>
      <c r="H52" s="2760"/>
      <c r="I52" s="1990"/>
      <c r="J52" s="2739">
        <v>1</v>
      </c>
      <c r="K52" s="3317" t="s">
        <v>2041</v>
      </c>
      <c r="L52" s="3317"/>
      <c r="M52" s="2741" t="b">
        <f>D48</f>
        <v>0</v>
      </c>
      <c r="N52" s="2739" t="str">
        <f>E48</f>
        <v>销售额×税（费）率</v>
      </c>
      <c r="O52" s="2742">
        <f>F48</f>
        <v>5.6000000000000001E-2</v>
      </c>
    </row>
    <row r="53" spans="1:35" ht="12" customHeight="1">
      <c r="A53" s="2552" t="s">
        <v>2042</v>
      </c>
      <c r="B53" s="3275" t="s">
        <v>3031</v>
      </c>
      <c r="C53" s="3276"/>
      <c r="D53" s="1245">
        <f ca="1">ROUND(D45*'数据-取费表'!B41/(1+'数据-取费表'!C42),0)</f>
        <v>2792</v>
      </c>
      <c r="E53" s="2551" t="s">
        <v>2040</v>
      </c>
      <c r="F53" s="2770">
        <f>'数据-取费表'!B41</f>
        <v>5.6000000000000001E-2</v>
      </c>
      <c r="G53" s="2771"/>
      <c r="H53" s="2760"/>
      <c r="I53" s="1990"/>
      <c r="J53" s="2739">
        <v>2</v>
      </c>
      <c r="K53" s="3317" t="s">
        <v>2043</v>
      </c>
      <c r="L53" s="3317"/>
      <c r="M53" s="2741">
        <f t="shared" ref="M53:O54" ca="1" si="0">D55</f>
        <v>26</v>
      </c>
      <c r="N53" s="2739" t="str">
        <f t="shared" si="0"/>
        <v>销售额×税（费）率</v>
      </c>
      <c r="O53" s="2742" t="str">
        <f t="shared" si="0"/>
        <v>免征</v>
      </c>
    </row>
    <row r="54" spans="1:35" ht="12" customHeight="1">
      <c r="A54" s="2552" t="s">
        <v>2044</v>
      </c>
      <c r="B54" s="3275" t="s">
        <v>3032</v>
      </c>
      <c r="C54" s="3276"/>
      <c r="D54" s="1245">
        <f ca="1">C68</f>
        <v>2792</v>
      </c>
      <c r="E54" s="332" t="s">
        <v>2045</v>
      </c>
      <c r="F54" s="2770">
        <f>'数据-取费表'!B41</f>
        <v>5.6000000000000001E-2</v>
      </c>
      <c r="G54" s="2771"/>
      <c r="H54" s="2772"/>
      <c r="I54" s="1990"/>
      <c r="J54" s="2739">
        <v>3</v>
      </c>
      <c r="K54" s="3317" t="s">
        <v>2046</v>
      </c>
      <c r="L54" s="3317"/>
      <c r="M54" s="2741">
        <f t="shared" ca="1" si="0"/>
        <v>29633</v>
      </c>
      <c r="N54" s="2739" t="str">
        <f t="shared" si="0"/>
        <v>增值额×税（费）率</v>
      </c>
      <c r="O54" s="2743" t="str">
        <f t="shared" si="0"/>
        <v>免征</v>
      </c>
    </row>
    <row r="55" spans="1:35" ht="24" customHeight="1">
      <c r="A55" s="3264" t="s">
        <v>2047</v>
      </c>
      <c r="B55" s="3265"/>
      <c r="C55" s="3265"/>
      <c r="D55" s="2541">
        <f ca="1">IF(H55="个人住宅",0,ROUND(D45*I55,0))</f>
        <v>26</v>
      </c>
      <c r="E55" s="2551" t="s">
        <v>2048</v>
      </c>
      <c r="F55" s="2770" t="str">
        <f>IF(H55="正常",I55,"免征")</f>
        <v>免征</v>
      </c>
      <c r="G55" s="2771"/>
      <c r="H55" s="2766"/>
      <c r="I55" s="169">
        <f>'数据-取费表'!B49</f>
        <v>5.0000000000000001E-4</v>
      </c>
      <c r="J55" s="2739">
        <f>IF(H59="非个人房产","",4)</f>
        <v>4</v>
      </c>
      <c r="K55" s="3317" t="str">
        <f>IF(H59="非个人房产","——","个人所得税")</f>
        <v>个人所得税</v>
      </c>
      <c r="L55" s="3317"/>
      <c r="M55" s="2744">
        <f ca="1">D59</f>
        <v>499</v>
      </c>
      <c r="N55" s="2222" t="str">
        <f>E59</f>
        <v>差额计税</v>
      </c>
      <c r="O55" s="2745">
        <f>F59</f>
        <v>0.01</v>
      </c>
    </row>
    <row r="56" spans="1:35" ht="24.75">
      <c r="A56" s="3264" t="s">
        <v>2049</v>
      </c>
      <c r="B56" s="3265"/>
      <c r="C56" s="3265"/>
      <c r="D56" s="2541">
        <f ca="1">IF(H56="个人住宅",D57,D58)</f>
        <v>29633</v>
      </c>
      <c r="E56" s="2551" t="s">
        <v>2050</v>
      </c>
      <c r="F56" s="2770" t="str">
        <f>IF(H56="正常",F58,"免征")</f>
        <v>免征</v>
      </c>
      <c r="G56" s="2773" t="s">
        <v>2051</v>
      </c>
      <c r="H56" s="2774"/>
      <c r="I56" s="1991"/>
      <c r="J56" s="2739" t="str">
        <f>IF(项目基本情况!K6="上海银行",IF(J55="",4,J55+1),"")</f>
        <v/>
      </c>
      <c r="K56" s="3340" t="str">
        <f>IF(项目基本情况!K6="上海银行","其他处置费用","")</f>
        <v/>
      </c>
      <c r="L56" s="3341"/>
      <c r="M56" s="2741" t="str">
        <f>IF(项目基本情况!K6="上海银行",M69,"")</f>
        <v/>
      </c>
      <c r="N56" s="3340" t="str">
        <f>IF(项目基本情况!K6="上海银行","包含处置中涉及的律师、诉讼、拍卖、评估等费用","")</f>
        <v/>
      </c>
      <c r="O56" s="3343"/>
    </row>
    <row r="57" spans="1:35" ht="12.75">
      <c r="A57" s="2552" t="s">
        <v>2027</v>
      </c>
      <c r="B57" s="3275" t="s">
        <v>2052</v>
      </c>
      <c r="C57" s="3276"/>
      <c r="D57" s="1773">
        <v>0</v>
      </c>
      <c r="E57" s="329" t="s">
        <v>2029</v>
      </c>
      <c r="F57" s="307"/>
      <c r="G57" s="2771"/>
      <c r="H57" s="2775"/>
      <c r="I57" s="1991"/>
      <c r="J57" s="3317">
        <f>IF(AND(J55="",J56=""),4,IF(项目基本情况!K6="上海银行",结果表!J56+1,结果表!J55+1))</f>
        <v>5</v>
      </c>
      <c r="K57" s="3317" t="s">
        <v>2053</v>
      </c>
      <c r="L57" s="2746" t="s">
        <v>2054</v>
      </c>
      <c r="M57" s="2747"/>
      <c r="N57" s="2748">
        <f ca="1">SUMIF(M52:M56,"&lt;9e307")</f>
        <v>30158</v>
      </c>
      <c r="O57" s="2749"/>
      <c r="P57" s="2908">
        <f ca="1">N57/M49</f>
        <v>0.57602903256613502</v>
      </c>
    </row>
    <row r="58" spans="1:35" ht="24.75">
      <c r="A58" s="2552" t="s">
        <v>2038</v>
      </c>
      <c r="B58" s="3275" t="s">
        <v>2055</v>
      </c>
      <c r="C58" s="3249"/>
      <c r="D58" s="2541">
        <f ca="1">IF(H58="转让取得",C81,C97)</f>
        <v>29633</v>
      </c>
      <c r="E58" s="2551" t="s">
        <v>2050</v>
      </c>
      <c r="F58" s="307" t="s">
        <v>34</v>
      </c>
      <c r="G58" s="2771"/>
      <c r="H58" s="2774"/>
      <c r="I58" s="1991"/>
      <c r="J58" s="3317"/>
      <c r="K58" s="3317"/>
      <c r="L58" s="2746" t="s">
        <v>2056</v>
      </c>
      <c r="M58" s="2750"/>
      <c r="N58" s="2751" t="str">
        <f ca="1">NUMBERSTRING(INT(N57*10000),2)&amp;"元整"</f>
        <v>叁亿零壹佰伍拾捌万元整</v>
      </c>
      <c r="O58" s="2752"/>
    </row>
    <row r="59" spans="1:35" ht="24.75" thickBot="1">
      <c r="A59" s="3320" t="s">
        <v>2057</v>
      </c>
      <c r="B59" s="3321"/>
      <c r="C59" s="3321"/>
      <c r="D59" s="2776">
        <f ca="1">IF(H59="非个人房产","——",IF(H59="个人住宅（满五唯一有凭证）",0,IF(H59="个人其他（无凭证）",ROUND(D45*F59,0),ROUND(C67*F59,0))))</f>
        <v>499</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6"/>
      <c r="I59" s="2525" t="s">
        <v>2876</v>
      </c>
      <c r="J59" s="3318">
        <f>J57+1</f>
        <v>6</v>
      </c>
      <c r="K59" s="3317" t="s">
        <v>2058</v>
      </c>
      <c r="L59" s="2739" t="s">
        <v>2054</v>
      </c>
      <c r="M59" s="2753"/>
      <c r="N59" s="2754">
        <f ca="1">M49-N57</f>
        <v>22197</v>
      </c>
      <c r="O59" s="2755"/>
    </row>
    <row r="60" spans="1:35" ht="12" customHeight="1">
      <c r="A60" s="1992"/>
      <c r="B60" s="1930"/>
      <c r="C60" s="1930"/>
      <c r="D60" s="1930"/>
      <c r="E60" s="1761"/>
      <c r="F60" s="1991"/>
      <c r="G60" s="1991"/>
      <c r="H60" s="1993"/>
      <c r="I60" s="133"/>
      <c r="J60" s="3319"/>
      <c r="K60" s="3317"/>
      <c r="L60" s="2746" t="s">
        <v>2056</v>
      </c>
      <c r="M60" s="2750"/>
      <c r="N60" s="2751" t="str">
        <f ca="1">NUMBERSTRING(INT(N59*10000),2)&amp;"元整"</f>
        <v>贰亿贰仟壹佰玖拾柒万元整</v>
      </c>
      <c r="O60" s="2752"/>
    </row>
    <row r="61" spans="1:35" ht="13.5" thickBot="1">
      <c r="A61" s="3262" t="s">
        <v>2059</v>
      </c>
      <c r="B61" s="3262"/>
      <c r="C61" s="3262"/>
      <c r="D61" s="3262"/>
      <c r="E61" s="3262"/>
      <c r="F61" s="1991"/>
      <c r="G61" s="1991"/>
      <c r="H61" s="1993"/>
      <c r="I61" s="133"/>
      <c r="J61" s="2739">
        <f>J59+1</f>
        <v>7</v>
      </c>
      <c r="K61" s="3317" t="s">
        <v>2060</v>
      </c>
      <c r="L61" s="3317"/>
      <c r="M61" s="2756"/>
      <c r="N61" s="2757">
        <f ca="1">ROUND(N59*10000/'数据-汇总表'!E3,0)</f>
        <v>4053</v>
      </c>
      <c r="O61" s="2758"/>
    </row>
    <row r="62" spans="1:35" ht="12.75">
      <c r="A62" s="3280" t="s">
        <v>2061</v>
      </c>
      <c r="B62" s="3281"/>
      <c r="C62" s="2203"/>
      <c r="D62" s="2203" t="s">
        <v>2062</v>
      </c>
      <c r="E62" s="170" t="s">
        <v>2063</v>
      </c>
      <c r="F62" s="1991"/>
      <c r="G62" s="1991"/>
      <c r="H62" s="1993"/>
      <c r="I62" s="133"/>
    </row>
    <row r="63" spans="1:35" ht="12.75">
      <c r="A63" s="177" t="s">
        <v>775</v>
      </c>
      <c r="B63" s="171" t="s">
        <v>2064</v>
      </c>
      <c r="C63" s="2780">
        <f ca="1">ROUND((C64+C65)/(1+'数据-取费表'!C42),0)</f>
        <v>49862</v>
      </c>
      <c r="D63" s="171"/>
      <c r="E63" s="172"/>
      <c r="F63" s="1991"/>
      <c r="G63" s="1991"/>
      <c r="H63" s="1993"/>
      <c r="I63" s="133"/>
      <c r="J63" s="3342" t="s">
        <v>2065</v>
      </c>
      <c r="K63" s="1500" t="s">
        <v>2066</v>
      </c>
      <c r="L63" s="1500">
        <f ca="1">IF(M49&gt;10000,M49*0.5%,IF(AND(M49&gt;1000,M49&lt;=10000),M49*1%,IF(AND(M49&gt;100,M49&lt;=1000),M49*3%,IF(AND(M49&gt;10,M49&lt;=100),M49*5%,M49*8%))))</f>
        <v>261.77499999999998</v>
      </c>
      <c r="M63" s="307">
        <f ca="1">ROUND(L63,1)</f>
        <v>261.8</v>
      </c>
      <c r="N63" s="2759"/>
      <c r="Z63" s="1935"/>
      <c r="AI63" s="1936"/>
    </row>
    <row r="64" spans="1:35" ht="14.25" customHeight="1">
      <c r="A64" s="173" t="s">
        <v>770</v>
      </c>
      <c r="B64" s="174" t="s">
        <v>2067</v>
      </c>
      <c r="C64" s="2781">
        <f ca="1">D45</f>
        <v>52355</v>
      </c>
      <c r="D64" s="174" t="s">
        <v>32</v>
      </c>
      <c r="E64" s="176"/>
      <c r="F64" s="1991"/>
      <c r="G64" s="1991"/>
      <c r="H64" s="1993"/>
      <c r="I64" s="133"/>
      <c r="J64" s="3342"/>
      <c r="K64" s="1500" t="s">
        <v>2068</v>
      </c>
      <c r="L64" s="1500">
        <f ca="1">IF(M49&gt;2000,M49*0.5%,IF(AND(M49&gt;1000,M49&lt;=2000),M49*0.6%,IF(AND(M49&gt;500,M49&lt;=1000),M49*0.7%,IF(AND(M49&gt;200,M49&lt;=500),M49*0.8%,IF(AND(M49&gt;100,M49&lt;=200),M49*0.9%,IF(AND(M49&gt;50,M49&lt;=100),M49*1%,IF(AND(M49&gt;20,M49&lt;=50),M49*1.5%,IF(AND(M49&gt;10,M49&lt;=20),M49*2%,IF(AND(M49&gt;1,M49&lt;=10),M49*2.5%)))))))))</f>
        <v>261.77499999999998</v>
      </c>
      <c r="M64" s="307">
        <f t="shared" ref="M64:M65" ca="1" si="1">ROUND(L64,1)</f>
        <v>261.8</v>
      </c>
      <c r="N64" s="2760" t="s">
        <v>2069</v>
      </c>
      <c r="Z64" s="1935"/>
      <c r="AI64" s="1936"/>
    </row>
    <row r="65" spans="1:35" ht="14.25" customHeight="1">
      <c r="A65" s="173" t="s">
        <v>771</v>
      </c>
      <c r="B65" s="174" t="s">
        <v>2070</v>
      </c>
      <c r="C65" s="2782"/>
      <c r="D65" s="174"/>
      <c r="E65" s="176"/>
      <c r="F65" s="1991"/>
      <c r="G65" s="1991"/>
      <c r="H65" s="1993"/>
      <c r="I65" s="133"/>
      <c r="J65" s="3342"/>
      <c r="K65" s="1500" t="s">
        <v>2071</v>
      </c>
      <c r="L65" s="1500">
        <f ca="1">IF(M49&gt;1000,M49*0.1%,IF(AND(M49&gt;500,M49&lt;=1000),M49*0.5%,IF(AND(M49&gt;50,M49&lt;=500),M49*1%,IF(AND(M49&gt;1,M49&lt;=50),M49*1.5%))))</f>
        <v>52.355000000000004</v>
      </c>
      <c r="M65" s="307">
        <f t="shared" ca="1" si="1"/>
        <v>52.4</v>
      </c>
      <c r="N65" s="2760" t="s">
        <v>2069</v>
      </c>
      <c r="Z65" s="1935"/>
      <c r="AI65" s="1936"/>
    </row>
    <row r="66" spans="1:35" ht="14.25" customHeight="1">
      <c r="A66" s="177" t="s">
        <v>772</v>
      </c>
      <c r="B66" s="178" t="s">
        <v>2072</v>
      </c>
      <c r="C66" s="2783"/>
      <c r="D66" s="178" t="s">
        <v>32</v>
      </c>
      <c r="E66" s="1508" t="s">
        <v>1337</v>
      </c>
      <c r="F66" s="1991"/>
      <c r="G66" s="1991"/>
      <c r="H66" s="1993"/>
      <c r="I66" s="133"/>
      <c r="J66" s="3342"/>
      <c r="K66" s="1500" t="s">
        <v>2073</v>
      </c>
      <c r="L66" s="1500">
        <f ca="1">M49*0.5%</f>
        <v>261.77499999999998</v>
      </c>
      <c r="M66" s="307">
        <f ca="1">IF(L66&gt;0.5,0.5,ROUND(L66,0))</f>
        <v>0.5</v>
      </c>
      <c r="N66" s="2760" t="s">
        <v>2074</v>
      </c>
      <c r="Z66" s="1935"/>
      <c r="AI66" s="1936"/>
    </row>
    <row r="67" spans="1:35" ht="14.25" customHeight="1">
      <c r="A67" s="177" t="s">
        <v>773</v>
      </c>
      <c r="B67" s="178" t="s">
        <v>2075</v>
      </c>
      <c r="C67" s="2784">
        <f ca="1">C63-C66</f>
        <v>49862</v>
      </c>
      <c r="D67" s="174" t="s">
        <v>32</v>
      </c>
      <c r="E67" s="176"/>
      <c r="F67" s="1991"/>
      <c r="G67" s="1991"/>
      <c r="H67" s="1993"/>
      <c r="I67" s="133"/>
      <c r="J67" s="3342"/>
      <c r="K67" s="1500" t="s">
        <v>2076</v>
      </c>
      <c r="L67" s="1500">
        <f ca="1">IF(M49&gt;=10000,(8.25+(M49-10000)*0.01%),IF(AND(M49&gt;=8000,M49&lt;10000),(7.85+(M49-8000)*0.02%),IF(AND(M49&gt;=5000,M49&lt;8000),(6.65+(M49-5000)*0.04%),IF(AND(M49&gt;=2000,M49&lt;5000),(4.25+(PM49-2000)*0.08%),IF(AND(M49&gt;=1000,M49&lt;2000),(2.75+(M49-1000)*0.15%),IF(AND(M49&gt;=100,M49&lt;1000),(0.5+(M49-100)*0.25%),IF(AND(M49&gt;0,M49&lt;100),M49*0.5%)))))))</f>
        <v>12.4855</v>
      </c>
      <c r="M67" s="307">
        <f ca="1">ROUND(L67*0.9,1)</f>
        <v>11.2</v>
      </c>
      <c r="N67" s="2759"/>
      <c r="Z67" s="1935"/>
      <c r="AI67" s="1936"/>
    </row>
    <row r="68" spans="1:35" ht="14.25" customHeight="1" thickBot="1">
      <c r="A68" s="180" t="s">
        <v>774</v>
      </c>
      <c r="B68" s="181" t="s">
        <v>2077</v>
      </c>
      <c r="C68" s="2785">
        <f ca="1">IF(C67&lt;=0,0,ROUND(C67*D68,0))</f>
        <v>2792</v>
      </c>
      <c r="D68" s="2786">
        <f>'数据-取费表'!B41</f>
        <v>5.6000000000000001E-2</v>
      </c>
      <c r="E68" s="183"/>
      <c r="F68" s="1991"/>
      <c r="G68" s="1991"/>
      <c r="H68" s="1993"/>
      <c r="I68" s="133"/>
      <c r="J68" s="3342"/>
      <c r="K68" s="1500" t="s">
        <v>2078</v>
      </c>
      <c r="L68" s="1500">
        <f ca="1">IF(M49&gt;10000,M49*0.5%,IF(AND(M49&gt;5000,M49&lt;=10000),M49*1%,IF(AND(M49&gt;1000,M49&lt;=5000),M49*2%,IF(AND(M49&gt;200,M49&lt;=1000),M49*3%,M49*5%))))</f>
        <v>261.77499999999998</v>
      </c>
      <c r="M68" s="307">
        <f ca="1">ROUND(L68,1)</f>
        <v>261.8</v>
      </c>
      <c r="N68" s="2759"/>
      <c r="Z68" s="1935"/>
      <c r="AI68" s="1936"/>
    </row>
    <row r="69" spans="1:35" s="1955" customFormat="1" ht="16.5" customHeight="1">
      <c r="A69" s="1994"/>
      <c r="B69" s="1995"/>
      <c r="C69" s="1996"/>
      <c r="D69" s="1997"/>
      <c r="E69" s="1998"/>
      <c r="F69" s="1761"/>
      <c r="G69" s="1761"/>
      <c r="H69" s="1760"/>
      <c r="I69" s="1930"/>
      <c r="J69" s="3342"/>
      <c r="K69" s="1500" t="s">
        <v>2079</v>
      </c>
      <c r="L69" s="1500"/>
      <c r="M69" s="307">
        <f ca="1">ROUND(SUM(M63:M68),0)</f>
        <v>850</v>
      </c>
      <c r="N69" s="2761">
        <f ca="1">M69/M49</f>
        <v>1.6235316588673478E-2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301" t="s">
        <v>2080</v>
      </c>
      <c r="B70" s="3302"/>
      <c r="C70" s="3302"/>
      <c r="D70" s="3302"/>
      <c r="E70" s="3302"/>
      <c r="F70" s="3302"/>
      <c r="G70" s="3302"/>
      <c r="H70" s="3302"/>
      <c r="I70" s="1999"/>
      <c r="J70" s="2909"/>
      <c r="K70" s="2909"/>
      <c r="L70" s="2909"/>
      <c r="M70" s="2909"/>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80" t="s">
        <v>2061</v>
      </c>
      <c r="B71" s="3281"/>
      <c r="C71" s="2203"/>
      <c r="D71" s="2203" t="s">
        <v>2062</v>
      </c>
      <c r="E71" s="184" t="s">
        <v>2063</v>
      </c>
      <c r="F71" s="185"/>
      <c r="G71" s="185"/>
      <c r="H71" s="186"/>
      <c r="I71" s="2003"/>
      <c r="J71" s="2909"/>
      <c r="K71" s="2909"/>
      <c r="L71" s="2909"/>
      <c r="M71" s="2909"/>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2081</v>
      </c>
      <c r="C72" s="2784">
        <f ca="1">ROUND(D45/(1+'数据-取费表'!C42),0)</f>
        <v>49862</v>
      </c>
      <c r="D72" s="174" t="s">
        <v>32</v>
      </c>
      <c r="E72" s="2548"/>
      <c r="F72" s="2547"/>
      <c r="G72" s="2547"/>
      <c r="H72" s="187"/>
      <c r="I72" s="2003"/>
      <c r="J72" s="2909"/>
      <c r="K72" s="2909"/>
      <c r="L72" s="2909"/>
      <c r="M72" s="2909"/>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2082</v>
      </c>
      <c r="C73" s="2784">
        <f ca="1">C74+C78</f>
        <v>299</v>
      </c>
      <c r="D73" s="174" t="s">
        <v>32</v>
      </c>
      <c r="E73" s="2548"/>
      <c r="F73" s="2547"/>
      <c r="G73" s="2547"/>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48"/>
      <c r="F74" s="2547"/>
      <c r="G74" s="2547"/>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2084</v>
      </c>
      <c r="C75" s="2787"/>
      <c r="D75" s="174" t="s">
        <v>32</v>
      </c>
      <c r="E75" s="189" t="s">
        <v>2085</v>
      </c>
      <c r="F75" s="2788"/>
      <c r="G75" s="189" t="s">
        <v>2086</v>
      </c>
      <c r="H75" s="2789"/>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0">
        <v>0.05</v>
      </c>
      <c r="E76" s="3275" t="s">
        <v>2088</v>
      </c>
      <c r="F76" s="3249"/>
      <c r="G76" s="3249"/>
      <c r="H76" s="3300"/>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1">
        <f>'数据-取费表'!B48+'数据-取费表'!B49</f>
        <v>3.0499999999999999E-2</v>
      </c>
      <c r="E77" s="2541" t="s">
        <v>2090</v>
      </c>
      <c r="F77" s="191"/>
      <c r="G77" s="2005"/>
      <c r="H77" s="2549"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2">
        <f ca="1">ROUND(D45*D78/(1+'数据-取费表'!C42),0)</f>
        <v>299</v>
      </c>
      <c r="D78" s="2793">
        <f>'数据-取费表'!B43</f>
        <v>6.000000000000001E-3</v>
      </c>
      <c r="E78" s="3259" t="s">
        <v>2092</v>
      </c>
      <c r="F78" s="3260"/>
      <c r="G78" s="3260"/>
      <c r="H78" s="3269"/>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2093</v>
      </c>
      <c r="C79" s="2784">
        <f ca="1">C72-C73</f>
        <v>49563</v>
      </c>
      <c r="D79" s="174" t="s">
        <v>32</v>
      </c>
      <c r="E79" s="2548"/>
      <c r="F79" s="2547"/>
      <c r="G79" s="2547"/>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4">
        <f ca="1">IF(C79&lt;=0,0,C79/C73)</f>
        <v>165.76254180602007</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2095</v>
      </c>
      <c r="C81" s="2795">
        <f ca="1">ROUND(IF(C79&lt;=0,0,IF(C80&gt;=200%,C79*60%-C73*35%,IF(C80&gt;=100%,C79*50%-C73*15%,IF(C80&gt;=50%,C79*40%-C73*5%,IF(C80&lt;50%,C79*30%,0))))),0)</f>
        <v>29633</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01" t="s">
        <v>2096</v>
      </c>
      <c r="B83" s="3302"/>
      <c r="C83" s="3302"/>
      <c r="D83" s="3302"/>
      <c r="E83" s="3302"/>
      <c r="F83" s="3302"/>
      <c r="G83" s="3302"/>
      <c r="H83" s="3302"/>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80" t="s">
        <v>2061</v>
      </c>
      <c r="B84" s="3281"/>
      <c r="C84" s="2203"/>
      <c r="D84" s="2203"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2081</v>
      </c>
      <c r="C85" s="2784">
        <f ca="1">ROUND(D45/(1+'数据-取费表'!C42),0)</f>
        <v>49862</v>
      </c>
      <c r="D85" s="174" t="s">
        <v>32</v>
      </c>
      <c r="E85" s="2548"/>
      <c r="F85" s="2547"/>
      <c r="G85" s="2547"/>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2082</v>
      </c>
      <c r="C86" s="2784">
        <f ca="1">IF(H88="仅含出让金",C87+C90+C91+C92+C93+C94,C87+C91+C92+C93+C94)</f>
        <v>299</v>
      </c>
      <c r="D86" s="2797"/>
      <c r="E86" s="2548"/>
      <c r="F86" s="2547"/>
      <c r="G86" s="2547"/>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2097</v>
      </c>
      <c r="C87" s="2792">
        <f>C88+C89</f>
        <v>0</v>
      </c>
      <c r="D87" s="2793"/>
      <c r="E87" s="2543"/>
      <c r="F87" s="2544"/>
      <c r="G87" s="2544"/>
      <c r="H87" s="2545"/>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2098</v>
      </c>
      <c r="C88" s="2798"/>
      <c r="D88" s="2793"/>
      <c r="E88" s="198" t="s">
        <v>2099</v>
      </c>
      <c r="F88" s="2544"/>
      <c r="G88" s="199" t="s">
        <v>2100</v>
      </c>
      <c r="H88" s="2007"/>
      <c r="I88" s="2004"/>
      <c r="J88" s="2737"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2089</v>
      </c>
      <c r="C89" s="2792">
        <f>ROUND(C88*D89,0)</f>
        <v>0</v>
      </c>
      <c r="D89" s="2793">
        <f>'数据-取费表'!B48+'数据-取费表'!B49</f>
        <v>3.0499999999999999E-2</v>
      </c>
      <c r="E89" s="198" t="s">
        <v>2101</v>
      </c>
      <c r="F89" s="2544"/>
      <c r="G89" s="2544"/>
      <c r="H89" s="2545"/>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2102</v>
      </c>
      <c r="C90" s="2798"/>
      <c r="D90" s="2793"/>
      <c r="E90" s="198" t="str">
        <f>IF(H88="-","土地取得成本中已包含该笔费用"," ")</f>
        <v xml:space="preserve"> </v>
      </c>
      <c r="F90" s="2544"/>
      <c r="G90" s="3344" t="s">
        <v>2868</v>
      </c>
      <c r="H90" s="3345"/>
      <c r="I90" s="2004"/>
      <c r="J90" s="2737"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2">
        <f>IF(H91="——",成本法!C33,I91)</f>
        <v>0</v>
      </c>
      <c r="D91" s="2793"/>
      <c r="E91" s="3259" t="s">
        <v>2105</v>
      </c>
      <c r="F91" s="3260"/>
      <c r="G91" s="326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2">
        <f>ROUND((C87+C90+C91)*D92,0)</f>
        <v>0</v>
      </c>
      <c r="D92" s="2799"/>
      <c r="E92" s="3259" t="s">
        <v>2108</v>
      </c>
      <c r="F92" s="3260"/>
      <c r="G92" s="3260"/>
      <c r="H92" s="3269"/>
      <c r="I92" s="2004"/>
      <c r="J92" s="2738"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2">
        <f ca="1">ROUND(D45*D93/(1+'数据-取费表'!C42),0)</f>
        <v>299</v>
      </c>
      <c r="D93" s="2793">
        <f>'数据-取费表'!B43</f>
        <v>6.000000000000001E-3</v>
      </c>
      <c r="E93" s="3259" t="s">
        <v>2092</v>
      </c>
      <c r="F93" s="3260"/>
      <c r="G93" s="3260"/>
      <c r="H93" s="3269"/>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798">
        <f>ROUND((C87+C90+C91)*D94,0)</f>
        <v>0</v>
      </c>
      <c r="D94" s="2793">
        <v>0.2</v>
      </c>
      <c r="E94" s="3270" t="s">
        <v>2112</v>
      </c>
      <c r="F94" s="3271"/>
      <c r="G94" s="3271"/>
      <c r="H94" s="3272"/>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2093</v>
      </c>
      <c r="C95" s="2784">
        <f ca="1">ROUND(C85-C86,0)</f>
        <v>49563</v>
      </c>
      <c r="D95" s="174" t="s">
        <v>32</v>
      </c>
      <c r="E95" s="2548"/>
      <c r="F95" s="2547"/>
      <c r="G95" s="2547"/>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4">
        <f ca="1">IF(C95&lt;=0,0,C95/C86)</f>
        <v>165.76254180602007</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2095</v>
      </c>
      <c r="C97" s="2795">
        <f ca="1">ROUND(IF(C95&lt;=0,0,IF(C96&gt;=200%,C95*60%-C86*35%,IF(C96&gt;=100%,C95*50%-C86*15%,IF(C96&gt;=50%,C95*40%-C86*5%,IF(C96&lt;50%,C95*30%,0))))),0)</f>
        <v>29633</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2113</v>
      </c>
      <c r="B99" s="1930"/>
      <c r="C99" s="1930"/>
      <c r="D99" s="1930"/>
      <c r="E99" s="1761"/>
      <c r="F99" s="1761"/>
      <c r="G99" s="1761"/>
      <c r="H99" s="1760"/>
      <c r="I99" s="133"/>
    </row>
    <row r="100" spans="1:35" ht="18.75" customHeight="1">
      <c r="A100" s="3243" t="s">
        <v>2114</v>
      </c>
      <c r="B100" s="3244"/>
      <c r="C100" s="3244"/>
      <c r="D100" s="3261"/>
      <c r="E100" s="3244" t="s">
        <v>2115</v>
      </c>
      <c r="F100" s="3244"/>
      <c r="G100" s="3244"/>
      <c r="H100" s="3261"/>
      <c r="I100" s="133"/>
    </row>
    <row r="101" spans="1:35" ht="18.75" customHeight="1">
      <c r="A101" s="3325" t="s">
        <v>2116</v>
      </c>
      <c r="B101" s="3326"/>
      <c r="C101" s="2801" t="str">
        <f>C4</f>
        <v>假设开发法</v>
      </c>
      <c r="D101" s="2802" t="str">
        <f>D4</f>
        <v>成本法</v>
      </c>
      <c r="E101" s="3339" t="s">
        <v>2117</v>
      </c>
      <c r="F101" s="3293"/>
      <c r="G101" s="2010" t="s">
        <v>2118</v>
      </c>
      <c r="H101" s="2811">
        <f ca="1">H118</f>
        <v>52355</v>
      </c>
      <c r="I101" s="133"/>
    </row>
    <row r="102" spans="1:35" ht="18.75" customHeight="1">
      <c r="A102" s="3295" t="s">
        <v>2119</v>
      </c>
      <c r="B102" s="2800" t="s">
        <v>2118</v>
      </c>
      <c r="C102" s="2801">
        <f ca="1">C19</f>
        <v>48201</v>
      </c>
      <c r="D102" s="2802">
        <f ca="1">D19</f>
        <v>62047</v>
      </c>
      <c r="E102" s="3339"/>
      <c r="F102" s="3293"/>
      <c r="G102" s="2010" t="s">
        <v>2120</v>
      </c>
      <c r="H102" s="2771">
        <f ca="1">I118</f>
        <v>9561</v>
      </c>
      <c r="I102" s="133"/>
    </row>
    <row r="103" spans="1:35" ht="42.75" customHeight="1">
      <c r="A103" s="3295"/>
      <c r="B103" s="2800" t="s">
        <v>2120</v>
      </c>
      <c r="C103" s="2803">
        <f ca="1">C20</f>
        <v>8802</v>
      </c>
      <c r="D103" s="2804">
        <f ca="1">D20</f>
        <v>11330</v>
      </c>
      <c r="E103" s="3333" t="s">
        <v>2121</v>
      </c>
      <c r="F103" s="3334"/>
      <c r="G103" s="2011" t="s">
        <v>2122</v>
      </c>
      <c r="H103" s="2811">
        <f>IF(D36="正常操作",H104+H105+H106,H105+H106)</f>
        <v>0</v>
      </c>
      <c r="I103" s="133"/>
    </row>
    <row r="104" spans="1:35" ht="18.75" customHeight="1">
      <c r="A104" s="3295" t="s">
        <v>2123</v>
      </c>
      <c r="B104" s="2805" t="s">
        <v>2118</v>
      </c>
      <c r="C104" s="2806">
        <f ca="1">H118</f>
        <v>52355</v>
      </c>
      <c r="D104" s="2807"/>
      <c r="E104" s="1857" t="s">
        <v>2124</v>
      </c>
      <c r="F104" s="1849"/>
      <c r="G104" s="2011" t="s">
        <v>2122</v>
      </c>
      <c r="H104" s="2812">
        <f>IF(D36="同一抵押权人同一抵押物续贷",C36&amp;"（续贷，未扣减，详见特别提示）",C36)</f>
        <v>0</v>
      </c>
      <c r="I104" s="133"/>
    </row>
    <row r="105" spans="1:35" ht="18.75" customHeight="1" thickBot="1">
      <c r="A105" s="3296"/>
      <c r="B105" s="2808" t="s">
        <v>2120</v>
      </c>
      <c r="C105" s="2809">
        <f ca="1">I118</f>
        <v>9561</v>
      </c>
      <c r="D105" s="2810"/>
      <c r="E105" s="1857" t="s">
        <v>2125</v>
      </c>
      <c r="F105" s="1849"/>
      <c r="G105" s="2011" t="s">
        <v>2122</v>
      </c>
      <c r="H105" s="2813">
        <f>C37</f>
        <v>0</v>
      </c>
      <c r="I105" s="133"/>
    </row>
    <row r="106" spans="1:35" ht="18.75" customHeight="1">
      <c r="A106" s="1930" t="s">
        <v>2126</v>
      </c>
      <c r="B106" s="1930"/>
      <c r="C106" s="1930"/>
      <c r="D106" s="1930"/>
      <c r="E106" s="2012" t="s">
        <v>2127</v>
      </c>
      <c r="F106" s="1849"/>
      <c r="G106" s="2011" t="s">
        <v>2122</v>
      </c>
      <c r="H106" s="2813">
        <f>C38</f>
        <v>0</v>
      </c>
      <c r="I106" s="133"/>
    </row>
    <row r="107" spans="1:35" ht="18.75" customHeight="1">
      <c r="A107" s="133"/>
      <c r="B107" s="133"/>
      <c r="C107" s="133"/>
      <c r="D107" s="133"/>
      <c r="E107" s="3292" t="str">
        <f>IF(项目基本情况!E8="已注销","——","3.房地产抵押价值")</f>
        <v>3.房地产抵押价值</v>
      </c>
      <c r="F107" s="3293"/>
      <c r="G107" s="2010" t="s">
        <v>2118</v>
      </c>
      <c r="H107" s="2811">
        <f ca="1">IF(E107="——","——",H101-H103)</f>
        <v>52355</v>
      </c>
      <c r="I107" s="133"/>
    </row>
    <row r="108" spans="1:35" ht="18.75" customHeight="1">
      <c r="A108" s="133"/>
      <c r="B108" s="133"/>
      <c r="C108" s="133"/>
      <c r="D108" s="133"/>
      <c r="E108" s="3292"/>
      <c r="F108" s="3293"/>
      <c r="G108" s="2010" t="s">
        <v>2120</v>
      </c>
      <c r="H108" s="2771">
        <f ca="1">ROUND(H107*10000/'数据-汇总表'!E3,0)</f>
        <v>9561</v>
      </c>
      <c r="I108" s="133"/>
    </row>
    <row r="109" spans="1:35" ht="18.75" customHeight="1">
      <c r="A109" s="133"/>
      <c r="B109" s="133"/>
      <c r="C109" s="133"/>
      <c r="D109" s="133"/>
      <c r="E109" s="3292" t="str">
        <f>IF(项目基本情况!E8="已注销及未注销","4.抵押担保权已注销时的房地产抵押价值",IF(项目基本情况!E8="已注销","3.抵押担保权已注销时的房地产抵押价值","——"))</f>
        <v>——</v>
      </c>
      <c r="F109" s="3293"/>
      <c r="G109" s="2010" t="s">
        <v>2118</v>
      </c>
      <c r="H109" s="2814" t="str">
        <f>IF(E109="——","——",H101-H105-H106)</f>
        <v>——</v>
      </c>
      <c r="I109" s="133"/>
    </row>
    <row r="110" spans="1:35" ht="18.75" customHeight="1">
      <c r="A110" s="133"/>
      <c r="B110" s="133"/>
      <c r="C110" s="133"/>
      <c r="D110" s="133"/>
      <c r="E110" s="3292"/>
      <c r="F110" s="3293"/>
      <c r="G110" s="2010" t="s">
        <v>2120</v>
      </c>
      <c r="H110" s="2771" t="str">
        <f>IF(H109="——","——",ROUND(H109*10000/'数据-汇总表'!E3,0))</f>
        <v>——</v>
      </c>
      <c r="I110" s="133"/>
    </row>
    <row r="111" spans="1:35" ht="18.75" customHeight="1">
      <c r="A111" s="133"/>
      <c r="B111" s="133"/>
      <c r="C111" s="133"/>
      <c r="D111" s="133"/>
      <c r="E111" s="3327" t="str">
        <f>IF(项目基本情况!E9="抵押净值",IF(OR(项目基本情况!E8="已注销",项目基本情况!E8="房地产抵押价值"),"4.抵押净值","5.抵押净值"),"——")</f>
        <v>——</v>
      </c>
      <c r="F111" s="3294"/>
      <c r="G111" s="2010" t="s">
        <v>2118</v>
      </c>
      <c r="H111" s="2811" t="str">
        <f>IF(E111="——","——",N59)</f>
        <v>——</v>
      </c>
      <c r="I111" s="133"/>
    </row>
    <row r="112" spans="1:35" ht="18.75" customHeight="1" thickBot="1">
      <c r="A112" s="133"/>
      <c r="B112" s="133"/>
      <c r="C112" s="133"/>
      <c r="D112" s="133"/>
      <c r="E112" s="3328"/>
      <c r="F112" s="3329"/>
      <c r="G112" s="2013" t="s">
        <v>2120</v>
      </c>
      <c r="H112" s="2815" t="str">
        <f>IF(E111="——","——",N61)</f>
        <v>——</v>
      </c>
      <c r="I112" s="133"/>
    </row>
    <row r="113" spans="1:27" ht="18.75" customHeight="1">
      <c r="A113" s="133"/>
      <c r="B113" s="133"/>
      <c r="C113" s="133"/>
      <c r="D113" s="133"/>
      <c r="E113" s="3297" t="s">
        <v>2126</v>
      </c>
      <c r="F113" s="3297"/>
      <c r="G113" s="3297"/>
      <c r="H113" s="3297"/>
      <c r="I113" s="133"/>
    </row>
    <row r="114" spans="1:27" ht="3.75" customHeight="1">
      <c r="A114" s="1930"/>
      <c r="B114" s="1930"/>
      <c r="C114" s="1930"/>
      <c r="D114" s="1930"/>
      <c r="E114" s="1992"/>
      <c r="F114" s="1992"/>
      <c r="G114" s="1992"/>
      <c r="H114" s="1992"/>
      <c r="I114" s="1930"/>
    </row>
    <row r="115" spans="1:27" ht="18.75" customHeight="1">
      <c r="A115" s="3310" t="s">
        <v>2128</v>
      </c>
      <c r="B115" s="3311"/>
      <c r="C115" s="3311"/>
      <c r="D115" s="3311"/>
      <c r="E115" s="3311"/>
      <c r="F115" s="3311"/>
      <c r="G115" s="3311"/>
      <c r="H115" s="3311"/>
      <c r="I115" s="3312"/>
    </row>
    <row r="116" spans="1:27" ht="27" customHeight="1">
      <c r="A116" s="3263" t="s">
        <v>2129</v>
      </c>
      <c r="B116" s="3298" t="s">
        <v>2130</v>
      </c>
      <c r="C116" s="3298" t="s">
        <v>2131</v>
      </c>
      <c r="D116" s="3314" t="s">
        <v>2132</v>
      </c>
      <c r="E116" s="3315"/>
      <c r="F116" s="3306" t="s">
        <v>2133</v>
      </c>
      <c r="G116" s="3306"/>
      <c r="H116" s="3263" t="s">
        <v>2134</v>
      </c>
      <c r="I116" s="3263"/>
    </row>
    <row r="117" spans="1:27" ht="18.75" customHeight="1">
      <c r="A117" s="3263"/>
      <c r="B117" s="3299"/>
      <c r="C117" s="3299"/>
      <c r="D117" s="2546" t="s">
        <v>2135</v>
      </c>
      <c r="E117" s="2546" t="s">
        <v>2136</v>
      </c>
      <c r="F117" s="2546" t="s">
        <v>2135</v>
      </c>
      <c r="G117" s="2546" t="s">
        <v>2137</v>
      </c>
      <c r="H117" s="2546" t="s">
        <v>2135</v>
      </c>
      <c r="I117" s="2546" t="s">
        <v>2137</v>
      </c>
    </row>
    <row r="118" spans="1:27" ht="24.75" customHeight="1">
      <c r="A118" s="2816" t="str">
        <f>项目基本情况!S2</f>
        <v>天津海河教育园区瑞明路与雅馨路交口西南侧房地产</v>
      </c>
      <c r="B118" s="2546">
        <f>M18</f>
        <v>54761.34</v>
      </c>
      <c r="C118" s="2546">
        <f>M19</f>
        <v>30643.66</v>
      </c>
      <c r="D118" s="2546">
        <f ca="1">ROUND(IF(D32="总价",C34,E118*B118/10000),0)</f>
        <v>46125</v>
      </c>
      <c r="E118" s="2546">
        <f ca="1">ROUND(IF(C33="自定义",IF(D32="楼面单价",C34,D118*10000/B118),I118-G118),0)</f>
        <v>8423</v>
      </c>
      <c r="F118" s="2546">
        <f ca="1">ROUND(IF(D32="总价",C35,G118*B118/10000),0)</f>
        <v>6230</v>
      </c>
      <c r="G118" s="2546">
        <f ca="1">ROUND(IF(D32="楼面单价",C35,F118*10000/B118),0)</f>
        <v>1138</v>
      </c>
      <c r="H118" s="2546">
        <f ca="1">ROUND(IF(D32="总价",C32,I118*B118/10000),0)</f>
        <v>52355</v>
      </c>
      <c r="I118" s="2546">
        <f ca="1">ROUND(IF(D32="楼面单价",C32,H118*10000/B118),0)</f>
        <v>9561</v>
      </c>
    </row>
    <row r="119" spans="1:27" ht="18.75" customHeight="1">
      <c r="A119" s="3263" t="s">
        <v>2138</v>
      </c>
      <c r="B119" s="3263"/>
      <c r="C119" s="3263"/>
      <c r="D119" s="3303" t="str">
        <f ca="1">NUMBERSTRING(INT(D118*10000),2)&amp;"元整"</f>
        <v>肆亿陆仟壹佰贰拾伍万元整</v>
      </c>
      <c r="E119" s="3305"/>
      <c r="F119" s="3303" t="str">
        <f ca="1">NUMBERSTRING(INT(F118*10000),2)&amp;"元整"</f>
        <v>陆仟贰佰叁拾万元整</v>
      </c>
      <c r="G119" s="3305"/>
      <c r="H119" s="3303" t="str">
        <f ca="1">NUMBERSTRING(INT(H118*10000),2)&amp;"元整"</f>
        <v>伍亿贰仟叁佰伍拾伍万元整</v>
      </c>
      <c r="I119" s="3305"/>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07" t="s">
        <v>2138</v>
      </c>
      <c r="B121" s="3308"/>
      <c r="C121" s="3309"/>
      <c r="D121" s="3303" t="str">
        <f>IF(D120=0,"零元整",NUMBERSTRING(INT(D120*10000),2)&amp;"元整")</f>
        <v>零元整</v>
      </c>
      <c r="E121" s="3304"/>
      <c r="F121" s="3304"/>
      <c r="G121" s="3304"/>
      <c r="H121" s="3304"/>
      <c r="I121" s="3305"/>
      <c r="AA121" s="733"/>
    </row>
    <row r="122" spans="1:27" ht="18.75" customHeight="1">
      <c r="A122" s="3294" t="str">
        <f>IF(项目基本情况!B9="房地产市场价值","",MID(E107,3,LEN(E107)-2))</f>
        <v>房地产抵押价值</v>
      </c>
      <c r="B122" s="3294"/>
      <c r="C122" s="3294"/>
      <c r="D122" s="3330">
        <f ca="1">H107</f>
        <v>52355</v>
      </c>
      <c r="E122" s="3331"/>
      <c r="F122" s="3331"/>
      <c r="G122" s="3331"/>
      <c r="H122" s="3331"/>
      <c r="I122" s="3332"/>
      <c r="AA122" s="733"/>
    </row>
    <row r="123" spans="1:27" ht="18.75" customHeight="1">
      <c r="A123" s="3263" t="s">
        <v>2138</v>
      </c>
      <c r="B123" s="3263"/>
      <c r="C123" s="3263"/>
      <c r="D123" s="3303" t="str">
        <f ca="1">NUMBERSTRING(INT(D122*10000),2)&amp;"元整"</f>
        <v>伍亿贰仟叁佰伍拾伍万元整</v>
      </c>
      <c r="E123" s="3304"/>
      <c r="F123" s="3304"/>
      <c r="G123" s="3304"/>
      <c r="H123" s="3304"/>
      <c r="I123" s="3305"/>
      <c r="AA123" s="733"/>
    </row>
    <row r="124" spans="1:27" ht="18.75" customHeight="1">
      <c r="A124" s="3294" t="str">
        <f>IF(项目基本情况!B9="房地产市场价值","",MID(E109,3,LEN(E109)-2))</f>
        <v/>
      </c>
      <c r="B124" s="3294"/>
      <c r="C124" s="3294"/>
      <c r="D124" s="3330" t="str">
        <f>H109</f>
        <v>——</v>
      </c>
      <c r="E124" s="3331"/>
      <c r="F124" s="3331"/>
      <c r="G124" s="3331"/>
      <c r="H124" s="3331"/>
      <c r="I124" s="3332"/>
      <c r="AA124" s="733"/>
    </row>
    <row r="125" spans="1:27" ht="18.75" customHeight="1">
      <c r="A125" s="3263" t="s">
        <v>2138</v>
      </c>
      <c r="B125" s="3263"/>
      <c r="C125" s="3263"/>
      <c r="D125" s="3303" t="e">
        <f>NUMBERSTRING(INT(D124*10000),2)&amp;"元整"</f>
        <v>#VALUE!</v>
      </c>
      <c r="E125" s="3304"/>
      <c r="F125" s="3304"/>
      <c r="G125" s="3304"/>
      <c r="H125" s="3304"/>
      <c r="I125" s="3305"/>
      <c r="AA125" s="733"/>
    </row>
    <row r="126" spans="1:27" ht="18.75" customHeight="1">
      <c r="A126" s="3294" t="str">
        <f>IF(项目基本情况!B9="房地产市场价值","",MID(E111,3,LEN(E111)-2))</f>
        <v/>
      </c>
      <c r="B126" s="3294"/>
      <c r="C126" s="3294"/>
      <c r="D126" s="3330" t="str">
        <f>H111</f>
        <v>——</v>
      </c>
      <c r="E126" s="3331"/>
      <c r="F126" s="3331"/>
      <c r="G126" s="3331"/>
      <c r="H126" s="3331"/>
      <c r="I126" s="3332"/>
      <c r="AA126" s="733"/>
    </row>
    <row r="127" spans="1:27" ht="18.75" customHeight="1">
      <c r="A127" s="3263" t="s">
        <v>2138</v>
      </c>
      <c r="B127" s="3263"/>
      <c r="C127" s="3263"/>
      <c r="D127" s="3303" t="e">
        <f>NUMBERSTRING(INT(D126*10000),2)&amp;"元整"</f>
        <v>#VALUE!</v>
      </c>
      <c r="E127" s="3304"/>
      <c r="F127" s="3304"/>
      <c r="G127" s="3304"/>
      <c r="H127" s="3304"/>
      <c r="I127" s="3305"/>
      <c r="AA127" s="733"/>
    </row>
    <row r="128" spans="1:27" ht="21.75" customHeight="1">
      <c r="A128" s="3313" t="s">
        <v>2139</v>
      </c>
      <c r="B128" s="3313"/>
      <c r="C128" s="3313"/>
      <c r="D128" s="3313"/>
      <c r="E128" s="3313"/>
      <c r="F128" s="3313"/>
      <c r="G128" s="3313"/>
      <c r="H128" s="3313"/>
      <c r="I128" s="3313"/>
      <c r="AA128" s="733"/>
    </row>
    <row r="129" spans="1:35" ht="21.75" customHeight="1">
      <c r="A129" s="2014" t="s">
        <v>2140</v>
      </c>
      <c r="B129" s="2015"/>
      <c r="C129" s="2016" t="s">
        <v>2141</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2142</v>
      </c>
      <c r="G135" s="2031"/>
      <c r="H135" s="2031"/>
      <c r="I135" s="2032" t="s">
        <v>2143</v>
      </c>
    </row>
    <row r="136" spans="1:35" ht="21.75" customHeight="1">
      <c r="A136" s="733"/>
      <c r="B136" s="2033"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2145</v>
      </c>
    </row>
    <row r="139" spans="1:35" ht="21.75" customHeight="1">
      <c r="A139" s="733"/>
      <c r="B139" s="2033" t="s">
        <v>2146</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2145</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2" t="s">
        <v>2249</v>
      </c>
      <c r="D1" s="203"/>
      <c r="E1" s="203"/>
      <c r="F1" s="203"/>
      <c r="G1" s="1286">
        <f>MATCH(B1,'数据-取费表'!A6:A16,0)+5</f>
        <v>9</v>
      </c>
      <c r="H1" s="1190" t="str">
        <f>IF(ISERROR(FIND("住宅",B1)),"非住宅","住宅")</f>
        <v>非住宅</v>
      </c>
    </row>
    <row r="2" spans="1:8" s="205" customFormat="1" ht="18" customHeight="1">
      <c r="A2" s="206" t="s">
        <v>2148</v>
      </c>
      <c r="B2" s="207">
        <f ca="1">ROUND(IF(D2="——",C52/10000,C52/10000-E2),0)</f>
        <v>21927</v>
      </c>
      <c r="C2" s="204" t="s">
        <v>2149</v>
      </c>
      <c r="D2" s="2036" t="s">
        <v>70</v>
      </c>
      <c r="E2" s="1329"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4004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0</v>
      </c>
      <c r="D8" s="227"/>
      <c r="E8" s="225"/>
      <c r="F8" s="226"/>
      <c r="G8" s="2039"/>
    </row>
    <row r="9" spans="1:8" s="219" customFormat="1" ht="13.5" customHeight="1">
      <c r="A9" s="885" t="s">
        <v>800</v>
      </c>
      <c r="B9" s="229" t="s">
        <v>2164</v>
      </c>
      <c r="C9" s="230">
        <f ca="1">ROUND(D9*E9,0)</f>
        <v>0</v>
      </c>
      <c r="D9" s="952">
        <f ca="1">IF(B1="",'数据-汇总表'!E5,IF(INDIRECT("'数据-取费表'!c"&amp;$G$1)="住宅",INDIRECT("'数据-取费表'!k"&amp;$G$1),0))</f>
        <v>54761.34</v>
      </c>
      <c r="E9" s="230">
        <f>'数据-取费表'!B27</f>
        <v>0</v>
      </c>
      <c r="F9" s="226"/>
      <c r="G9" s="231"/>
    </row>
    <row r="10" spans="1:8" s="219" customFormat="1" ht="13.5" customHeight="1">
      <c r="A10" s="885" t="s">
        <v>801</v>
      </c>
      <c r="B10" s="229" t="s">
        <v>2166</v>
      </c>
      <c r="C10" s="230">
        <f ca="1">ROUND(D10*E10,0)</f>
        <v>0</v>
      </c>
      <c r="D10" s="952">
        <f ca="1">IF(B1="",'数据-汇总表'!E6,IF(INDIRECT("'数据-取费表'!c"&amp;$G$1)="住宅",INDIRECT("'数据-取费表'!s"&amp;$G$1),INDIRECT("'数据-取费表'!k"&amp;$G$1)+INDIRECT("'数据-取费表'!s"&amp;$G$1)))</f>
        <v>0</v>
      </c>
      <c r="E10" s="230">
        <f>'数据-取费表'!B28</f>
        <v>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10952268</v>
      </c>
      <c r="D19" s="956">
        <f ca="1">D9+D10</f>
        <v>54761.34</v>
      </c>
      <c r="E19" s="216">
        <f>'数据-取费表'!B31</f>
        <v>200</v>
      </c>
      <c r="F19" s="236"/>
      <c r="G19" s="2039"/>
    </row>
    <row r="20" spans="1:7" s="219" customFormat="1" ht="13.5" customHeight="1">
      <c r="A20" s="260" t="s">
        <v>2260</v>
      </c>
      <c r="B20" s="215" t="s">
        <v>2261</v>
      </c>
      <c r="C20" s="237">
        <f ca="1">ROUND((C5+C19)*F20,0)</f>
        <v>328568</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7">
        <f ca="1">ROUND(SUM(C23:C25),0)</f>
        <v>872209</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0</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859559</v>
      </c>
      <c r="D24" s="243"/>
      <c r="E24" s="243"/>
      <c r="F24" s="244"/>
      <c r="G24" s="245" t="s">
        <v>2272</v>
      </c>
    </row>
    <row r="25" spans="1:7" s="219" customFormat="1" ht="24">
      <c r="A25" s="886" t="s">
        <v>2162</v>
      </c>
      <c r="B25" s="220" t="s">
        <v>2273</v>
      </c>
      <c r="C25" s="1288">
        <f ca="1">ROUND(IF('数据-取费表'!B22&lt;=1,C20*F22*'数据-取费表'!B22/2,C20*(POWER((1+F22),'数据-取费表'!B22/2)-1)),0)</f>
        <v>12650</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1015275</v>
      </c>
      <c r="D27" s="240">
        <f ca="1">C29</f>
        <v>2.7000000000000001E-3</v>
      </c>
      <c r="E27" s="241" t="s">
        <v>2200</v>
      </c>
      <c r="F27" s="251">
        <f ca="1">IF(B1="",'数据-取费表'!Q16,INDIRECT("'数据-取费表'!q"&amp;$G$1))</f>
        <v>0.09</v>
      </c>
      <c r="G27" s="252" t="s">
        <v>2201</v>
      </c>
    </row>
    <row r="28" spans="1:7" s="219" customFormat="1" ht="13.5" customHeight="1">
      <c r="A28" s="886" t="s">
        <v>791</v>
      </c>
      <c r="B28" s="253" t="s">
        <v>2202</v>
      </c>
      <c r="C28" s="254">
        <f ca="1">ROUND((C5+C19+C20)*F27,0)</f>
        <v>1015275</v>
      </c>
      <c r="D28" s="240"/>
      <c r="E28" s="241"/>
      <c r="F28" s="251"/>
      <c r="G28" s="252"/>
    </row>
    <row r="29" spans="1:7" s="219" customFormat="1" ht="13.5" customHeight="1">
      <c r="A29" s="886" t="s">
        <v>792</v>
      </c>
      <c r="B29" s="253" t="s">
        <v>2203</v>
      </c>
      <c r="C29" s="243">
        <f ca="1">ROUND(C21*F27,4)</f>
        <v>2.7000000000000001E-3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14426293</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160861437</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136903350</v>
      </c>
      <c r="D34" s="222"/>
      <c r="E34" s="225"/>
      <c r="F34" s="262"/>
      <c r="G34" s="224"/>
    </row>
    <row r="35" spans="1:7" ht="13.5" customHeight="1">
      <c r="A35" s="886" t="s">
        <v>796</v>
      </c>
      <c r="B35" s="220" t="s">
        <v>2213</v>
      </c>
      <c r="C35" s="225">
        <f ca="1">ROUND(C34*F35,0)</f>
        <v>4107101</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6845168</v>
      </c>
      <c r="D36" s="225"/>
      <c r="E36" s="225"/>
      <c r="F36" s="264">
        <f>'数据-取费表'!B34</f>
        <v>0.05</v>
      </c>
      <c r="G36" s="265" t="s">
        <v>2216</v>
      </c>
    </row>
    <row r="37" spans="1:7" s="263" customFormat="1" ht="13.5" customHeight="1">
      <c r="A37" s="886" t="s">
        <v>798</v>
      </c>
      <c r="B37" s="220" t="s">
        <v>2217</v>
      </c>
      <c r="C37" s="254">
        <f ca="1">ROUND(E37*D37,0)</f>
        <v>10952268</v>
      </c>
      <c r="D37" s="222">
        <f ca="1">D19</f>
        <v>54761.34</v>
      </c>
      <c r="E37" s="254">
        <f>'数据-取费表'!B35</f>
        <v>200</v>
      </c>
      <c r="F37" s="264"/>
      <c r="G37" s="266"/>
    </row>
    <row r="38" spans="1:7" ht="13.5" customHeight="1">
      <c r="A38" s="886" t="s">
        <v>799</v>
      </c>
      <c r="B38" s="220" t="s">
        <v>2219</v>
      </c>
      <c r="C38" s="225">
        <f ca="1">ROUND(C34*F38,0)</f>
        <v>2053550</v>
      </c>
      <c r="D38" s="225"/>
      <c r="E38" s="225"/>
      <c r="F38" s="264">
        <f>'数据-取费表'!B36</f>
        <v>1.4999999999999999E-2</v>
      </c>
      <c r="G38" s="224" t="s">
        <v>2214</v>
      </c>
    </row>
    <row r="39" spans="1:7" s="219" customFormat="1" ht="13.5" customHeight="1">
      <c r="A39" s="260" t="s">
        <v>2220</v>
      </c>
      <c r="B39" s="215" t="s">
        <v>2221</v>
      </c>
      <c r="C39" s="237">
        <f ca="1">ROUND(C33*F20,0)</f>
        <v>4825843</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6378960</v>
      </c>
      <c r="D41" s="240">
        <f ca="1">C44</f>
        <v>1.1999999999999999E-3</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6193165</v>
      </c>
      <c r="D42" s="243"/>
      <c r="E42" s="243"/>
      <c r="F42" s="244"/>
      <c r="G42" s="3346" t="s">
        <v>2277</v>
      </c>
    </row>
    <row r="43" spans="1:7" ht="13.5" customHeight="1">
      <c r="A43" s="886" t="s">
        <v>792</v>
      </c>
      <c r="B43" s="220" t="s">
        <v>2231</v>
      </c>
      <c r="C43" s="243">
        <f ca="1">ROUND(IF('数据-取费表'!B22&lt;=1,C39*F22*'数据-取费表'!B20/2,C39*(POWER((1+F22),'数据-取费表'!B20/2)-1)),0)</f>
        <v>185795</v>
      </c>
      <c r="D43" s="243"/>
      <c r="E43" s="243"/>
      <c r="F43" s="244"/>
      <c r="G43" s="3347"/>
    </row>
    <row r="44" spans="1:7" ht="13.5" customHeight="1">
      <c r="A44" s="886" t="s">
        <v>793</v>
      </c>
      <c r="B44" s="220" t="s">
        <v>2232</v>
      </c>
      <c r="C44" s="243">
        <f ca="1">ROUND(IF('数据-取费表'!B22&lt;=1,C40*F22*'数据-取费表'!B20/2,C40*(POWER((1+F22),'数据-取费表'!B20/2)-1)),4)</f>
        <v>1.1999999999999999E-3</v>
      </c>
      <c r="D44" s="243"/>
      <c r="E44" s="243"/>
      <c r="F44" s="244"/>
      <c r="G44" s="3348"/>
    </row>
    <row r="45" spans="1:7" s="219" customFormat="1" ht="13.5" customHeight="1">
      <c r="A45" s="260" t="s">
        <v>2233</v>
      </c>
      <c r="B45" s="249" t="s">
        <v>2199</v>
      </c>
      <c r="C45" s="250">
        <f ca="1">C46</f>
        <v>14911855</v>
      </c>
      <c r="D45" s="240">
        <f ca="1">C47</f>
        <v>2.7000000000000001E-3</v>
      </c>
      <c r="E45" s="241" t="s">
        <v>2225</v>
      </c>
      <c r="F45" s="2531">
        <f ca="1">F27</f>
        <v>0.09</v>
      </c>
      <c r="G45" s="252" t="s">
        <v>2234</v>
      </c>
    </row>
    <row r="46" spans="1:7" s="219" customFormat="1" ht="13.5" customHeight="1">
      <c r="A46" s="886" t="s">
        <v>791</v>
      </c>
      <c r="B46" s="253" t="s">
        <v>2235</v>
      </c>
      <c r="C46" s="254">
        <f ca="1">ROUND((C33+C39)*F27,0)</f>
        <v>14911855</v>
      </c>
      <c r="D46" s="268"/>
      <c r="E46" s="241"/>
      <c r="F46" s="251"/>
      <c r="G46" s="252"/>
    </row>
    <row r="47" spans="1:7" s="219" customFormat="1" ht="13.5" customHeight="1">
      <c r="A47" s="886" t="s">
        <v>792</v>
      </c>
      <c r="B47" s="253" t="s">
        <v>2236</v>
      </c>
      <c r="C47" s="243">
        <f ca="1">ROUND(C40*F27,4)</f>
        <v>2.7000000000000001E-3</v>
      </c>
      <c r="D47" s="268"/>
      <c r="E47" s="241"/>
      <c r="F47" s="251"/>
      <c r="G47" s="252"/>
    </row>
    <row r="48" spans="1:7" s="219" customFormat="1" ht="13.5" customHeight="1">
      <c r="A48" s="260" t="s">
        <v>2198</v>
      </c>
      <c r="B48" s="215" t="s">
        <v>2237</v>
      </c>
      <c r="C48" s="267">
        <f>ROUND(F30/(1+'数据-取费表'!C42),4)</f>
        <v>5.33E-2</v>
      </c>
      <c r="D48" s="241" t="s">
        <v>2225</v>
      </c>
      <c r="E48" s="237"/>
      <c r="F48" s="2530">
        <f>F30</f>
        <v>5.6000000000000001E-2</v>
      </c>
      <c r="G48" s="239" t="s">
        <v>2238</v>
      </c>
    </row>
    <row r="49" spans="1:7" ht="16.5" customHeight="1">
      <c r="A49" s="260" t="s">
        <v>2204</v>
      </c>
      <c r="B49" s="215" t="s">
        <v>2278</v>
      </c>
      <c r="C49" s="237">
        <f ca="1">ROUND((C33+C39+C41+C45)/(1-C40-D41-D45-C48),0)</f>
        <v>204840157</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204840157</v>
      </c>
      <c r="D51" s="237"/>
      <c r="E51" s="237"/>
      <c r="F51" s="269"/>
      <c r="G51" s="239" t="s">
        <v>2246</v>
      </c>
    </row>
    <row r="52" spans="1:7" s="213" customFormat="1" ht="16.5" thickBot="1">
      <c r="A52" s="270" t="s">
        <v>2247</v>
      </c>
      <c r="B52" s="271"/>
      <c r="C52" s="272">
        <f ca="1">C31+C51</f>
        <v>219266450</v>
      </c>
      <c r="D52" s="271"/>
      <c r="E52" s="271"/>
      <c r="F52" s="271"/>
      <c r="G52" s="273"/>
    </row>
    <row r="55" spans="1:7" ht="15">
      <c r="B55" s="275" t="s">
        <v>2248</v>
      </c>
      <c r="C55" s="276"/>
    </row>
    <row r="56" spans="1:7">
      <c r="B56" s="278" t="s">
        <v>1478</v>
      </c>
      <c r="C56" s="280">
        <f ca="1">1-C57</f>
        <v>6.5999999999999948E-2</v>
      </c>
    </row>
    <row r="57" spans="1:7">
      <c r="B57" s="278" t="s">
        <v>1479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60" t="str">
        <f>项目基本情况!B1</f>
        <v>天津海河教育园区瑞明路与雅馨路交口西南侧房地产抵押价值预评估</v>
      </c>
      <c r="C37" s="3160"/>
      <c r="D37" s="3160"/>
      <c r="E37" s="3160"/>
      <c r="F37" s="3160"/>
      <c r="G37" s="3160"/>
      <c r="H37" s="3160"/>
      <c r="I37" s="316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王鹏（注册号：1120050019)、崔锴（注册号：1120100036)</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2" sqref="H42"/>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26"/>
      <c r="F1" s="3026"/>
      <c r="G1" s="2889"/>
      <c r="H1" s="3026"/>
      <c r="I1" s="3026"/>
      <c r="J1" s="3026"/>
      <c r="K1" s="3027">
        <f>MATCH(C1,'数据-取费表'!A6:A16,0)+5</f>
        <v>9</v>
      </c>
    </row>
    <row r="2" spans="1:33" ht="18" customHeight="1">
      <c r="A2" s="206" t="s">
        <v>2148</v>
      </c>
      <c r="B2" s="209">
        <f ca="1">C32</f>
        <v>48201</v>
      </c>
      <c r="C2" s="281" t="s">
        <v>2281</v>
      </c>
      <c r="D2" s="281"/>
      <c r="E2" s="3026"/>
      <c r="F2" s="3026"/>
      <c r="G2" s="3026"/>
      <c r="H2" s="3026"/>
      <c r="I2" s="3026"/>
      <c r="J2" s="3026"/>
      <c r="K2" s="3026"/>
    </row>
    <row r="3" spans="1:33" ht="18" customHeight="1" thickBot="1">
      <c r="A3" s="208" t="s">
        <v>2150</v>
      </c>
      <c r="B3" s="209">
        <f ca="1">ROUND(B2*10000/IF(C1="",'数据-汇总表'!E3,INDIRECT("'数据-取费表'!K"&amp;$K$1)),0)</f>
        <v>8802</v>
      </c>
      <c r="C3" s="281" t="s">
        <v>2282</v>
      </c>
      <c r="D3" s="281"/>
      <c r="E3" s="3026"/>
      <c r="F3" s="3026"/>
      <c r="G3" s="3026"/>
      <c r="H3" s="3026"/>
      <c r="I3" s="3026"/>
      <c r="J3" s="3026"/>
      <c r="K3" s="3026"/>
    </row>
    <row r="4" spans="1:33" s="891" customFormat="1" ht="16.5" customHeight="1">
      <c r="A4" s="888" t="s">
        <v>2283</v>
      </c>
      <c r="B4" s="889"/>
      <c r="C4" s="931">
        <f ca="1">SUM(C8:K8)</f>
        <v>72031</v>
      </c>
      <c r="D4" s="889"/>
      <c r="E4" s="889"/>
      <c r="F4" s="889"/>
      <c r="G4" s="889"/>
      <c r="H4" s="889"/>
      <c r="I4" s="889"/>
      <c r="J4" s="889"/>
      <c r="K4" s="890"/>
    </row>
    <row r="5" spans="1:33" s="895" customFormat="1" ht="25.5">
      <c r="A5" s="892" t="s">
        <v>2284</v>
      </c>
      <c r="B5" s="893" t="s">
        <v>2285</v>
      </c>
      <c r="C5" s="2043" t="s">
        <v>3341</v>
      </c>
      <c r="D5" s="2043" t="s">
        <v>3343</v>
      </c>
      <c r="E5" s="2043" t="s">
        <v>48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'比较法-住宅'!C48</f>
        <v>20111</v>
      </c>
      <c r="D6" s="897">
        <f ca="1">'收益法-自持'!B3</f>
        <v>6000</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27761.340000000026</v>
      </c>
      <c r="D7" s="282">
        <f>SUMIF('数据-汇总表'!$C19:$C33,假设开发法!D5,'数据-汇总表'!$E19:$E33)</f>
        <v>27000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8" t="s">
        <v>2290</v>
      </c>
      <c r="C8" s="932">
        <f>ROUND(C6*C7/10000,0)</f>
        <v>55831</v>
      </c>
      <c r="D8" s="932">
        <f ca="1">ROUND(D6*D7/10000,0)</f>
        <v>16200</v>
      </c>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8649</v>
      </c>
      <c r="D11" s="908"/>
      <c r="E11" s="334"/>
      <c r="F11" s="909">
        <f ca="1">1-IF('数据-取费表'!B24=0,1,IF(C1="",'数据-取费表'!N16,INDIRECT("'数据-取费表'!n"&amp;$K$1)))</f>
        <v>0.63200000000000001</v>
      </c>
      <c r="G11" s="8"/>
      <c r="H11" s="903"/>
      <c r="I11" s="903"/>
      <c r="J11" s="903"/>
      <c r="K11" s="904"/>
    </row>
    <row r="12" spans="1:33" s="910" customFormat="1" ht="13.5" customHeight="1">
      <c r="A12" s="906" t="s">
        <v>1301</v>
      </c>
      <c r="B12" s="907" t="s">
        <v>2299</v>
      </c>
      <c r="C12" s="24">
        <f ca="1">ROUND(C11*F12,0)</f>
        <v>259</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432</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692</v>
      </c>
      <c r="D14" s="953">
        <f ca="1">IF(C1="",'数据-汇总表'!E3,INDIRECT("'数据-取费表'!K"&amp;$K$1)+INDIRECT("'数据-取费表'!S"&amp;$K$1))</f>
        <v>54761.34</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130</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10162</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54761.34</v>
      </c>
      <c r="E17" s="24">
        <f>'数据-取费表'!B32</f>
        <v>0</v>
      </c>
      <c r="F17" s="913"/>
      <c r="G17" s="135"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5" t="s">
        <v>3304</v>
      </c>
      <c r="H18" s="1347"/>
      <c r="I18" s="2046"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54761.34</v>
      </c>
      <c r="E19" s="24">
        <f>'数据-取费表'!B27</f>
        <v>0</v>
      </c>
      <c r="F19" s="911"/>
      <c r="G19" s="15"/>
      <c r="H19" s="1349"/>
      <c r="I19" s="916"/>
      <c r="J19" s="916"/>
      <c r="K19" s="917"/>
    </row>
    <row r="20" spans="1:33" s="910" customFormat="1" ht="13.5" customHeight="1">
      <c r="A20" s="906" t="s">
        <v>806</v>
      </c>
      <c r="B20" s="907" t="s">
        <v>2313</v>
      </c>
      <c r="C20" s="24">
        <f ca="1">ROUND(D20*E20/10000,0)</f>
        <v>0</v>
      </c>
      <c r="D20" s="953">
        <f ca="1">IF(C1="",'数据-汇总表'!E6,IF(INDIRECT("'数据-取费表'!c"&amp;$K$1)="住宅",INDIRECT("'数据-取费表'!s"&amp;$K$1),INDIRECT("'数据-取费表'!k"&amp;$K$1)+INDIRECT("'数据-取费表'!s"&amp;$K$1)))</f>
        <v>0</v>
      </c>
      <c r="E20" s="24">
        <f>'数据-取费表'!B28</f>
        <v>0</v>
      </c>
      <c r="F20" s="911"/>
      <c r="G20" s="15"/>
      <c r="H20" s="916"/>
      <c r="I20" s="916"/>
      <c r="J20" s="916"/>
      <c r="K20" s="917"/>
    </row>
    <row r="21" spans="1:33" s="910" customFormat="1" ht="13.5" customHeight="1">
      <c r="A21" s="896" t="s">
        <v>802</v>
      </c>
      <c r="B21" s="920" t="s">
        <v>2314</v>
      </c>
      <c r="C21" s="921">
        <f ca="1">C16+C17+C18</f>
        <v>10162</v>
      </c>
      <c r="D21" s="922"/>
      <c r="E21" s="286"/>
      <c r="F21" s="286"/>
      <c r="G21" s="135" t="s">
        <v>2315</v>
      </c>
      <c r="H21" s="914"/>
      <c r="I21" s="914"/>
      <c r="J21" s="914"/>
      <c r="K21" s="915"/>
    </row>
    <row r="22" spans="1:33" s="910" customFormat="1" ht="13.5" customHeight="1">
      <c r="A22" s="896" t="s">
        <v>2287</v>
      </c>
      <c r="B22" s="920" t="s">
        <v>2316</v>
      </c>
      <c r="C22" s="921">
        <f ca="1">ROUND(C21*F22,0)</f>
        <v>305</v>
      </c>
      <c r="D22" s="286"/>
      <c r="E22" s="286"/>
      <c r="F22" s="923">
        <f>'数据-取费表'!B37</f>
        <v>0.03</v>
      </c>
      <c r="G22" s="8" t="s">
        <v>2317</v>
      </c>
      <c r="H22" s="903"/>
      <c r="I22" s="903"/>
      <c r="J22" s="903"/>
      <c r="K22" s="904"/>
    </row>
    <row r="23" spans="1:33" s="910" customFormat="1" ht="13.5" customHeight="1">
      <c r="A23" s="896" t="s">
        <v>2289</v>
      </c>
      <c r="B23" s="920" t="s">
        <v>2318</v>
      </c>
      <c r="C23" s="921">
        <f ca="1">ROUND(C4*F23*F11,0)</f>
        <v>1366</v>
      </c>
      <c r="D23" s="286"/>
      <c r="E23" s="286"/>
      <c r="F23" s="923">
        <f>'数据-取费表'!B38</f>
        <v>0.03</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294</v>
      </c>
      <c r="D25" s="285">
        <f ca="1">C26</f>
        <v>5.1799999999999999E-2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5.1799999999999999E-2</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294</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2327</v>
      </c>
      <c r="B28" s="2048" t="s">
        <v>2328</v>
      </c>
      <c r="C28" s="292">
        <f ca="1">C30</f>
        <v>1065</v>
      </c>
      <c r="D28" s="285">
        <f ca="1">C29</f>
        <v>6.0199999999999997E-2</v>
      </c>
      <c r="E28" s="287" t="s">
        <v>15</v>
      </c>
      <c r="F28" s="293">
        <f ca="1">IF(C1="",'数据-取费表'!Q16,INDIRECT("'数据-取费表'!q"&amp;$K$1))</f>
        <v>0.09</v>
      </c>
      <c r="G28" s="924"/>
      <c r="H28" s="925"/>
      <c r="I28" s="925"/>
      <c r="J28" s="925"/>
      <c r="K28" s="926"/>
    </row>
    <row r="29" spans="1:33" s="296" customFormat="1" ht="13.5" customHeight="1">
      <c r="A29" s="906" t="s">
        <v>803</v>
      </c>
      <c r="B29" s="929" t="s">
        <v>2329</v>
      </c>
      <c r="C29" s="289">
        <f ca="1">ROUND((1+C24)*F28*'数据-取费表'!B24/'数据-取费表'!B20,4)</f>
        <v>6.0199999999999997E-2</v>
      </c>
      <c r="D29" s="289"/>
      <c r="E29" s="290"/>
      <c r="F29" s="295"/>
      <c r="G29" s="135" t="s">
        <v>2330</v>
      </c>
      <c r="H29" s="914"/>
      <c r="I29" s="914"/>
      <c r="J29" s="914"/>
      <c r="K29" s="915"/>
    </row>
    <row r="30" spans="1:33" s="296" customFormat="1" ht="13.5" customHeight="1">
      <c r="A30" s="906" t="s">
        <v>804</v>
      </c>
      <c r="B30" s="929" t="s">
        <v>2331</v>
      </c>
      <c r="C30" s="297">
        <f ca="1">ROUND((C21+C22+C23)*F28,0)</f>
        <v>1065</v>
      </c>
      <c r="D30" s="289"/>
      <c r="E30" s="290"/>
      <c r="F30" s="295"/>
      <c r="G30" s="135"/>
      <c r="H30" s="914"/>
      <c r="I30" s="914"/>
      <c r="J30" s="914"/>
      <c r="K30" s="915"/>
    </row>
    <row r="31" spans="1:33" s="910" customFormat="1" ht="13.5" customHeight="1" thickBot="1">
      <c r="A31" s="2049" t="s">
        <v>2332</v>
      </c>
      <c r="B31" s="940" t="s">
        <v>2333</v>
      </c>
      <c r="C31" s="941">
        <f ca="1">ROUND(C4*F31/(1+'数据-取费表'!C42),0)</f>
        <v>3842</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48201</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3343</v>
      </c>
      <c r="D1" s="1545" t="s">
        <v>3308</v>
      </c>
      <c r="E1" s="1546" t="s">
        <v>1352</v>
      </c>
      <c r="F1" s="1191">
        <f ca="1">J53</f>
        <v>67.19</v>
      </c>
      <c r="G1" s="1561">
        <f>MATCH(C1,'数据-取费表'!A6:A16,0)+5</f>
        <v>7</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16199</v>
      </c>
      <c r="C2" s="1570" t="s">
        <v>1481</v>
      </c>
      <c r="D2" s="1570"/>
      <c r="E2" s="1571"/>
      <c r="F2" s="1572"/>
      <c r="G2" s="2924"/>
      <c r="H2" s="2913"/>
      <c r="I2" s="2913"/>
      <c r="J2" s="2913"/>
      <c r="K2" s="2914"/>
      <c r="L2" s="2913"/>
      <c r="M2" s="2913"/>
    </row>
    <row r="3" spans="1:37" ht="18" customHeight="1" thickBot="1">
      <c r="A3" s="1573" t="s">
        <v>1482</v>
      </c>
      <c r="B3" s="1574">
        <f ca="1">IF(ISERROR(B2*10000/F43),0,ROUND(B2*10000/F43,0))</f>
        <v>6000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676</v>
      </c>
      <c r="D5" s="1547" t="s">
        <v>1367</v>
      </c>
      <c r="E5" s="1201"/>
      <c r="F5" s="1202"/>
      <c r="G5" s="1567"/>
      <c r="H5" s="304">
        <v>1</v>
      </c>
      <c r="I5" s="305" t="s">
        <v>1366</v>
      </c>
      <c r="J5" s="1200">
        <f ca="1">J6+J10+J12</f>
        <v>0</v>
      </c>
      <c r="K5" s="1547" t="s">
        <v>1367</v>
      </c>
      <c r="L5" s="1201"/>
      <c r="M5" s="1202"/>
    </row>
    <row r="6" spans="1:37" ht="18" customHeight="1">
      <c r="A6" s="1199" t="s">
        <v>1003</v>
      </c>
      <c r="B6" s="3349" t="s">
        <v>1368</v>
      </c>
      <c r="C6" s="1204">
        <f ca="1">ROUND(F6*F8*F7*(1-F9)/10000,0)</f>
        <v>675</v>
      </c>
      <c r="D6" s="159" t="s">
        <v>2847</v>
      </c>
      <c r="E6" s="307" t="s">
        <v>1370</v>
      </c>
      <c r="F6" s="308">
        <f ca="1">INDIRECT("'数据-取费表'!u"&amp;$G$1)</f>
        <v>2500</v>
      </c>
      <c r="G6" s="1567"/>
      <c r="H6" s="1199" t="s">
        <v>1003</v>
      </c>
      <c r="I6" s="3349" t="s">
        <v>1368</v>
      </c>
      <c r="J6" s="306">
        <f ca="1">ROUND(M6*M8*M7*(1-M9)/10000,0)</f>
        <v>0</v>
      </c>
      <c r="K6" s="159" t="s">
        <v>2846</v>
      </c>
      <c r="L6" s="307" t="s">
        <v>1370</v>
      </c>
      <c r="M6" s="308">
        <f ca="1">INDIRECT("'数据-取费表'!z"&amp;$G$1)</f>
        <v>0</v>
      </c>
    </row>
    <row r="7" spans="1:37" ht="18" customHeight="1">
      <c r="A7" s="1203"/>
      <c r="B7" s="3350"/>
      <c r="C7" s="1205"/>
      <c r="D7" s="312"/>
      <c r="E7" s="3051" t="s">
        <v>1371</v>
      </c>
      <c r="F7" s="308">
        <f ca="1">IF(INDIRECT("'数据-取费表'!ah"&amp;$G$1)="",INDIRECT("'数据-取费表'!k"&amp;$G$1),INDIRECT("'数据-取费表'!ah"&amp;$G$1))</f>
        <v>250</v>
      </c>
      <c r="G7" s="1567"/>
      <c r="H7" s="309"/>
      <c r="I7" s="3350"/>
      <c r="J7" s="311"/>
      <c r="K7" s="312"/>
      <c r="L7" s="307" t="s">
        <v>1371</v>
      </c>
      <c r="M7" s="308">
        <f ca="1">F7</f>
        <v>250</v>
      </c>
    </row>
    <row r="8" spans="1:37" ht="18" customHeight="1">
      <c r="A8" s="309"/>
      <c r="B8" s="3350"/>
      <c r="C8" s="311"/>
      <c r="D8" s="312"/>
      <c r="E8" s="307" t="s">
        <v>1372</v>
      </c>
      <c r="F8" s="308">
        <f ca="1">INDIRECT("'数据-取费表'!ai"&amp;$G$1)</f>
        <v>12</v>
      </c>
      <c r="G8" s="1567"/>
      <c r="H8" s="309"/>
      <c r="I8" s="3350"/>
      <c r="J8" s="311"/>
      <c r="K8" s="312"/>
      <c r="L8" s="307" t="s">
        <v>1372</v>
      </c>
      <c r="M8" s="308">
        <f ca="1">INDIRECT("'数据-取费表'!ai"&amp;$G$1)</f>
        <v>12</v>
      </c>
    </row>
    <row r="9" spans="1:37" ht="18" customHeight="1">
      <c r="A9" s="309"/>
      <c r="B9" s="3351"/>
      <c r="C9" s="311"/>
      <c r="D9" s="312"/>
      <c r="E9" s="307" t="s">
        <v>1373</v>
      </c>
      <c r="F9" s="317">
        <f ca="1">INDIRECT("'数据-取费表'!w"&amp;$G$1)</f>
        <v>0.1</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1</v>
      </c>
      <c r="D10" s="1549" t="s">
        <v>2854</v>
      </c>
      <c r="E10" s="318" t="s">
        <v>1375</v>
      </c>
      <c r="F10" s="1274" t="s">
        <v>3309</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9544</v>
      </c>
      <c r="D13" s="3042" t="s">
        <v>1380</v>
      </c>
      <c r="E13" s="3042"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6750</v>
      </c>
      <c r="D14" s="3047" t="s">
        <v>1383</v>
      </c>
      <c r="E14" s="3044"/>
      <c r="F14" s="324"/>
      <c r="G14" s="1567"/>
      <c r="H14" s="1111" t="s">
        <v>1003</v>
      </c>
      <c r="I14" s="307" t="s">
        <v>1384</v>
      </c>
      <c r="J14" s="24">
        <f ca="1">C29</f>
        <v>9544</v>
      </c>
      <c r="K14" s="3050"/>
      <c r="L14" s="914"/>
      <c r="M14" s="915"/>
    </row>
    <row r="15" spans="1:37" s="1580" customFormat="1" ht="18" customHeight="1" thickBot="1">
      <c r="A15" s="1111" t="s">
        <v>1004</v>
      </c>
      <c r="B15" s="307" t="s">
        <v>1385</v>
      </c>
      <c r="C15" s="24">
        <f ca="1">ROUND(C14*F15,0)</f>
        <v>203</v>
      </c>
      <c r="D15" s="3043" t="s">
        <v>1386</v>
      </c>
      <c r="E15" s="3043"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338</v>
      </c>
      <c r="D16" s="307" t="s">
        <v>1386</v>
      </c>
      <c r="E16" s="307" t="s">
        <v>1387</v>
      </c>
      <c r="F16" s="327">
        <f ca="1">IF(INDIRECT("'数据-取费表'!c"&amp;$G$1)="住宅",'数据-取费表'!B34,0)</f>
        <v>0.05</v>
      </c>
      <c r="G16" s="1567"/>
      <c r="H16" s="1237" t="s">
        <v>998</v>
      </c>
      <c r="I16" s="1238" t="s">
        <v>1389</v>
      </c>
      <c r="J16" s="315">
        <f ca="1">ROUND(J17+J22+J23+J24,0)</f>
        <v>231</v>
      </c>
      <c r="K16" s="1245" t="s">
        <v>1390</v>
      </c>
      <c r="L16" s="3048"/>
      <c r="M16" s="1202"/>
    </row>
    <row r="17" spans="1:37" s="1580" customFormat="1" ht="18" customHeight="1">
      <c r="A17" s="1111" t="s">
        <v>1355</v>
      </c>
      <c r="B17" s="307" t="s">
        <v>1391</v>
      </c>
      <c r="C17" s="24">
        <f ca="1">ROUND(F17*(F43+INDIRECT("'数据-取费表'!S"&amp;$G$1))/10000,0)</f>
        <v>540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88</v>
      </c>
      <c r="K17" s="3047" t="s">
        <v>1395</v>
      </c>
      <c r="L17" s="3046"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101</v>
      </c>
      <c r="D18" s="307" t="s">
        <v>1386</v>
      </c>
      <c r="E18" s="307" t="s">
        <v>1387</v>
      </c>
      <c r="F18" s="327">
        <f>'数据-取费表'!B36</f>
        <v>1.4999999999999999E-2</v>
      </c>
      <c r="G18" s="1579"/>
      <c r="H18" s="1111" t="s">
        <v>1002</v>
      </c>
      <c r="I18" s="307" t="s">
        <v>1398</v>
      </c>
      <c r="J18" s="24">
        <f ca="1">ROUND(J6*M18/(1+'数据-取费表'!C42),2)</f>
        <v>0</v>
      </c>
      <c r="K18" s="3046"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7932</v>
      </c>
      <c r="D19" s="135" t="s">
        <v>1401</v>
      </c>
      <c r="E19" s="3053"/>
      <c r="F19" s="26"/>
      <c r="G19" s="1567"/>
      <c r="H19" s="1111" t="s">
        <v>1004</v>
      </c>
      <c r="I19" s="307" t="s">
        <v>1402</v>
      </c>
      <c r="J19" s="24">
        <f ca="1">IF(K19="按租金收入计税",ROUND(J6*M19/(1+'数据-取费表'!C42),2),ROUND(C29*M19*0.7,2))</f>
        <v>80.17</v>
      </c>
      <c r="K19" s="1553" t="s">
        <v>1403</v>
      </c>
      <c r="L19" s="307" t="s">
        <v>1387</v>
      </c>
      <c r="M19" s="327">
        <f>IF(K19="按租金收入计税",'数据-取费表'!B51,'数据-取费表'!B50)</f>
        <v>1.2E-2</v>
      </c>
    </row>
    <row r="20" spans="1:37" s="1580" customFormat="1" ht="18" customHeight="1">
      <c r="A20" s="1111" t="s">
        <v>1007</v>
      </c>
      <c r="B20" s="307" t="s">
        <v>1404</v>
      </c>
      <c r="C20" s="24">
        <f ca="1">ROUND(C19*F20,0)</f>
        <v>238</v>
      </c>
      <c r="D20" s="328" t="s">
        <v>1405</v>
      </c>
      <c r="E20" s="307" t="s">
        <v>1387</v>
      </c>
      <c r="F20" s="327">
        <f>'数据-取费表'!B37</f>
        <v>0.03</v>
      </c>
      <c r="G20" s="1579"/>
      <c r="H20" s="1111" t="s">
        <v>1354</v>
      </c>
      <c r="I20" s="159" t="s">
        <v>1406</v>
      </c>
      <c r="J20" s="25">
        <f ca="1">ROUND(M20*M21/10000,2)</f>
        <v>7.55</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15108.81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3053"/>
      <c r="F22" s="26"/>
      <c r="G22" s="1567"/>
      <c r="H22" s="1111" t="s">
        <v>1007</v>
      </c>
      <c r="I22" s="307" t="s">
        <v>1414</v>
      </c>
      <c r="J22" s="24">
        <f ca="1">ROUND(J14*M22,1)</f>
        <v>143.19999999999999</v>
      </c>
      <c r="K22" s="3046"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314</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3046"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3053"/>
      <c r="F25" s="26"/>
      <c r="G25" s="1567"/>
      <c r="H25" s="1237" t="s">
        <v>999</v>
      </c>
      <c r="I25" s="1252" t="s">
        <v>1428</v>
      </c>
      <c r="J25" s="315">
        <f ca="1">J5-J16</f>
        <v>-231</v>
      </c>
      <c r="K25" s="1253" t="s">
        <v>1429</v>
      </c>
      <c r="L25" s="1254"/>
      <c r="M25" s="1255"/>
    </row>
    <row r="26" spans="1:37">
      <c r="A26" s="1111" t="s">
        <v>1002</v>
      </c>
      <c r="B26" s="307" t="s">
        <v>1430</v>
      </c>
      <c r="C26" s="24">
        <f ca="1">ROUND((C19+C20)*F26,0)</f>
        <v>245</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8.9999999999999998E-4</v>
      </c>
      <c r="D27" s="328" t="s">
        <v>1437</v>
      </c>
      <c r="E27" s="3043"/>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9544</v>
      </c>
      <c r="D29" s="1250"/>
      <c r="E29" s="1248"/>
      <c r="F29" s="1251"/>
      <c r="G29" s="1579"/>
      <c r="H29" s="339" t="s">
        <v>1001</v>
      </c>
      <c r="I29" s="340" t="s">
        <v>1444</v>
      </c>
      <c r="J29" s="341">
        <f ca="1">ROUND(J26/(1+F40)^F41,0)</f>
        <v>0</v>
      </c>
      <c r="K29" s="342" t="s">
        <v>1445</v>
      </c>
      <c r="L29" s="343"/>
      <c r="M29" s="344">
        <f ca="1">INDIRECT("'数据-取费表'!k"&amp;$G$1)</f>
        <v>27000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285</v>
      </c>
      <c r="D30" s="1245" t="s">
        <v>1390</v>
      </c>
      <c r="E30" s="3048"/>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121</v>
      </c>
      <c r="D31" s="3047" t="s">
        <v>1395</v>
      </c>
      <c r="E31" s="3046"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36</v>
      </c>
      <c r="D32" s="3046"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77.14</v>
      </c>
      <c r="D33" s="1553" t="s">
        <v>3310</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7.55</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15108.81</v>
      </c>
      <c r="G35" s="1567"/>
      <c r="H35" s="2915"/>
      <c r="I35" s="1581"/>
      <c r="J35" s="1582"/>
      <c r="K35" s="2919"/>
      <c r="L35" s="2918"/>
      <c r="M35" s="2918"/>
    </row>
    <row r="36" spans="1:18" ht="18" customHeight="1">
      <c r="A36" s="1260" t="s">
        <v>1007</v>
      </c>
      <c r="B36" s="307" t="s">
        <v>1414</v>
      </c>
      <c r="C36" s="24">
        <f ca="1">ROUND(C29*F36,1)</f>
        <v>143.19999999999999</v>
      </c>
      <c r="D36" s="3046"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14.3</v>
      </c>
      <c r="D37" s="3046" t="s">
        <v>1419</v>
      </c>
      <c r="E37" s="307" t="s">
        <v>1387</v>
      </c>
      <c r="F37" s="335">
        <f ca="1">INDIRECT("'数据-取费表'!Al"&amp;$G$1)</f>
        <v>1.5E-3</v>
      </c>
      <c r="G37" s="1567"/>
      <c r="H37" s="2918"/>
      <c r="I37" s="1581"/>
      <c r="J37" s="1582"/>
      <c r="K37" s="2760"/>
      <c r="L37" s="2918"/>
      <c r="M37" s="2918"/>
    </row>
    <row r="38" spans="1:18" ht="18" customHeight="1" thickBot="1">
      <c r="A38" s="1247" t="s">
        <v>1357</v>
      </c>
      <c r="B38" s="1248" t="s">
        <v>1404</v>
      </c>
      <c r="C38" s="1249">
        <f ca="1">ROUND(C5*F38,1)</f>
        <v>6.8</v>
      </c>
      <c r="D38" s="1250" t="s">
        <v>1424</v>
      </c>
      <c r="E38" s="1248" t="s">
        <v>1387</v>
      </c>
      <c r="F38" s="1244">
        <f ca="1">INDIRECT("'数据-取费表'!Am"&amp;$G$1)</f>
        <v>0.01</v>
      </c>
      <c r="G38" s="1567"/>
      <c r="H38" s="2918"/>
      <c r="I38" s="1581"/>
      <c r="J38" s="1582"/>
      <c r="K38" s="2922"/>
      <c r="L38" s="2918"/>
      <c r="M38" s="2918"/>
    </row>
    <row r="39" spans="1:18" ht="24.6" customHeight="1" thickTop="1">
      <c r="A39" s="1237" t="s">
        <v>999</v>
      </c>
      <c r="B39" s="1252" t="s">
        <v>1428</v>
      </c>
      <c r="C39" s="315">
        <f ca="1">C5-C30</f>
        <v>391</v>
      </c>
      <c r="D39" s="1253" t="s">
        <v>1429</v>
      </c>
      <c r="E39" s="1254"/>
      <c r="F39" s="1255"/>
      <c r="G39" s="1567"/>
      <c r="H39" s="2918"/>
      <c r="I39" s="1581"/>
      <c r="J39" s="1582"/>
      <c r="K39" s="2922"/>
      <c r="L39" s="2918"/>
      <c r="M39" s="2918"/>
    </row>
    <row r="40" spans="1:18" ht="18" customHeight="1">
      <c r="A40" s="304" t="s">
        <v>1000</v>
      </c>
      <c r="B40" s="305" t="s">
        <v>1450</v>
      </c>
      <c r="C40" s="306">
        <f ca="1">ROUND(C39*(1-((1+F42)/(1+F40))^F41)/(F40-F42),0)</f>
        <v>16199</v>
      </c>
      <c r="D40" s="329" t="s">
        <v>1434</v>
      </c>
      <c r="E40" s="307" t="s">
        <v>1435</v>
      </c>
      <c r="F40" s="317">
        <f ca="1">INDIRECT("'数据-取费表'!I"&amp;$G$1)</f>
        <v>4.4999999999999998E-2</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67.19</v>
      </c>
      <c r="G41" s="1567"/>
      <c r="H41" s="1351"/>
      <c r="I41" s="1581"/>
      <c r="J41" s="1582"/>
      <c r="K41" s="2760"/>
      <c r="L41" s="1351"/>
      <c r="M41" s="1351"/>
    </row>
    <row r="42" spans="1:18" ht="18" customHeight="1">
      <c r="A42" s="313"/>
      <c r="B42" s="314"/>
      <c r="C42" s="315"/>
      <c r="D42" s="332"/>
      <c r="E42" s="307" t="s">
        <v>1442</v>
      </c>
      <c r="F42" s="317">
        <f ca="1">INDIRECT("'数据-取费表'!v"&amp;$G$1)</f>
        <v>0.03</v>
      </c>
      <c r="G42" s="1567"/>
      <c r="H42" s="1351"/>
      <c r="I42" s="1581"/>
      <c r="J42" s="1582"/>
      <c r="K42" s="2760"/>
      <c r="L42" s="1351"/>
      <c r="M42" s="1351"/>
    </row>
    <row r="43" spans="1:18" ht="18" customHeight="1" thickBot="1">
      <c r="A43" s="339" t="s">
        <v>1001</v>
      </c>
      <c r="B43" s="340" t="s">
        <v>1452</v>
      </c>
      <c r="C43" s="341">
        <f ca="1">ROUND(C40*10000/F43,0)</f>
        <v>6000</v>
      </c>
      <c r="D43" s="342" t="s">
        <v>1453</v>
      </c>
      <c r="E43" s="343" t="s">
        <v>1454</v>
      </c>
      <c r="F43" s="344">
        <f ca="1">INDIRECT("'数据-取费表'!k"&amp;$G$1)</f>
        <v>27000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-36572</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3311</v>
      </c>
      <c r="K47" s="1599" t="s">
        <v>1492</v>
      </c>
      <c r="L47" s="1600">
        <f ca="1">INDIRECT("'数据-取费表'!d"&amp;$G$1)</f>
        <v>70</v>
      </c>
      <c r="M47" s="1563" t="str">
        <f>IF(ISNUMBER(FIND("住宅",C1)),"住宅","非住宅")</f>
        <v>住宅</v>
      </c>
      <c r="O47" s="1601" t="s">
        <v>1008</v>
      </c>
      <c r="P47" s="1602" t="s">
        <v>1493</v>
      </c>
      <c r="Q47" s="1603">
        <f ca="1">C40+J29</f>
        <v>16199</v>
      </c>
      <c r="R47" s="1603" t="s">
        <v>1494</v>
      </c>
    </row>
    <row r="48" spans="1:18" s="1567" customFormat="1" ht="28.5" thickBot="1">
      <c r="A48" s="1268" t="s">
        <v>1103</v>
      </c>
      <c r="B48" s="305" t="s">
        <v>1366</v>
      </c>
      <c r="C48" s="3052">
        <f ca="1">C49+C53+C55</f>
        <v>0</v>
      </c>
      <c r="D48" s="1270"/>
      <c r="E48" s="1271"/>
      <c r="F48" s="1091"/>
      <c r="G48" s="730"/>
      <c r="H48" s="731"/>
      <c r="I48" s="1604" t="s">
        <v>1495</v>
      </c>
      <c r="J48" s="1605" t="s">
        <v>3312</v>
      </c>
      <c r="K48" s="1606" t="s">
        <v>1496</v>
      </c>
      <c r="L48" s="1607">
        <f ca="1">INDIRECT("'数据-取费表'!f"&amp;$G$1)</f>
        <v>68.489999999999995</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2846</v>
      </c>
      <c r="E49" s="1555" t="s">
        <v>1456</v>
      </c>
      <c r="F49" s="1189"/>
      <c r="G49" s="1608"/>
      <c r="H49" s="731"/>
      <c r="I49" s="1604" t="s">
        <v>1499</v>
      </c>
      <c r="J49" s="1609">
        <v>2021</v>
      </c>
      <c r="K49" s="1606" t="s">
        <v>1500</v>
      </c>
      <c r="L49" s="1610"/>
      <c r="O49" s="1611" t="s">
        <v>1010</v>
      </c>
      <c r="P49" s="1602" t="s">
        <v>1501</v>
      </c>
      <c r="Q49" s="1603">
        <f ca="1">C29</f>
        <v>9544</v>
      </c>
      <c r="R49" s="1603" t="s">
        <v>1494</v>
      </c>
    </row>
    <row r="50" spans="1:18" s="1567" customFormat="1" ht="13.5" thickBot="1">
      <c r="A50" s="1105"/>
      <c r="B50" s="1108"/>
      <c r="C50" s="1276"/>
      <c r="D50" s="1082"/>
      <c r="E50" s="1185" t="s">
        <v>1371</v>
      </c>
      <c r="F50" s="1186">
        <f ca="1">F7</f>
        <v>250</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-9507</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v>8.5000000000000006E-2</v>
      </c>
      <c r="O52" s="1611" t="s">
        <v>1013</v>
      </c>
      <c r="P52" s="1602" t="s">
        <v>1510</v>
      </c>
      <c r="Q52" s="1603">
        <f ca="1">J53</f>
        <v>67.19</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67.19</v>
      </c>
      <c r="K53" s="3352" t="s">
        <v>1513</v>
      </c>
      <c r="L53" s="3353"/>
      <c r="O53" s="1601" t="s">
        <v>1014</v>
      </c>
      <c r="P53" s="1602" t="s">
        <v>1514</v>
      </c>
      <c r="Q53" s="1603">
        <f ca="1">Q47+Q48</f>
        <v>16199</v>
      </c>
      <c r="R53" s="1603" t="s">
        <v>1015</v>
      </c>
    </row>
    <row r="54" spans="1:18" s="1567" customFormat="1" ht="13.5" thickBot="1">
      <c r="A54" s="1313"/>
      <c r="B54" s="1550" t="s">
        <v>1353</v>
      </c>
      <c r="C54" s="1088"/>
      <c r="D54" s="1549"/>
      <c r="E54" s="3049"/>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1" t="s">
        <v>1043</v>
      </c>
      <c r="B55" s="1552" t="s">
        <v>1378</v>
      </c>
      <c r="C55" s="1242"/>
      <c r="D55" s="1549"/>
      <c r="E55" s="3049"/>
      <c r="F55" s="1623"/>
      <c r="I55" s="1626" t="s">
        <v>1516</v>
      </c>
      <c r="J55" s="1627" t="e">
        <f ca="1">ROUND(IF(J47="钢混",J57/J50,1-(1-2%)*(J50-J57)/J50),3)</f>
        <v>#VALUE!</v>
      </c>
      <c r="K55" s="1628" t="s">
        <v>1517</v>
      </c>
      <c r="L55" s="1629" t="s">
        <v>3317</v>
      </c>
      <c r="O55" s="1594" t="s">
        <v>1487</v>
      </c>
      <c r="P55" s="1595" t="s">
        <v>1488</v>
      </c>
      <c r="Q55" s="1596" t="s">
        <v>1489</v>
      </c>
      <c r="R55" s="1596" t="s">
        <v>1490</v>
      </c>
    </row>
    <row r="56" spans="1:18" s="1567" customFormat="1" ht="25.5" thickTop="1" thickBot="1">
      <c r="A56" s="1086">
        <v>2</v>
      </c>
      <c r="B56" s="1087" t="s">
        <v>1379</v>
      </c>
      <c r="C56" s="237">
        <f ca="1">C13</f>
        <v>9544</v>
      </c>
      <c r="D56" s="1630"/>
      <c r="E56" s="1631"/>
      <c r="F56" s="1623"/>
      <c r="I56" s="1632" t="s">
        <v>1519</v>
      </c>
      <c r="J56" s="1633" t="s">
        <v>3069</v>
      </c>
      <c r="K56" s="1604" t="s">
        <v>1520</v>
      </c>
      <c r="L56" s="1607">
        <f ca="1">IF(L48&lt;J51,"——",L48-J53)</f>
        <v>1.2999999999999972</v>
      </c>
      <c r="O56" s="1601" t="s">
        <v>1008</v>
      </c>
      <c r="P56" s="1602" t="s">
        <v>1493</v>
      </c>
      <c r="Q56" s="1603">
        <f ca="1">C40+J29</f>
        <v>16199</v>
      </c>
      <c r="R56" s="1603" t="s">
        <v>1494</v>
      </c>
    </row>
    <row r="57" spans="1:18" s="1567" customFormat="1" ht="24.75" thickBot="1">
      <c r="A57" s="1634"/>
      <c r="B57" s="1079" t="s">
        <v>1443</v>
      </c>
      <c r="C57" s="243">
        <f ca="1">C29</f>
        <v>9544</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7" t="s">
        <v>1389</v>
      </c>
      <c r="C58" s="321">
        <f ca="1">ROUND(C59+C64+C65+C66,0)</f>
        <v>967</v>
      </c>
      <c r="D58" s="1089" t="s">
        <v>1390</v>
      </c>
      <c r="E58" s="1090"/>
      <c r="F58" s="1091"/>
      <c r="I58" s="1638" t="s">
        <v>1525</v>
      </c>
      <c r="J58" s="1640" t="e">
        <f ca="1">IF(J55&lt;0.4,0.4,J55)</f>
        <v>#VALUE!</v>
      </c>
      <c r="K58" s="1617" t="s">
        <v>1526</v>
      </c>
      <c r="L58" s="1607">
        <f ca="1">ROUND(POWER(1+L52,L47-L48)*(POWER(1+L52,L48)-1)/(POWER(1+L52,L47)-1),4)</f>
        <v>0.99960000000000004</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809</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f ca="1">ROUND(IF(D1="在建（套用方法）",M59,IF(D1="土地（套用方法）",N59,POWER(1+L52,L47-J51)*(POWER(1+L52,J51)-1)/(POWER(1+L52,L47)-1))),4)</f>
        <v>0.99660000000000004</v>
      </c>
      <c r="M59" s="1563">
        <f ca="1">ROUND(POWER(1+L52,L47-(J51+'数据-取费表'!B24))*(POWER(1+L52,(J51+'数据-取费表'!B24))-1)/(POWER(1+L52,L47)-1),4)</f>
        <v>0.99660000000000004</v>
      </c>
      <c r="N59" s="1563">
        <f ca="1">ROUND(POWER(1+L52,L47-(J51+'数据-取费表'!B20))*(POWER(1+L52,(J51+'数据-取费表'!B20))-1)/(POWER(1+L52,L47)-1),4)</f>
        <v>0.99690000000000001</v>
      </c>
      <c r="O59" s="1611" t="s">
        <v>1011</v>
      </c>
      <c r="P59" s="1602" t="s">
        <v>1529</v>
      </c>
      <c r="Q59" s="1614">
        <f>L52</f>
        <v>8.5000000000000006E-2</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f ca="1">L58</f>
        <v>0.99960000000000004</v>
      </c>
      <c r="R60" s="1603" t="s">
        <v>1533</v>
      </c>
    </row>
    <row r="61" spans="1:18" s="1567" customFormat="1" ht="13.5" thickBot="1">
      <c r="A61" s="1111" t="s">
        <v>1457</v>
      </c>
      <c r="B61" s="1079" t="s">
        <v>1402</v>
      </c>
      <c r="C61" s="24">
        <f ca="1">IF(项目基本情况!B11="自然人","——",IF(D61="按租金收入计税",ROUND(C48*F61,2),IF(D61="按房产原值计税",ROUND(C57*F61*0.7,2),INDIRECT("'数据-取费表'!Aj"&amp;$G$1))))</f>
        <v>801.7</v>
      </c>
      <c r="D61" s="1553" t="s">
        <v>1403</v>
      </c>
      <c r="E61" s="1079" t="s">
        <v>1387</v>
      </c>
      <c r="F61" s="327">
        <f t="shared" si="0"/>
        <v>0.12</v>
      </c>
      <c r="I61" s="1644"/>
      <c r="J61" s="1644"/>
      <c r="K61" s="1644"/>
      <c r="L61" s="1644"/>
      <c r="O61" s="1611" t="s">
        <v>1013</v>
      </c>
      <c r="P61" s="1602" t="str">
        <f>K59</f>
        <v>续建工期及建筑物耐用年限下的土地年期修正系数Kn</v>
      </c>
      <c r="Q61" s="1603">
        <f ca="1">L59</f>
        <v>0.99660000000000004</v>
      </c>
      <c r="R61" s="1603" t="s">
        <v>1534</v>
      </c>
    </row>
    <row r="62" spans="1:18" s="1567" customFormat="1" ht="13.5" thickBot="1">
      <c r="A62" s="1111" t="s">
        <v>1460</v>
      </c>
      <c r="B62" s="1078" t="s">
        <v>1406</v>
      </c>
      <c r="C62" s="25">
        <f ca="1">IF(项目基本情况!B11="自然人","——",ROUND(F62*F63/10000,2))</f>
        <v>7.55</v>
      </c>
      <c r="D62" s="1094" t="s">
        <v>1407</v>
      </c>
      <c r="E62" s="1079" t="s">
        <v>1408</v>
      </c>
      <c r="F62" s="330">
        <f t="shared" si="0"/>
        <v>5</v>
      </c>
      <c r="I62" s="1645" t="s">
        <v>1535</v>
      </c>
      <c r="J62" s="1646" t="s">
        <v>1536</v>
      </c>
      <c r="K62" s="1646" t="s">
        <v>1537</v>
      </c>
      <c r="L62" s="1646" t="s">
        <v>1538</v>
      </c>
      <c r="M62" s="1647" t="s">
        <v>1539</v>
      </c>
      <c r="O62" s="1601" t="s">
        <v>1014</v>
      </c>
      <c r="P62" s="1602" t="s">
        <v>1514</v>
      </c>
      <c r="Q62" s="1603">
        <f ca="1">Q56+Q57</f>
        <v>16199</v>
      </c>
      <c r="R62" s="1603" t="s">
        <v>1015</v>
      </c>
    </row>
    <row r="63" spans="1:18" s="1567" customFormat="1" ht="13.5" thickBot="1">
      <c r="A63" s="331"/>
      <c r="B63" s="1085"/>
      <c r="C63" s="29"/>
      <c r="D63" s="1095"/>
      <c r="E63" s="1079" t="s">
        <v>1412</v>
      </c>
      <c r="F63" s="308">
        <f t="shared" ca="1" si="0"/>
        <v>15108.81</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4">
        <f ca="1">ROUND(C57*F64,1)</f>
        <v>143.19999999999999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14.3</v>
      </c>
      <c r="D65" s="1093" t="s">
        <v>1419</v>
      </c>
      <c r="E65" s="1079" t="s">
        <v>1387</v>
      </c>
      <c r="F65" s="335">
        <f t="shared" ca="1" si="0"/>
        <v>1.5E-3</v>
      </c>
      <c r="I65" s="1645" t="s">
        <v>1544</v>
      </c>
      <c r="J65" s="1646">
        <v>40</v>
      </c>
      <c r="K65" s="1646">
        <v>30</v>
      </c>
      <c r="L65" s="1646">
        <v>50</v>
      </c>
      <c r="M65" s="1648">
        <v>0.02</v>
      </c>
      <c r="O65" s="1601" t="s">
        <v>1008</v>
      </c>
      <c r="P65" s="1602" t="s">
        <v>1493</v>
      </c>
      <c r="Q65" s="1603">
        <f ca="1">C40+J29</f>
        <v>16199</v>
      </c>
      <c r="R65" s="1603" t="s">
        <v>1494</v>
      </c>
    </row>
    <row r="66" spans="1:18" s="1567" customFormat="1" ht="16.5" thickBot="1">
      <c r="A66" s="1111" t="s">
        <v>1469</v>
      </c>
      <c r="B66" s="1079" t="s">
        <v>1404</v>
      </c>
      <c r="C66" s="24">
        <f ca="1">ROUND(C48*F66,1)</f>
        <v>0</v>
      </c>
      <c r="D66" s="1093" t="s">
        <v>1424</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-967</v>
      </c>
      <c r="D67" s="1092" t="s">
        <v>1429</v>
      </c>
      <c r="E67" s="1097"/>
      <c r="F67" s="1098"/>
      <c r="O67" s="1611" t="s">
        <v>1010</v>
      </c>
      <c r="P67" s="1602" t="s">
        <v>1527</v>
      </c>
      <c r="Q67" s="1649">
        <f ca="1">L51</f>
        <v>-9507</v>
      </c>
      <c r="R67" s="1603" t="s">
        <v>1547</v>
      </c>
    </row>
    <row r="68" spans="1:18" s="1567" customFormat="1" ht="16.5" thickBot="1">
      <c r="A68" s="1076" t="s">
        <v>1000</v>
      </c>
      <c r="B68" s="1077" t="s">
        <v>1450</v>
      </c>
      <c r="C68" s="306">
        <f ca="1">ROUND(C67*(1-((1+F70)/(1+F68))^F69)/(F68-F70),0)</f>
        <v>-20373</v>
      </c>
      <c r="D68" s="1094" t="s">
        <v>1434</v>
      </c>
      <c r="E68" s="1079" t="s">
        <v>1435</v>
      </c>
      <c r="F68" s="317">
        <f ca="1">F40</f>
        <v>4.4999999999999998E-2</v>
      </c>
      <c r="O68" s="1611" t="s">
        <v>1011</v>
      </c>
      <c r="P68" s="1650" t="s">
        <v>1548</v>
      </c>
      <c r="Q68" s="1603">
        <f ca="1">ROUND(Q69-Q70*Q71,0)</f>
        <v>-420</v>
      </c>
      <c r="R68" s="1603" t="s">
        <v>1019</v>
      </c>
    </row>
    <row r="69" spans="1:18" s="1567" customFormat="1" ht="13.5" thickBot="1">
      <c r="A69" s="1080"/>
      <c r="B69" s="1081"/>
      <c r="C69" s="311"/>
      <c r="D69" s="1099" t="s">
        <v>1438</v>
      </c>
      <c r="E69" s="1079" t="s">
        <v>1439</v>
      </c>
      <c r="F69" s="338">
        <f ca="1">F41</f>
        <v>67.19</v>
      </c>
      <c r="O69" s="1611" t="s">
        <v>1016</v>
      </c>
      <c r="P69" s="1650" t="s">
        <v>1549</v>
      </c>
      <c r="Q69" s="1603">
        <f ca="1">C39</f>
        <v>391</v>
      </c>
      <c r="R69" s="1603" t="s">
        <v>1494</v>
      </c>
    </row>
    <row r="70" spans="1:18" s="1567" customFormat="1" ht="13.5" thickBot="1">
      <c r="A70" s="1083"/>
      <c r="B70" s="1084"/>
      <c r="C70" s="315"/>
      <c r="D70" s="1095"/>
      <c r="E70" s="1079" t="s">
        <v>1442</v>
      </c>
      <c r="F70" s="1183"/>
      <c r="O70" s="1611" t="s">
        <v>1017</v>
      </c>
      <c r="P70" s="1650" t="s">
        <v>1550</v>
      </c>
      <c r="Q70" s="1603">
        <f ca="1">C13</f>
        <v>9544</v>
      </c>
      <c r="R70" s="1603" t="s">
        <v>1494</v>
      </c>
    </row>
    <row r="71" spans="1:18" s="1567" customFormat="1" ht="13.5" thickBot="1">
      <c r="A71" s="1100" t="s">
        <v>1001</v>
      </c>
      <c r="B71" s="1101" t="s">
        <v>1452</v>
      </c>
      <c r="C71" s="341">
        <f ca="1">ROUND(C68*10000/F71,0)</f>
        <v>-7546</v>
      </c>
      <c r="D71" s="1102" t="s">
        <v>1453</v>
      </c>
      <c r="E71" s="1103" t="s">
        <v>1454</v>
      </c>
      <c r="F71" s="344">
        <f ca="1">F43</f>
        <v>27000</v>
      </c>
      <c r="O71" s="1611" t="s">
        <v>1018</v>
      </c>
      <c r="P71" s="1650" t="s">
        <v>1551</v>
      </c>
      <c r="Q71" s="1614">
        <f ca="1">C76</f>
        <v>8.5000000000000006E-2</v>
      </c>
      <c r="R71" s="1603"/>
    </row>
    <row r="72" spans="1:18" s="1567" customFormat="1" ht="13.5" thickBot="1">
      <c r="B72" s="734"/>
      <c r="C72" s="734"/>
      <c r="O72" s="1611" t="s">
        <v>1012</v>
      </c>
      <c r="P72" s="1602" t="s">
        <v>1529</v>
      </c>
      <c r="Q72" s="1614">
        <f>L52</f>
        <v>8.5000000000000006E-2</v>
      </c>
      <c r="R72" s="1603"/>
    </row>
    <row r="73" spans="1:18" ht="16.5" thickBot="1">
      <c r="A73" s="1567"/>
      <c r="B73" s="734"/>
      <c r="C73" s="734"/>
      <c r="D73" s="1567"/>
      <c r="E73" s="1567"/>
      <c r="F73" s="1567"/>
      <c r="O73" s="1611" t="s">
        <v>1013</v>
      </c>
      <c r="P73" s="1602" t="s">
        <v>1532</v>
      </c>
      <c r="Q73" s="1603">
        <f ca="1">L58</f>
        <v>0.99960000000000004</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f ca="1">L59</f>
        <v>0.99660000000000004</v>
      </c>
      <c r="R74" s="1603" t="s">
        <v>1534</v>
      </c>
    </row>
    <row r="75" spans="1:18" ht="13.5" thickBot="1">
      <c r="A75" s="1567"/>
      <c r="B75" s="345" t="s">
        <v>1471</v>
      </c>
      <c r="C75" s="346">
        <f ca="1">ROUND(C13*C76,0)</f>
        <v>811</v>
      </c>
      <c r="D75" s="1567"/>
      <c r="E75" s="1567"/>
      <c r="F75" s="1567"/>
      <c r="K75" s="1585"/>
      <c r="L75" s="1567"/>
      <c r="O75" s="1601" t="s">
        <v>1014</v>
      </c>
      <c r="P75" s="1602" t="s">
        <v>1514</v>
      </c>
      <c r="Q75" s="1603">
        <f ca="1">Q65+Q66</f>
        <v>16199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-1.0739999999999998</v>
      </c>
    </row>
    <row r="80" spans="1:18">
      <c r="B80" s="345" t="s">
        <v>1476</v>
      </c>
      <c r="C80" s="279">
        <f ca="1">ROUND(C75/C39,3)</f>
        <v>2.0739999999999998</v>
      </c>
    </row>
    <row r="81" spans="2:3">
      <c r="B81" s="275" t="s">
        <v>1477</v>
      </c>
      <c r="C81" s="243"/>
    </row>
    <row r="82" spans="2:3">
      <c r="B82" s="278" t="s">
        <v>1478</v>
      </c>
      <c r="C82" s="280">
        <f ca="1">1-C83</f>
        <v>0.41100000000000003</v>
      </c>
    </row>
    <row r="83" spans="2:3">
      <c r="B83" s="278" t="s">
        <v>1479</v>
      </c>
      <c r="C83" s="279">
        <f ca="1">ROUND(C13/C40,3)</f>
        <v>0.58899999999999997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43" sqref="I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3308</v>
      </c>
      <c r="E1" s="1546" t="s">
        <v>1352</v>
      </c>
      <c r="F1" s="1191">
        <f ca="1">J53</f>
        <v>47.17</v>
      </c>
      <c r="G1" s="1561">
        <f>MATCH(C1,'数据-取费表'!A6:A16,0)+5</f>
        <v>8</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13563</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664</v>
      </c>
      <c r="D5" s="1547" t="s">
        <v>1367</v>
      </c>
      <c r="E5" s="1201"/>
      <c r="F5" s="1202"/>
      <c r="G5" s="1567"/>
      <c r="H5" s="304">
        <v>1</v>
      </c>
      <c r="I5" s="305" t="s">
        <v>1366</v>
      </c>
      <c r="J5" s="1200">
        <f ca="1">J6+J10+J12</f>
        <v>0</v>
      </c>
      <c r="K5" s="1547" t="s">
        <v>1367</v>
      </c>
      <c r="L5" s="1201"/>
      <c r="M5" s="1202"/>
    </row>
    <row r="6" spans="1:37" ht="18" customHeight="1">
      <c r="A6" s="1199" t="s">
        <v>1003</v>
      </c>
      <c r="B6" s="3349" t="s">
        <v>1368</v>
      </c>
      <c r="C6" s="1204">
        <f ca="1">ROUND(F6*F8*F7*(1-F9)/10000,0)</f>
        <v>664</v>
      </c>
      <c r="D6" s="159" t="s">
        <v>2847</v>
      </c>
      <c r="E6" s="307" t="s">
        <v>1370</v>
      </c>
      <c r="F6" s="308">
        <f ca="1">INDIRECT("'数据-取费表'!u"&amp;$G$1)</f>
        <v>600</v>
      </c>
      <c r="G6" s="1567"/>
      <c r="H6" s="1199" t="s">
        <v>1003</v>
      </c>
      <c r="I6" s="3349" t="s">
        <v>1368</v>
      </c>
      <c r="J6" s="306">
        <f ca="1">ROUND(M6*M8*M7*(1-M9)/10000,0)</f>
        <v>0</v>
      </c>
      <c r="K6" s="159" t="s">
        <v>2846</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1025</v>
      </c>
      <c r="G7" s="1567"/>
      <c r="H7" s="309"/>
      <c r="I7" s="3350"/>
      <c r="J7" s="311"/>
      <c r="K7" s="312"/>
      <c r="L7" s="307" t="s">
        <v>1371</v>
      </c>
      <c r="M7" s="308">
        <f ca="1">F7</f>
        <v>1025</v>
      </c>
    </row>
    <row r="8" spans="1:37" ht="18" customHeight="1">
      <c r="A8" s="309"/>
      <c r="B8" s="3350"/>
      <c r="C8" s="311"/>
      <c r="D8" s="312"/>
      <c r="E8" s="307" t="s">
        <v>1372</v>
      </c>
      <c r="F8" s="308">
        <f ca="1">INDIRECT("'数据-取费表'!ai"&amp;$G$1)</f>
        <v>12</v>
      </c>
      <c r="G8" s="1567"/>
      <c r="H8" s="309"/>
      <c r="I8" s="3350"/>
      <c r="J8" s="311"/>
      <c r="K8" s="312"/>
      <c r="L8" s="307" t="s">
        <v>1372</v>
      </c>
      <c r="M8" s="308">
        <f ca="1">INDIRECT("'数据-取费表'!ai"&amp;$G$1)</f>
        <v>12</v>
      </c>
    </row>
    <row r="9" spans="1:37" ht="18" customHeight="1">
      <c r="A9" s="309"/>
      <c r="B9" s="3351"/>
      <c r="C9" s="311"/>
      <c r="D9" s="312"/>
      <c r="E9" s="307" t="s">
        <v>1373</v>
      </c>
      <c r="F9" s="317">
        <f ca="1">INDIRECT("'数据-取费表'!w"&amp;$G$1)</f>
        <v>0.1</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2855</v>
      </c>
      <c r="E10" s="318" t="s">
        <v>1375</v>
      </c>
      <c r="F10" s="1274" t="s">
        <v>3322</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ROUND(J14*M22,1)</f>
        <v>0</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1.5E-3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118</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111</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35.409999999999997</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75.89</v>
      </c>
      <c r="D33" s="1553" t="s">
        <v>3310</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1527"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0</v>
      </c>
      <c r="D37" s="1527" t="s">
        <v>1419</v>
      </c>
      <c r="E37" s="307" t="s">
        <v>1420</v>
      </c>
      <c r="F37" s="335">
        <f ca="1">INDIRECT("'数据-取费表'!Al"&amp;$G$1)</f>
        <v>1.5E-3</v>
      </c>
      <c r="G37" s="1567"/>
      <c r="H37" s="2918"/>
      <c r="I37" s="1581"/>
      <c r="J37" s="1582"/>
      <c r="K37" s="2760"/>
      <c r="L37" s="2918"/>
      <c r="M37" s="2918"/>
    </row>
    <row r="38" spans="1:18" ht="18" customHeight="1" thickBot="1">
      <c r="A38" s="1247" t="s">
        <v>1358</v>
      </c>
      <c r="B38" s="1248" t="s">
        <v>1404</v>
      </c>
      <c r="C38" s="1249">
        <f ca="1">ROUND(C5*F38,1)</f>
        <v>6.6</v>
      </c>
      <c r="D38" s="1250" t="s">
        <v>1424</v>
      </c>
      <c r="E38" s="1248" t="s">
        <v>1420</v>
      </c>
      <c r="F38" s="1244">
        <f ca="1">INDIRECT("'数据-取费表'!Am"&amp;$G$1)</f>
        <v>0.01</v>
      </c>
      <c r="G38" s="1567"/>
      <c r="H38" s="2918"/>
      <c r="I38" s="1581"/>
      <c r="J38" s="1582"/>
      <c r="K38" s="2922"/>
      <c r="L38" s="2918"/>
      <c r="M38" s="2918"/>
    </row>
    <row r="39" spans="1:18" ht="24.6" customHeight="1" thickTop="1">
      <c r="A39" s="1237" t="s">
        <v>999</v>
      </c>
      <c r="B39" s="1252" t="s">
        <v>1448</v>
      </c>
      <c r="C39" s="315">
        <f ca="1">C5-C30</f>
        <v>546</v>
      </c>
      <c r="D39" s="1253" t="s">
        <v>1449</v>
      </c>
      <c r="E39" s="1254"/>
      <c r="F39" s="1255"/>
      <c r="G39" s="1567"/>
      <c r="H39" s="2918"/>
      <c r="I39" s="1581"/>
      <c r="J39" s="1582"/>
      <c r="K39" s="2922"/>
      <c r="L39" s="2918"/>
      <c r="M39" s="2918"/>
    </row>
    <row r="40" spans="1:18" ht="18" customHeight="1">
      <c r="A40" s="304" t="s">
        <v>1000</v>
      </c>
      <c r="B40" s="305" t="s">
        <v>1450</v>
      </c>
      <c r="C40" s="306">
        <f ca="1">ROUND(C39*(1-((1+F42)/(1+F40))^F41)/(F40-F42),0)</f>
        <v>13563</v>
      </c>
      <c r="D40" s="329" t="s">
        <v>1434</v>
      </c>
      <c r="E40" s="307" t="s">
        <v>1435</v>
      </c>
      <c r="F40" s="317">
        <f ca="1">INDIRECT("'数据-取费表'!I"&amp;$G$1)</f>
        <v>0.05</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47.17</v>
      </c>
      <c r="G41" s="1567"/>
      <c r="H41" s="1351"/>
      <c r="I41" s="1581"/>
      <c r="J41" s="1582"/>
      <c r="K41" s="2760"/>
      <c r="L41" s="1351"/>
      <c r="M41" s="1351"/>
    </row>
    <row r="42" spans="1:18" ht="18" customHeight="1">
      <c r="A42" s="313"/>
      <c r="B42" s="314"/>
      <c r="C42" s="315"/>
      <c r="D42" s="332"/>
      <c r="E42" s="307" t="s">
        <v>1442</v>
      </c>
      <c r="F42" s="317">
        <f ca="1">INDIRECT("'数据-取费表'!v"&amp;$G$1)</f>
        <v>0.02</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-13563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3311</v>
      </c>
      <c r="K47" s="1599" t="s">
        <v>1492</v>
      </c>
      <c r="L47" s="1600">
        <f ca="1">INDIRECT("'数据-取费表'!d"&amp;$G$1)</f>
        <v>50</v>
      </c>
      <c r="M47" s="1563" t="str">
        <f>IF(ISNUMBER(FIND("住宅",C1)),"住宅","非住宅")</f>
        <v>非住宅</v>
      </c>
      <c r="O47" s="1601" t="s">
        <v>1008</v>
      </c>
      <c r="P47" s="1602" t="s">
        <v>1493</v>
      </c>
      <c r="Q47" s="1603">
        <f ca="1">C40+J29</f>
        <v>13563</v>
      </c>
      <c r="R47" s="1603" t="s">
        <v>1494</v>
      </c>
    </row>
    <row r="48" spans="1:18" s="1567" customFormat="1" ht="28.5" thickBot="1">
      <c r="A48" s="1268" t="s">
        <v>1103</v>
      </c>
      <c r="B48" s="305" t="s">
        <v>1366</v>
      </c>
      <c r="C48" s="1542">
        <f ca="1">C49+C53+C55</f>
        <v>0</v>
      </c>
      <c r="D48" s="1270"/>
      <c r="E48" s="1271"/>
      <c r="F48" s="1091"/>
      <c r="G48" s="730"/>
      <c r="H48" s="731"/>
      <c r="I48" s="1604" t="s">
        <v>1495</v>
      </c>
      <c r="J48" s="1605" t="s">
        <v>3312</v>
      </c>
      <c r="K48" s="1606" t="s">
        <v>1496</v>
      </c>
      <c r="L48" s="1607">
        <f ca="1">INDIRECT("'数据-取费表'!f"&amp;$G$1)</f>
        <v>48.47</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5" thickBot="1">
      <c r="A50" s="1105"/>
      <c r="B50" s="1108"/>
      <c r="C50" s="1276"/>
      <c r="D50" s="1082"/>
      <c r="E50" s="1185" t="s">
        <v>1371</v>
      </c>
      <c r="F50" s="1186">
        <f ca="1">F7</f>
        <v>1025</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11268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47.17</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47.17</v>
      </c>
      <c r="K53" s="3352" t="s">
        <v>1513</v>
      </c>
      <c r="L53" s="3353"/>
      <c r="O53" s="1601" t="s">
        <v>1014</v>
      </c>
      <c r="P53" s="1602" t="s">
        <v>1514</v>
      </c>
      <c r="Q53" s="1603">
        <f ca="1">Q47+Q48</f>
        <v>13563</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0</v>
      </c>
      <c r="D56" s="1630"/>
      <c r="E56" s="1631"/>
      <c r="F56" s="1623"/>
      <c r="I56" s="1632" t="s">
        <v>1519</v>
      </c>
      <c r="J56" s="1633" t="s">
        <v>3069</v>
      </c>
      <c r="K56" s="1604" t="s">
        <v>1520</v>
      </c>
      <c r="L56" s="1607" t="str">
        <f ca="1">IF(L48&lt;J51,"——",L48-J53)</f>
        <v>——</v>
      </c>
      <c r="O56" s="1601" t="s">
        <v>1008</v>
      </c>
      <c r="P56" s="1602" t="s">
        <v>1493</v>
      </c>
      <c r="Q56" s="1603">
        <f ca="1">C40+J29</f>
        <v>13563</v>
      </c>
      <c r="R56" s="1603" t="s">
        <v>1494</v>
      </c>
    </row>
    <row r="57" spans="1:18" s="1567" customFormat="1" ht="24.75" thickBot="1">
      <c r="A57" s="1634"/>
      <c r="B57" s="1079" t="s">
        <v>1443</v>
      </c>
      <c r="C57" s="243">
        <f ca="1">C29</f>
        <v>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0</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0</v>
      </c>
      <c r="D61" s="1553" t="s">
        <v>1403</v>
      </c>
      <c r="E61" s="1079"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0</v>
      </c>
      <c r="D62" s="1094" t="s">
        <v>1462</v>
      </c>
      <c r="E62" s="1079" t="s">
        <v>1463</v>
      </c>
      <c r="F62" s="330">
        <f t="shared" si="0"/>
        <v>5</v>
      </c>
      <c r="I62" s="1645" t="s">
        <v>1535</v>
      </c>
      <c r="J62" s="1646" t="s">
        <v>1536</v>
      </c>
      <c r="K62" s="1646" t="s">
        <v>1537</v>
      </c>
      <c r="L62" s="1646" t="s">
        <v>1538</v>
      </c>
      <c r="M62" s="1647" t="s">
        <v>1539</v>
      </c>
      <c r="O62" s="1601" t="s">
        <v>1014</v>
      </c>
      <c r="P62" s="1602" t="s">
        <v>1540</v>
      </c>
      <c r="Q62" s="1603">
        <f ca="1">Q56+Q57</f>
        <v>13563</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0</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0</v>
      </c>
      <c r="D65" s="1093" t="s">
        <v>1419</v>
      </c>
      <c r="E65" s="1079" t="s">
        <v>1420</v>
      </c>
      <c r="F65" s="335">
        <f t="shared" ca="1" si="0"/>
        <v>1.5E-3</v>
      </c>
      <c r="I65" s="1645" t="s">
        <v>1544</v>
      </c>
      <c r="J65" s="1646">
        <v>40</v>
      </c>
      <c r="K65" s="1646">
        <v>30</v>
      </c>
      <c r="L65" s="1646">
        <v>50</v>
      </c>
      <c r="M65" s="1648">
        <v>0.02</v>
      </c>
      <c r="O65" s="1601" t="s">
        <v>1008</v>
      </c>
      <c r="P65" s="1602" t="s">
        <v>1545</v>
      </c>
      <c r="Q65" s="1603">
        <f ca="1">C40+J29</f>
        <v>13563</v>
      </c>
      <c r="R65" s="1603" t="s">
        <v>1494</v>
      </c>
    </row>
    <row r="66" spans="1:18" s="1567" customFormat="1" ht="16.5" thickBot="1">
      <c r="A66" s="1111" t="s">
        <v>1469</v>
      </c>
      <c r="B66" s="1079" t="s">
        <v>1404</v>
      </c>
      <c r="C66" s="24">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11268</v>
      </c>
      <c r="R67" s="1603" t="s">
        <v>1547</v>
      </c>
    </row>
    <row r="68" spans="1:18" s="1567" customFormat="1" ht="16.5" thickBot="1">
      <c r="A68" s="1076" t="s">
        <v>1000</v>
      </c>
      <c r="B68" s="1077" t="s">
        <v>1450</v>
      </c>
      <c r="C68" s="306">
        <f ca="1">ROUND(C67*(1-((1+F70)/(1+F68))^F69)/(F68-F70),0)</f>
        <v>0</v>
      </c>
      <c r="D68" s="1094" t="s">
        <v>1434</v>
      </c>
      <c r="E68" s="1079" t="s">
        <v>1435</v>
      </c>
      <c r="F68" s="317">
        <f ca="1">F40</f>
        <v>0.05</v>
      </c>
      <c r="O68" s="1611" t="s">
        <v>1011</v>
      </c>
      <c r="P68" s="1650" t="s">
        <v>1548</v>
      </c>
      <c r="Q68" s="1603">
        <f ca="1">ROUND(Q69-Q70*Q71,0)</f>
        <v>546</v>
      </c>
      <c r="R68" s="1603" t="s">
        <v>1019</v>
      </c>
    </row>
    <row r="69" spans="1:18" s="1567" customFormat="1" ht="13.5" thickBot="1">
      <c r="A69" s="1080"/>
      <c r="B69" s="1081"/>
      <c r="C69" s="311"/>
      <c r="D69" s="1099" t="s">
        <v>1438</v>
      </c>
      <c r="E69" s="1079" t="s">
        <v>1439</v>
      </c>
      <c r="F69" s="338">
        <f ca="1">F41</f>
        <v>47.17</v>
      </c>
      <c r="O69" s="1611" t="s">
        <v>1016</v>
      </c>
      <c r="P69" s="1650" t="s">
        <v>1549</v>
      </c>
      <c r="Q69" s="1603">
        <f ca="1">C39</f>
        <v>546</v>
      </c>
      <c r="R69" s="1603" t="s">
        <v>1494</v>
      </c>
    </row>
    <row r="70" spans="1:18" s="1567" customFormat="1" ht="13.5" thickBot="1">
      <c r="A70" s="1083"/>
      <c r="B70" s="1084"/>
      <c r="C70" s="315"/>
      <c r="D70" s="1095"/>
      <c r="E70" s="1079" t="s">
        <v>1442</v>
      </c>
      <c r="F70" s="1183"/>
      <c r="O70" s="1611" t="s">
        <v>1017</v>
      </c>
      <c r="P70" s="1650" t="s">
        <v>1550</v>
      </c>
      <c r="Q70" s="1603">
        <f ca="1">C13</f>
        <v>0</v>
      </c>
      <c r="R70" s="1603" t="s">
        <v>1494</v>
      </c>
    </row>
    <row r="71" spans="1:18" s="1567" customFormat="1" ht="13.5" thickBot="1">
      <c r="A71" s="1100" t="s">
        <v>1001</v>
      </c>
      <c r="B71" s="1101" t="s">
        <v>1452</v>
      </c>
      <c r="C71" s="341" t="e">
        <f ca="1">ROUND(C68*10000/F71,0)</f>
        <v>#DIV/0!</v>
      </c>
      <c r="D71" s="1102" t="s">
        <v>1453</v>
      </c>
      <c r="E71" s="1103" t="s">
        <v>1454</v>
      </c>
      <c r="F71" s="344">
        <f ca="1">F43</f>
        <v>0</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13563</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-1.3</v>
      </c>
      <c r="G1" s="1561">
        <f>MATCH(C1,'数据-取费表'!A6:A16,0)+5</f>
        <v>9</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24"/>
      <c r="H2" s="2913"/>
      <c r="I2" s="2913"/>
      <c r="J2" s="2913"/>
      <c r="K2" s="2914"/>
      <c r="L2" s="2913"/>
      <c r="M2" s="2913"/>
    </row>
    <row r="3" spans="1:37" ht="18" customHeight="1" thickBot="1">
      <c r="A3" s="1573" t="s">
        <v>1558</v>
      </c>
      <c r="B3" s="1574">
        <f ca="1">IF(ISERROR(D2/F43),0,ROUND(D2/F43,0))</f>
        <v>0</v>
      </c>
      <c r="C3" s="1570" t="s">
        <v>1559</v>
      </c>
      <c r="D3" s="1570"/>
      <c r="E3" s="1571"/>
      <c r="F3" s="1572"/>
      <c r="G3" s="292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49" t="s">
        <v>1368</v>
      </c>
      <c r="C6" s="1204">
        <f ca="1">ROUND(F6*F8*F7*(1-F9),0)</f>
        <v>0</v>
      </c>
      <c r="D6" s="159" t="s">
        <v>2844</v>
      </c>
      <c r="E6" s="307" t="s">
        <v>1370</v>
      </c>
      <c r="F6" s="308">
        <f ca="1">INDIRECT("'数据-取费表'!u"&amp;$G$1)</f>
        <v>0</v>
      </c>
      <c r="G6" s="1567"/>
      <c r="H6" s="1199" t="s">
        <v>1003</v>
      </c>
      <c r="I6" s="3349" t="s">
        <v>1368</v>
      </c>
      <c r="J6" s="306">
        <f ca="1">ROUND(M6*M8*M7*(1-M9),0)</f>
        <v>0</v>
      </c>
      <c r="K6" s="1559" t="s">
        <v>2845</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0</v>
      </c>
      <c r="G7" s="1567"/>
      <c r="H7" s="309"/>
      <c r="I7" s="3350"/>
      <c r="J7" s="311"/>
      <c r="K7" s="312"/>
      <c r="L7" s="307" t="s">
        <v>1371</v>
      </c>
      <c r="M7" s="308">
        <f ca="1">F7</f>
        <v>0</v>
      </c>
    </row>
    <row r="8" spans="1:37" ht="18" customHeight="1">
      <c r="A8" s="309"/>
      <c r="B8" s="3350"/>
      <c r="C8" s="311"/>
      <c r="D8" s="312"/>
      <c r="E8" s="307" t="s">
        <v>1372</v>
      </c>
      <c r="F8" s="308">
        <f ca="1">INDIRECT("'数据-取费表'!ai"&amp;$G$1)</f>
        <v>0</v>
      </c>
      <c r="G8" s="1567"/>
      <c r="H8" s="309"/>
      <c r="I8" s="3350"/>
      <c r="J8" s="311"/>
      <c r="K8" s="312"/>
      <c r="L8" s="307" t="s">
        <v>1372</v>
      </c>
      <c r="M8" s="308">
        <f ca="1">INDIRECT("'数据-取费表'!ai"&amp;$G$1)</f>
        <v>0</v>
      </c>
    </row>
    <row r="9" spans="1:37" ht="18" customHeight="1">
      <c r="A9" s="309"/>
      <c r="B9" s="3351"/>
      <c r="C9" s="311"/>
      <c r="D9" s="312"/>
      <c r="E9" s="307" t="s">
        <v>1373</v>
      </c>
      <c r="F9" s="317">
        <f ca="1">INDIRECT("'数据-取费表'!w"&amp;$G$1)</f>
        <v>0</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2854</v>
      </c>
      <c r="E10" s="318" t="s">
        <v>1375</v>
      </c>
      <c r="F10" s="1274"/>
      <c r="G10" s="1567"/>
      <c r="H10" s="1199" t="s">
        <v>1007</v>
      </c>
      <c r="I10" s="1548" t="s">
        <v>1374</v>
      </c>
      <c r="J10" s="306">
        <f ca="1">ROUND(IF(M10="押一",J6/12*M11,IF(M10="押二",J6/12*2*M11,IF(M10="押三",J6/12*3*M11,J11*M11))),0)</f>
        <v>0</v>
      </c>
      <c r="K10" s="1560" t="s">
        <v>2856</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ROUND(M20*M21,0)</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0</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0</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IF(项目基本情况!B11="自然人","——",ROUND(C6*F32/(1+'数据-取费表'!C42),0))</f>
        <v>0</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18"/>
      <c r="I33" s="1581"/>
      <c r="J33" s="1582"/>
      <c r="K33" s="2919"/>
      <c r="L33" s="2918"/>
      <c r="M33" s="2918"/>
    </row>
    <row r="34" spans="1:18" ht="18" customHeight="1">
      <c r="A34" s="1199" t="s">
        <v>1354</v>
      </c>
      <c r="B34" s="159" t="s">
        <v>1406</v>
      </c>
      <c r="C34" s="25">
        <f ca="1">IF(项目基本情况!B11="自然人","——",ROUND(F34*F35,))</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ROUND(C29*F36,0)</f>
        <v>0</v>
      </c>
      <c r="D36" s="1527" t="s">
        <v>1447</v>
      </c>
      <c r="E36" s="307" t="s">
        <v>1387</v>
      </c>
      <c r="F36" s="333">
        <f ca="1">INDIRECT("'数据-取费表'!Ak"&amp;$G$1)</f>
        <v>0</v>
      </c>
      <c r="G36" s="1567"/>
      <c r="H36" s="2918"/>
      <c r="I36" s="1581"/>
      <c r="J36" s="1582"/>
      <c r="K36" s="2760"/>
      <c r="L36" s="2918"/>
      <c r="M36" s="2918"/>
    </row>
    <row r="37" spans="1:18" ht="18" customHeight="1">
      <c r="A37" s="1111" t="s">
        <v>1043</v>
      </c>
      <c r="B37" s="307" t="s">
        <v>1418</v>
      </c>
      <c r="C37" s="24">
        <f ca="1">ROUND(C13*F37,0)</f>
        <v>0</v>
      </c>
      <c r="D37" s="1527" t="s">
        <v>1419</v>
      </c>
      <c r="E37" s="307" t="s">
        <v>1420</v>
      </c>
      <c r="F37" s="335">
        <f ca="1">INDIRECT("'数据-取费表'!Al"&amp;$G$1)</f>
        <v>0</v>
      </c>
      <c r="G37" s="1567"/>
      <c r="H37" s="2918"/>
      <c r="I37" s="1581"/>
      <c r="J37" s="1582"/>
      <c r="K37" s="2760"/>
      <c r="L37" s="2918"/>
      <c r="M37" s="2918"/>
    </row>
    <row r="38" spans="1:18" ht="18" customHeight="1" thickBot="1">
      <c r="A38" s="1247" t="s">
        <v>1358</v>
      </c>
      <c r="B38" s="1248" t="s">
        <v>1404</v>
      </c>
      <c r="C38" s="1249">
        <f ca="1">ROUND(C5*F38,1)</f>
        <v>0</v>
      </c>
      <c r="D38" s="1250" t="s">
        <v>1424</v>
      </c>
      <c r="E38" s="1248" t="s">
        <v>1420</v>
      </c>
      <c r="F38" s="1244">
        <f ca="1">INDIRECT("'数据-取费表'!Am"&amp;$G$1)</f>
        <v>0</v>
      </c>
      <c r="G38" s="1567"/>
      <c r="H38" s="2918"/>
      <c r="I38" s="1581"/>
      <c r="J38" s="1582"/>
      <c r="K38" s="2922"/>
      <c r="L38" s="2918"/>
      <c r="M38" s="2918"/>
    </row>
    <row r="39" spans="1:18" ht="24.6" customHeight="1" thickTop="1">
      <c r="A39" s="1237" t="s">
        <v>999</v>
      </c>
      <c r="B39" s="1252" t="s">
        <v>1448</v>
      </c>
      <c r="C39" s="315">
        <f ca="1">C5-C30</f>
        <v>0</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0"/>
      <c r="L41" s="1351"/>
      <c r="M41" s="1351"/>
    </row>
    <row r="42" spans="1:18" ht="18" customHeight="1">
      <c r="A42" s="313"/>
      <c r="B42" s="314"/>
      <c r="C42" s="315"/>
      <c r="D42" s="332"/>
      <c r="E42" s="307" t="s">
        <v>1442</v>
      </c>
      <c r="F42" s="317">
        <f ca="1">INDIRECT("'数据-取费表'!v"&amp;$G$1)</f>
        <v>0</v>
      </c>
      <c r="G42" s="1567"/>
      <c r="H42" s="1351"/>
      <c r="I42" s="1581"/>
      <c r="J42" s="1582"/>
      <c r="K42" s="2760"/>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-1.3</v>
      </c>
      <c r="R52" s="1603" t="s">
        <v>1511</v>
      </c>
    </row>
    <row r="53" spans="1:18" s="1567" customFormat="1" ht="30.75" customHeight="1" thickBot="1">
      <c r="A53" s="1269" t="s">
        <v>1105</v>
      </c>
      <c r="B53" s="328" t="s">
        <v>1374</v>
      </c>
      <c r="C53" s="321">
        <f ca="1">ROUND(IF(F53="押一",C49/12*F11,IF(F53="押二",C49/12*2*F11,IF(F53="押三",C49/12*3*F11,C54*F11))),0)</f>
        <v>0</v>
      </c>
      <c r="D53" s="1549" t="s">
        <v>2857</v>
      </c>
      <c r="E53" s="318" t="s">
        <v>1375</v>
      </c>
      <c r="F53" s="1274"/>
      <c r="I53" s="1622" t="s">
        <v>1512</v>
      </c>
      <c r="J53" s="2380">
        <f ca="1">IF(M47="住宅",IF(D1="——",MAX(J51,L48),MAX(J51,L48-'数据-取费表'!B24)),IF(D1="——",MIN(J51,L48),MIN(J51,L48-'数据-取费表'!B24)))</f>
        <v>-1.3</v>
      </c>
      <c r="K53" s="3352" t="s">
        <v>1513</v>
      </c>
      <c r="L53" s="3353"/>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0" t="s">
        <v>2344</v>
      </c>
      <c r="B1" s="2051"/>
      <c r="C1" s="2051"/>
      <c r="D1" s="2051"/>
      <c r="E1" s="2052"/>
      <c r="F1" s="2925"/>
      <c r="G1" s="1673"/>
      <c r="H1" s="1673"/>
      <c r="I1" s="1673"/>
      <c r="J1" s="1673"/>
      <c r="K1" s="1673"/>
      <c r="L1" s="1673"/>
      <c r="M1" s="1673"/>
      <c r="N1" s="1673"/>
      <c r="O1" s="1673"/>
      <c r="P1" s="1673"/>
      <c r="Q1" s="1673"/>
      <c r="R1" s="1673"/>
      <c r="S1" s="1673"/>
    </row>
    <row r="2" spans="1:22" ht="15.75">
      <c r="A2" s="2053" t="s">
        <v>2148</v>
      </c>
      <c r="B2" s="2054">
        <f ca="1">SUMIF(B6:B13,"&lt;&gt;#ref!",B6:B13)</f>
        <v>29762</v>
      </c>
      <c r="C2" s="2055" t="s">
        <v>2337</v>
      </c>
      <c r="D2" s="2056" t="s">
        <v>2338</v>
      </c>
      <c r="E2" s="2823">
        <f>SUM(E6:E13)</f>
        <v>27000</v>
      </c>
      <c r="F2" s="2925"/>
      <c r="G2" s="1673"/>
      <c r="H2" s="1673"/>
      <c r="I2" s="1673"/>
      <c r="J2" s="1673"/>
      <c r="K2" s="1673"/>
      <c r="L2" s="1673"/>
      <c r="M2" s="1673"/>
      <c r="N2" s="1673"/>
      <c r="O2" s="1673"/>
      <c r="P2" s="1673"/>
      <c r="Q2" s="1673"/>
      <c r="R2" s="1673"/>
      <c r="S2" s="1673"/>
    </row>
    <row r="3" spans="1:22" ht="15.75">
      <c r="A3" s="2053" t="s">
        <v>1360</v>
      </c>
      <c r="B3" s="2817">
        <f ca="1">ROUND(B2*10000/E2,0)</f>
        <v>11023</v>
      </c>
      <c r="C3" s="2055" t="s">
        <v>2345</v>
      </c>
      <c r="D3" s="2927"/>
      <c r="E3" s="2929"/>
      <c r="F3" s="2925"/>
      <c r="G3" s="1673"/>
      <c r="H3" s="1673"/>
      <c r="I3" s="1673"/>
      <c r="J3" s="1673"/>
      <c r="K3" s="1673"/>
      <c r="L3" s="1673"/>
      <c r="M3" s="1673"/>
      <c r="N3" s="1673"/>
      <c r="O3" s="1673"/>
      <c r="P3" s="1673"/>
      <c r="Q3" s="1673"/>
      <c r="R3" s="1673"/>
      <c r="S3" s="1673"/>
    </row>
    <row r="4" spans="1:22" ht="15.75">
      <c r="A4" s="2930"/>
      <c r="B4" s="2927"/>
      <c r="C4" s="2927"/>
      <c r="D4" s="2927"/>
      <c r="E4" s="2929"/>
      <c r="F4" s="2925"/>
      <c r="G4" s="1673"/>
      <c r="H4" s="1673"/>
      <c r="I4" s="1673"/>
      <c r="J4" s="1673"/>
      <c r="K4" s="1673"/>
      <c r="L4" s="1673"/>
      <c r="M4" s="1673"/>
      <c r="N4" s="1673"/>
      <c r="O4" s="1673"/>
      <c r="P4" s="1673"/>
      <c r="Q4" s="1673"/>
      <c r="R4" s="1673"/>
      <c r="S4" s="1673"/>
    </row>
    <row r="5" spans="1:22" ht="15">
      <c r="A5" s="2819" t="s">
        <v>2339</v>
      </c>
      <c r="B5" s="3354" t="s">
        <v>2340</v>
      </c>
      <c r="C5" s="3355"/>
      <c r="D5" s="2926"/>
      <c r="E5" s="2057" t="s">
        <v>2341</v>
      </c>
      <c r="F5" s="2058" t="s">
        <v>2342</v>
      </c>
      <c r="G5" s="1673"/>
      <c r="H5" s="1673"/>
      <c r="I5" s="1673"/>
      <c r="J5" s="1673"/>
      <c r="K5" s="1673"/>
      <c r="L5" s="1673"/>
      <c r="M5" s="1673"/>
      <c r="N5" s="1673"/>
      <c r="O5" s="1673"/>
      <c r="P5" s="1673"/>
      <c r="Q5" s="1673"/>
      <c r="R5" s="1673"/>
      <c r="S5" s="1673"/>
    </row>
    <row r="6" spans="1:22">
      <c r="A6" s="2820">
        <f>'数据-取费表'!AN6</f>
        <v>0</v>
      </c>
      <c r="B6" s="2818" t="e">
        <f ca="1">IF(F6="是",'数据-取费表'!AO6,0)</f>
        <v>#REF!</v>
      </c>
      <c r="C6" s="2055" t="s">
        <v>2337</v>
      </c>
      <c r="D6" s="2927"/>
      <c r="E6" s="2822">
        <f>IF(OR(A6=0,F6="否"),0,'数据-取费表'!K6+'数据-取费表'!S6)</f>
        <v>0</v>
      </c>
      <c r="F6" s="2059" t="s">
        <v>2343</v>
      </c>
      <c r="G6" s="1673"/>
      <c r="H6" s="1673"/>
      <c r="I6" s="1673"/>
      <c r="J6" s="1673"/>
      <c r="K6" s="1673"/>
      <c r="L6" s="1673"/>
      <c r="M6" s="1673"/>
      <c r="N6" s="1673"/>
      <c r="O6" s="1673"/>
      <c r="P6" s="1673"/>
      <c r="Q6" s="1673"/>
      <c r="R6" s="1673"/>
      <c r="S6" s="1673"/>
    </row>
    <row r="7" spans="1:22">
      <c r="A7" s="2820" t="str">
        <f>'数据-取费表'!AN7</f>
        <v>收益法-自持</v>
      </c>
      <c r="B7" s="2818">
        <f ca="1">IF(F7="是",'数据-取费表'!AO7,0)</f>
        <v>16199</v>
      </c>
      <c r="C7" s="2055" t="s">
        <v>2337</v>
      </c>
      <c r="D7" s="2927"/>
      <c r="E7" s="2822">
        <f>IF(OR(A7=0,F7="否"),0,'数据-取费表'!K7+'数据-取费表'!S7)</f>
        <v>27000</v>
      </c>
      <c r="F7" s="2059" t="s">
        <v>2343</v>
      </c>
      <c r="G7" s="1673"/>
      <c r="H7" s="1673"/>
      <c r="I7" s="1673"/>
      <c r="J7" s="1673"/>
      <c r="K7" s="1673"/>
      <c r="L7" s="1673"/>
      <c r="M7" s="1673"/>
      <c r="N7" s="1673"/>
      <c r="O7" s="1673"/>
      <c r="P7" s="1673"/>
      <c r="Q7" s="1673"/>
      <c r="R7" s="1673"/>
      <c r="S7" s="1673"/>
    </row>
    <row r="8" spans="1:22">
      <c r="A8" s="2820" t="str">
        <f>'数据-取费表'!AN8</f>
        <v>收益法-车位</v>
      </c>
      <c r="B8" s="2818">
        <f ca="1">IF(F8="是",'数据-取费表'!AO8,0)</f>
        <v>13563</v>
      </c>
      <c r="C8" s="2055" t="s">
        <v>2337</v>
      </c>
      <c r="D8" s="2927"/>
      <c r="E8" s="2822">
        <f>IF(OR(A8=0,F8="否"),0,'数据-取费表'!K8+'数据-取费表'!S8)</f>
        <v>0</v>
      </c>
      <c r="F8" s="2059" t="s">
        <v>2343</v>
      </c>
      <c r="G8" s="1673"/>
      <c r="H8" s="1673"/>
      <c r="I8" s="1673"/>
      <c r="J8" s="1673"/>
      <c r="K8" s="1673"/>
      <c r="L8" s="1673"/>
      <c r="M8" s="1673"/>
      <c r="N8" s="1673"/>
      <c r="O8" s="1673"/>
      <c r="P8" s="1673"/>
      <c r="Q8" s="1673"/>
      <c r="R8" s="1673"/>
      <c r="S8" s="1673"/>
    </row>
    <row r="9" spans="1:22">
      <c r="A9" s="2820">
        <f>'数据-取费表'!AN9</f>
        <v>0</v>
      </c>
      <c r="B9" s="2818" t="e">
        <f ca="1">IF(F9="是",'数据-取费表'!AO9,0)</f>
        <v>#REF!</v>
      </c>
      <c r="C9" s="2055" t="s">
        <v>2337</v>
      </c>
      <c r="D9" s="2927"/>
      <c r="E9" s="2822">
        <f>IF(OR(A9=0,F9="否"),0,'数据-取费表'!K9+'数据-取费表'!S9)</f>
        <v>0</v>
      </c>
      <c r="F9" s="2059" t="s">
        <v>2343</v>
      </c>
      <c r="G9" s="1673"/>
      <c r="H9" s="1673"/>
      <c r="I9" s="1673"/>
      <c r="J9" s="1673"/>
      <c r="K9" s="1673"/>
      <c r="L9" s="1673"/>
      <c r="M9" s="1673"/>
      <c r="N9" s="1673"/>
      <c r="O9" s="1673"/>
      <c r="P9" s="1673"/>
      <c r="Q9" s="1673"/>
      <c r="R9" s="1673"/>
      <c r="S9" s="1673"/>
    </row>
    <row r="10" spans="1:22">
      <c r="A10" s="2820">
        <f>'数据-取费表'!AN10</f>
        <v>0</v>
      </c>
      <c r="B10" s="2818" t="e">
        <f ca="1">IF(F10="是",'数据-取费表'!AO10,0)</f>
        <v>#REF!</v>
      </c>
      <c r="C10" s="2055" t="s">
        <v>2337</v>
      </c>
      <c r="D10" s="2927"/>
      <c r="E10" s="2822">
        <f>IF(OR(A10=0,F10="否"),0,'数据-取费表'!K10+'数据-取费表'!S10)</f>
        <v>0</v>
      </c>
      <c r="F10" s="2059" t="s">
        <v>2343</v>
      </c>
      <c r="G10" s="1673"/>
      <c r="H10" s="1673"/>
      <c r="I10" s="1673"/>
      <c r="J10" s="1673"/>
      <c r="K10" s="1673"/>
      <c r="L10" s="1673"/>
      <c r="M10" s="1673"/>
      <c r="N10" s="1673"/>
      <c r="O10" s="1673"/>
      <c r="P10" s="1673"/>
      <c r="Q10" s="1673"/>
      <c r="R10" s="1673"/>
      <c r="S10" s="1673"/>
    </row>
    <row r="11" spans="1:22">
      <c r="A11" s="2820">
        <f>'数据-取费表'!AN11</f>
        <v>0</v>
      </c>
      <c r="B11" s="2818" t="e">
        <f ca="1">IF(F11="是",'数据-取费表'!AO11,0)</f>
        <v>#REF!</v>
      </c>
      <c r="C11" s="2055" t="s">
        <v>2337</v>
      </c>
      <c r="D11" s="2927"/>
      <c r="E11" s="2822">
        <f>IF(OR(A11=0,F11="否"),0,'数据-取费表'!K11+'数据-取费表'!S11)</f>
        <v>0</v>
      </c>
      <c r="F11" s="2059" t="s">
        <v>2343</v>
      </c>
      <c r="G11" s="1673"/>
      <c r="H11" s="1673"/>
      <c r="I11" s="1673"/>
      <c r="J11" s="1673"/>
      <c r="K11" s="1673"/>
      <c r="L11" s="1673"/>
      <c r="M11" s="1673"/>
      <c r="N11" s="1673"/>
      <c r="O11" s="1673"/>
      <c r="P11" s="1673"/>
      <c r="Q11" s="1673"/>
      <c r="R11" s="1673"/>
      <c r="S11" s="1673"/>
    </row>
    <row r="12" spans="1:22">
      <c r="A12" s="2820">
        <f>'数据-取费表'!AN12</f>
        <v>0</v>
      </c>
      <c r="B12" s="2818" t="e">
        <f ca="1">IF(F12="是",'数据-取费表'!AO12,0)</f>
        <v>#REF!</v>
      </c>
      <c r="C12" s="2055" t="s">
        <v>2337</v>
      </c>
      <c r="D12" s="2927"/>
      <c r="E12" s="2822">
        <f>IF(OR(A12=0,F12="否"),0,'数据-取费表'!K12+'数据-取费表'!S12)</f>
        <v>0</v>
      </c>
      <c r="F12" s="2059" t="s">
        <v>2343</v>
      </c>
      <c r="G12" s="1673"/>
      <c r="H12" s="1673"/>
      <c r="I12" s="1673"/>
      <c r="J12" s="1673"/>
      <c r="K12" s="1673"/>
      <c r="L12" s="1673"/>
      <c r="M12" s="1673"/>
      <c r="N12" s="1673"/>
      <c r="O12" s="1673"/>
      <c r="P12" s="1673"/>
      <c r="Q12" s="1673"/>
      <c r="R12" s="1673"/>
      <c r="S12" s="1673"/>
    </row>
    <row r="13" spans="1:22" ht="15" thickBot="1">
      <c r="A13" s="2821">
        <f>'数据-取费表'!AN13</f>
        <v>0</v>
      </c>
      <c r="B13" s="2818" t="e">
        <f ca="1">IF(F13="是",'数据-取费表'!AO13,0)</f>
        <v>#REF!</v>
      </c>
      <c r="C13" s="2060" t="s">
        <v>2337</v>
      </c>
      <c r="D13" s="2928"/>
      <c r="E13" s="2822">
        <f>IF(OR(A13=0,F13="否"),0,'数据-取费表'!K13+'数据-取费表'!S13)</f>
        <v>0</v>
      </c>
      <c r="F13" s="2059"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2" t="s">
        <v>1044</v>
      </c>
      <c r="B1" s="3373"/>
      <c r="C1" s="3374"/>
      <c r="D1" s="3375">
        <f>SUM(I10,I15,I20,I21,I23)</f>
        <v>0</v>
      </c>
      <c r="E1" s="3375"/>
      <c r="F1" s="3375"/>
      <c r="G1" s="3375"/>
      <c r="H1" s="3375"/>
      <c r="I1" s="3376"/>
    </row>
    <row r="2" spans="1:9">
      <c r="A2" s="3362" t="s">
        <v>1045</v>
      </c>
      <c r="B2" s="3363" t="s">
        <v>1046</v>
      </c>
      <c r="C2" s="3363"/>
      <c r="D2" s="1209" t="s">
        <v>1047</v>
      </c>
      <c r="E2" s="1209" t="s">
        <v>1048</v>
      </c>
      <c r="F2" s="1209" t="s">
        <v>1049</v>
      </c>
      <c r="G2" s="1209" t="s">
        <v>1050</v>
      </c>
      <c r="H2" s="1209" t="s">
        <v>1051</v>
      </c>
      <c r="I2" s="1210" t="s">
        <v>1052</v>
      </c>
    </row>
    <row r="3" spans="1:9">
      <c r="A3" s="3362"/>
      <c r="B3" s="3363" t="s">
        <v>1053</v>
      </c>
      <c r="C3" s="3363"/>
      <c r="D3" s="1211"/>
      <c r="E3" s="1209"/>
      <c r="F3" s="1212"/>
      <c r="G3" s="1212"/>
      <c r="H3" s="1213"/>
      <c r="I3" s="1214">
        <f>ROUND(D3*E3*F3*G3*H3/10000,0)</f>
        <v>0</v>
      </c>
    </row>
    <row r="4" spans="1:9">
      <c r="A4" s="3362"/>
      <c r="B4" s="3363" t="s">
        <v>1054</v>
      </c>
      <c r="C4" s="3363"/>
      <c r="D4" s="1211"/>
      <c r="E4" s="1209"/>
      <c r="F4" s="1212"/>
      <c r="G4" s="1212"/>
      <c r="H4" s="1213"/>
      <c r="I4" s="1214">
        <f t="shared" ref="I4:I9" si="0">ROUND(D4*E4*F4*G4*H4/10000,0)</f>
        <v>0</v>
      </c>
    </row>
    <row r="5" spans="1:9">
      <c r="A5" s="3362"/>
      <c r="B5" s="3363" t="s">
        <v>1055</v>
      </c>
      <c r="C5" s="3363"/>
      <c r="D5" s="1211"/>
      <c r="E5" s="1209"/>
      <c r="F5" s="1212"/>
      <c r="G5" s="1212"/>
      <c r="H5" s="1213"/>
      <c r="I5" s="1214">
        <f t="shared" si="0"/>
        <v>0</v>
      </c>
    </row>
    <row r="6" spans="1:9">
      <c r="A6" s="3362"/>
      <c r="B6" s="3363" t="s">
        <v>1056</v>
      </c>
      <c r="C6" s="3363"/>
      <c r="D6" s="1211"/>
      <c r="E6" s="1209"/>
      <c r="F6" s="1212"/>
      <c r="G6" s="1212"/>
      <c r="H6" s="1213"/>
      <c r="I6" s="1214">
        <f t="shared" si="0"/>
        <v>0</v>
      </c>
    </row>
    <row r="7" spans="1:9">
      <c r="A7" s="3362"/>
      <c r="B7" s="3363" t="s">
        <v>1057</v>
      </c>
      <c r="C7" s="3363"/>
      <c r="D7" s="1211"/>
      <c r="E7" s="1209"/>
      <c r="F7" s="1212"/>
      <c r="G7" s="1212"/>
      <c r="H7" s="1213"/>
      <c r="I7" s="1214">
        <f t="shared" si="0"/>
        <v>0</v>
      </c>
    </row>
    <row r="8" spans="1:9">
      <c r="A8" s="3362"/>
      <c r="B8" s="3363" t="s">
        <v>1058</v>
      </c>
      <c r="C8" s="3363"/>
      <c r="D8" s="1211"/>
      <c r="E8" s="1209"/>
      <c r="F8" s="1212"/>
      <c r="G8" s="1212"/>
      <c r="H8" s="1213"/>
      <c r="I8" s="1214">
        <f t="shared" si="0"/>
        <v>0</v>
      </c>
    </row>
    <row r="9" spans="1:9">
      <c r="A9" s="3362"/>
      <c r="B9" s="3363" t="s">
        <v>1059</v>
      </c>
      <c r="C9" s="3363"/>
      <c r="D9" s="1211"/>
      <c r="E9" s="1209"/>
      <c r="F9" s="1212"/>
      <c r="G9" s="1212"/>
      <c r="H9" s="1213"/>
      <c r="I9" s="1214">
        <f t="shared" si="0"/>
        <v>0</v>
      </c>
    </row>
    <row r="10" spans="1:9">
      <c r="A10" s="3362"/>
      <c r="B10" s="3364" t="s">
        <v>1060</v>
      </c>
      <c r="C10" s="3364"/>
      <c r="D10" s="1215"/>
      <c r="E10" s="1215" t="e">
        <f>ROUND(D1*10000/D10/H9,0)</f>
        <v>#DIV/0!</v>
      </c>
      <c r="F10" s="1216"/>
      <c r="G10" s="1216"/>
      <c r="H10" s="1217"/>
      <c r="I10" s="1218">
        <f>SUM(I3:I9)</f>
        <v>0</v>
      </c>
    </row>
    <row r="11" spans="1:9" ht="14.25">
      <c r="A11" s="3362" t="s">
        <v>1061</v>
      </c>
      <c r="B11" s="3363" t="s">
        <v>1062</v>
      </c>
      <c r="C11" s="3363"/>
      <c r="D11" s="1211" t="s">
        <v>1063</v>
      </c>
      <c r="E11" s="1211" t="s">
        <v>1064</v>
      </c>
      <c r="F11" s="1212" t="s">
        <v>1065</v>
      </c>
      <c r="G11" s="1212" t="s">
        <v>1051</v>
      </c>
      <c r="H11" s="1219" t="s">
        <v>1066</v>
      </c>
      <c r="I11" s="1210" t="s">
        <v>1052</v>
      </c>
    </row>
    <row r="12" spans="1:9">
      <c r="A12" s="3362"/>
      <c r="B12" s="3363" t="s">
        <v>1067</v>
      </c>
      <c r="C12" s="3363"/>
      <c r="D12" s="1211"/>
      <c r="E12" s="1211"/>
      <c r="F12" s="1212"/>
      <c r="G12" s="1213"/>
      <c r="H12" s="1220"/>
      <c r="I12" s="1210">
        <f>ROUND(D12*E12*F12*G12/10000,0)</f>
        <v>0</v>
      </c>
    </row>
    <row r="13" spans="1:9">
      <c r="A13" s="3362"/>
      <c r="B13" s="3363" t="s">
        <v>1068</v>
      </c>
      <c r="C13" s="3363"/>
      <c r="D13" s="1211"/>
      <c r="E13" s="1211"/>
      <c r="F13" s="1212"/>
      <c r="G13" s="1213"/>
      <c r="H13" s="1220"/>
      <c r="I13" s="1210">
        <f>ROUND(D13*E13*F13*G13/10000,0)</f>
        <v>0</v>
      </c>
    </row>
    <row r="14" spans="1:9">
      <c r="A14" s="3362"/>
      <c r="B14" s="3363" t="s">
        <v>1069</v>
      </c>
      <c r="C14" s="3363"/>
      <c r="D14" s="1211"/>
      <c r="E14" s="1211"/>
      <c r="F14" s="1212"/>
      <c r="G14" s="1213"/>
      <c r="H14" s="1220"/>
      <c r="I14" s="1210">
        <f>ROUND(D14*E14*F14*G14/10000,0)</f>
        <v>0</v>
      </c>
    </row>
    <row r="15" spans="1:9">
      <c r="A15" s="3362"/>
      <c r="B15" s="3364" t="s">
        <v>1060</v>
      </c>
      <c r="C15" s="3364"/>
      <c r="D15" s="1215"/>
      <c r="E15" s="1215">
        <f>SUM(E12:E14)</f>
        <v>0</v>
      </c>
      <c r="F15" s="1216"/>
      <c r="G15" s="1213"/>
      <c r="H15" s="1220"/>
      <c r="I15" s="1221">
        <f>SUM(I12:I14)</f>
        <v>0</v>
      </c>
    </row>
    <row r="16" spans="1:9" ht="24">
      <c r="A16" s="3362" t="s">
        <v>1070</v>
      </c>
      <c r="B16" s="3363" t="s">
        <v>1071</v>
      </c>
      <c r="C16" s="3363"/>
      <c r="D16" s="1211" t="s">
        <v>1047</v>
      </c>
      <c r="E16" s="1222" t="s">
        <v>1072</v>
      </c>
      <c r="F16" s="1212" t="s">
        <v>1073</v>
      </c>
      <c r="G16" s="1213" t="s">
        <v>1051</v>
      </c>
      <c r="H16" s="1219" t="s">
        <v>1066</v>
      </c>
      <c r="I16" s="1210" t="s">
        <v>1052</v>
      </c>
    </row>
    <row r="17" spans="1:9" ht="14.25">
      <c r="A17" s="3362"/>
      <c r="B17" s="3363" t="s">
        <v>1074</v>
      </c>
      <c r="C17" s="3363"/>
      <c r="D17" s="1211"/>
      <c r="E17" s="1211"/>
      <c r="F17" s="1212"/>
      <c r="G17" s="1213"/>
      <c r="H17" s="1223"/>
      <c r="I17" s="1224">
        <f>ROUND(D17*E17*F17*G17/10000,0)</f>
        <v>0</v>
      </c>
    </row>
    <row r="18" spans="1:9" ht="14.25">
      <c r="A18" s="3362"/>
      <c r="B18" s="3363" t="s">
        <v>1075</v>
      </c>
      <c r="C18" s="3363"/>
      <c r="D18" s="1211"/>
      <c r="E18" s="1211"/>
      <c r="F18" s="1212"/>
      <c r="G18" s="1213"/>
      <c r="H18" s="1223"/>
      <c r="I18" s="1224">
        <f>ROUND(D18*E18*F18*G18/10000,0)</f>
        <v>0</v>
      </c>
    </row>
    <row r="19" spans="1:9" ht="14.25">
      <c r="A19" s="3362"/>
      <c r="B19" s="3363" t="s">
        <v>1076</v>
      </c>
      <c r="C19" s="3363"/>
      <c r="D19" s="1211"/>
      <c r="E19" s="1211"/>
      <c r="F19" s="1212"/>
      <c r="G19" s="1213"/>
      <c r="H19" s="1223"/>
      <c r="I19" s="1224">
        <f>ROUND(D19*E19*F19*G19/10000,0)</f>
        <v>0</v>
      </c>
    </row>
    <row r="20" spans="1:9">
      <c r="A20" s="3362"/>
      <c r="B20" s="3364" t="s">
        <v>1060</v>
      </c>
      <c r="C20" s="3364"/>
      <c r="D20" s="1215">
        <f>SUM(D17:D19)</f>
        <v>0</v>
      </c>
      <c r="E20" s="1215"/>
      <c r="F20" s="1216"/>
      <c r="G20" s="1213"/>
      <c r="H20" s="1220"/>
      <c r="I20" s="1221">
        <f>SUM(I17:I19)</f>
        <v>0</v>
      </c>
    </row>
    <row r="21" spans="1:9">
      <c r="A21" s="3362" t="s">
        <v>1077</v>
      </c>
      <c r="B21" s="3365"/>
      <c r="C21" s="3365"/>
      <c r="D21" s="3365"/>
      <c r="E21" s="3365"/>
      <c r="F21" s="3365"/>
      <c r="G21" s="3365"/>
      <c r="H21" s="1501">
        <v>0.1</v>
      </c>
      <c r="I21" s="1218">
        <f>ROUND(I10*H21,0)</f>
        <v>0</v>
      </c>
    </row>
    <row r="22" spans="1:9" ht="14.25">
      <c r="A22" s="3366" t="s">
        <v>1078</v>
      </c>
      <c r="B22" s="3367"/>
      <c r="C22" s="3368"/>
      <c r="D22" s="1225" t="s">
        <v>1079</v>
      </c>
      <c r="E22" s="1225" t="s">
        <v>1080</v>
      </c>
      <c r="F22" s="1226" t="s">
        <v>1081</v>
      </c>
      <c r="G22" s="1226" t="s">
        <v>1082</v>
      </c>
      <c r="H22" s="1219" t="s">
        <v>1083</v>
      </c>
      <c r="I22" s="1210" t="s">
        <v>1084</v>
      </c>
    </row>
    <row r="23" spans="1:9" ht="14.25" thickBot="1">
      <c r="A23" s="3369"/>
      <c r="B23" s="3370"/>
      <c r="C23" s="3371"/>
      <c r="D23" s="1227"/>
      <c r="E23" s="1227"/>
      <c r="F23" s="1227"/>
      <c r="G23" s="1228"/>
      <c r="H23" s="1229"/>
      <c r="I23" s="1230">
        <f>ROUND(E23*D23*F23*(1-G23)/10000,0)</f>
        <v>0</v>
      </c>
    </row>
    <row r="26" spans="1:9">
      <c r="A26" s="1231" t="s">
        <v>1085</v>
      </c>
      <c r="B26" s="1231"/>
      <c r="C26" s="1231"/>
      <c r="D26" s="1231"/>
      <c r="E26" s="3359">
        <f>C27-C30-C31-C32</f>
        <v>0</v>
      </c>
      <c r="F26" s="3359"/>
      <c r="G26" s="3359"/>
      <c r="H26" s="1498" t="s">
        <v>1306</v>
      </c>
    </row>
    <row r="27" spans="1:9">
      <c r="A27" s="1232">
        <v>1</v>
      </c>
      <c r="B27" s="1233" t="s">
        <v>1086</v>
      </c>
      <c r="C27" s="1233">
        <f>C28+C29</f>
        <v>0</v>
      </c>
      <c r="D27" s="1233"/>
      <c r="E27" s="3360"/>
      <c r="F27" s="3360"/>
      <c r="G27" s="3360"/>
    </row>
    <row r="28" spans="1:9">
      <c r="A28" s="1234" t="s">
        <v>1087</v>
      </c>
      <c r="B28" s="1233" t="s">
        <v>1088</v>
      </c>
      <c r="C28" s="1233"/>
      <c r="D28" s="1233"/>
      <c r="E28" s="3360"/>
      <c r="F28" s="3360"/>
      <c r="G28" s="336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61"/>
      <c r="F32" s="3361"/>
      <c r="G32" s="3361"/>
    </row>
    <row r="33" spans="1:7" hidden="1">
      <c r="A33" s="3356" t="s">
        <v>1097</v>
      </c>
      <c r="B33" s="3357"/>
      <c r="C33" s="3357"/>
      <c r="D33" s="3358"/>
      <c r="E33" s="3359"/>
      <c r="F33" s="3359"/>
      <c r="G33" s="3359"/>
    </row>
    <row r="34" spans="1:7" hidden="1">
      <c r="A34" s="1236">
        <v>1</v>
      </c>
      <c r="B34" s="1233" t="s">
        <v>1098</v>
      </c>
      <c r="C34" s="1233"/>
      <c r="D34" s="1233"/>
      <c r="E34" s="3360"/>
      <c r="F34" s="3360"/>
      <c r="G34" s="3360"/>
    </row>
    <row r="35" spans="1:7" hidden="1">
      <c r="A35" s="1236">
        <v>2</v>
      </c>
      <c r="B35" s="1233" t="s">
        <v>1099</v>
      </c>
      <c r="C35" s="1233"/>
      <c r="D35" s="1233"/>
      <c r="E35" s="3360"/>
      <c r="F35" s="3360"/>
      <c r="G35" s="3360"/>
    </row>
    <row r="36" spans="1:7" hidden="1">
      <c r="A36" s="1236">
        <v>3</v>
      </c>
      <c r="B36" s="1233" t="s">
        <v>1100</v>
      </c>
      <c r="C36" s="1233"/>
      <c r="D36" s="1233"/>
      <c r="E36" s="3360"/>
      <c r="F36" s="3360"/>
      <c r="G36" s="3360"/>
    </row>
    <row r="37" spans="1:7" hidden="1">
      <c r="A37" s="1236">
        <v>4</v>
      </c>
      <c r="B37" s="1233" t="s">
        <v>1101</v>
      </c>
      <c r="C37" s="1233"/>
      <c r="D37" s="1233"/>
      <c r="E37" s="3360"/>
      <c r="F37" s="3360"/>
      <c r="G37" s="3360"/>
    </row>
    <row r="38" spans="1:7" hidden="1">
      <c r="A38" s="3356" t="s">
        <v>1102</v>
      </c>
      <c r="B38" s="3357"/>
      <c r="C38" s="3357"/>
      <c r="D38" s="3358"/>
      <c r="E38" s="3359"/>
      <c r="F38" s="3359"/>
      <c r="G38" s="33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F3" sqref="F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2347</v>
      </c>
      <c r="C1" s="1404" t="s">
        <v>2348</v>
      </c>
      <c r="D1" s="1391" t="s">
        <v>3341</v>
      </c>
      <c r="E1" s="2538"/>
      <c r="F1" s="2062" t="s">
        <v>2349</v>
      </c>
      <c r="G1" s="1401" t="s">
        <v>2350</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4">
        <f>IF(C2="——",ROUND(C49*D3/10000,0),ROUND(C49*D3/10000,0)-D2)</f>
        <v>55831</v>
      </c>
      <c r="C2" s="2064" t="s">
        <v>70</v>
      </c>
      <c r="D2" s="1273" t="e">
        <f ca="1">SUMIF(INDIRECT("'"&amp;F2&amp;"'"&amp;"!A:A"),"承租人权益价值",INDIRECT("'"&amp;F2&amp;"'"&amp;"!c:c"))</f>
        <v>#REF!</v>
      </c>
      <c r="E2" s="2065" t="s">
        <v>2351</v>
      </c>
      <c r="F2" s="2066"/>
      <c r="G2" s="1036"/>
      <c r="H2" s="1036"/>
      <c r="I2" s="1036"/>
      <c r="J2" s="1036"/>
      <c r="K2" s="2067"/>
      <c r="L2" s="2931"/>
      <c r="M2" s="2932"/>
      <c r="N2" s="2932"/>
      <c r="O2" s="2932"/>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20111</v>
      </c>
      <c r="C3" s="359" t="s">
        <v>2352</v>
      </c>
      <c r="D3" s="358">
        <f>IF(D1="",'数据-汇总表'!E3,SUMIF('数据-汇总表'!$C19:$C33,D1,'数据-汇总表'!$E19:$E33))</f>
        <v>27761.340000000026</v>
      </c>
      <c r="E3" s="1036"/>
      <c r="F3" s="2071"/>
      <c r="G3" s="1036"/>
      <c r="H3" s="1036"/>
      <c r="I3" s="1036"/>
      <c r="J3" s="1036"/>
      <c r="K3" s="2067"/>
      <c r="L3" s="2931"/>
      <c r="M3" s="2932"/>
      <c r="N3" s="2932"/>
      <c r="O3" s="2932"/>
      <c r="P3" s="2068"/>
      <c r="Q3" s="2069"/>
      <c r="R3" s="2069"/>
      <c r="S3" s="2069"/>
      <c r="T3" s="2069"/>
      <c r="U3" s="2069"/>
      <c r="V3" s="2069"/>
      <c r="W3" s="2069"/>
      <c r="X3" s="2069"/>
      <c r="Y3" s="2069"/>
      <c r="Z3" s="2069"/>
      <c r="AA3" s="2069"/>
      <c r="AB3" s="2069"/>
      <c r="AC3" s="1190"/>
    </row>
    <row r="4" spans="1:29" ht="15">
      <c r="A4" s="360" t="s">
        <v>2353</v>
      </c>
      <c r="B4" s="361"/>
      <c r="C4" s="3395" t="s">
        <v>2354</v>
      </c>
      <c r="D4" s="3396"/>
      <c r="E4" s="3397" t="s">
        <v>2355</v>
      </c>
      <c r="F4" s="3398"/>
      <c r="G4" s="3395" t="s">
        <v>2356</v>
      </c>
      <c r="H4" s="3396"/>
      <c r="I4" s="3395" t="s">
        <v>2357</v>
      </c>
      <c r="J4" s="3396"/>
      <c r="K4" s="2072" t="s">
        <v>2358</v>
      </c>
      <c r="L4" s="2933"/>
      <c r="M4" s="2934"/>
      <c r="N4" s="2934"/>
      <c r="O4" s="2934"/>
      <c r="P4" s="3399" t="s">
        <v>2359</v>
      </c>
      <c r="Q4" s="3400"/>
      <c r="R4" s="3405" t="s">
        <v>2355</v>
      </c>
      <c r="S4" s="3406"/>
      <c r="T4" s="3405" t="s">
        <v>2356</v>
      </c>
      <c r="U4" s="3406"/>
      <c r="V4" s="3411" t="s">
        <v>2357</v>
      </c>
      <c r="W4" s="3411"/>
      <c r="X4" s="1538"/>
      <c r="Y4" s="3405" t="s">
        <v>2359</v>
      </c>
      <c r="Z4" s="3406"/>
      <c r="AA4" s="3392" t="s">
        <v>2355</v>
      </c>
      <c r="AB4" s="3392" t="s">
        <v>2356</v>
      </c>
      <c r="AC4" s="3392" t="s">
        <v>2357</v>
      </c>
    </row>
    <row r="5" spans="1:29" ht="15">
      <c r="A5" s="363"/>
      <c r="B5" s="364"/>
      <c r="C5" s="3414" t="s">
        <v>3247</v>
      </c>
      <c r="D5" s="3415"/>
      <c r="E5" s="3421" t="s">
        <v>3244</v>
      </c>
      <c r="F5" s="3422"/>
      <c r="G5" s="3414" t="s">
        <v>3245</v>
      </c>
      <c r="H5" s="3415"/>
      <c r="I5" s="3414" t="s">
        <v>3246</v>
      </c>
      <c r="J5" s="3415"/>
      <c r="K5" s="2073"/>
      <c r="L5" s="2933"/>
      <c r="M5" s="2934"/>
      <c r="N5" s="2934"/>
      <c r="O5" s="2934"/>
      <c r="P5" s="3401"/>
      <c r="Q5" s="3402"/>
      <c r="R5" s="3407"/>
      <c r="S5" s="3408"/>
      <c r="T5" s="3407"/>
      <c r="U5" s="3408"/>
      <c r="V5" s="3411"/>
      <c r="W5" s="3411"/>
      <c r="X5" s="1538"/>
      <c r="Y5" s="3407"/>
      <c r="Z5" s="3408"/>
      <c r="AA5" s="3393"/>
      <c r="AB5" s="3393"/>
      <c r="AC5" s="3393"/>
    </row>
    <row r="6" spans="1:29" ht="15.75" thickBot="1">
      <c r="A6" s="365"/>
      <c r="B6" s="366"/>
      <c r="C6" s="3412" t="s">
        <v>2364</v>
      </c>
      <c r="D6" s="3413"/>
      <c r="E6" s="3419" t="s">
        <v>2364</v>
      </c>
      <c r="F6" s="3420"/>
      <c r="G6" s="3412" t="s">
        <v>2364</v>
      </c>
      <c r="H6" s="3413"/>
      <c r="I6" s="3412" t="s">
        <v>2364</v>
      </c>
      <c r="J6" s="3413"/>
      <c r="K6" s="2073" t="s">
        <v>2365</v>
      </c>
      <c r="L6" s="2933"/>
      <c r="M6" s="2934"/>
      <c r="N6" s="2934"/>
      <c r="O6" s="2934"/>
      <c r="P6" s="3403"/>
      <c r="Q6" s="3404"/>
      <c r="R6" s="3407"/>
      <c r="S6" s="3408"/>
      <c r="T6" s="3409"/>
      <c r="U6" s="3410"/>
      <c r="V6" s="3411"/>
      <c r="W6" s="3411"/>
      <c r="X6" s="1538"/>
      <c r="Y6" s="3409"/>
      <c r="Z6" s="3410"/>
      <c r="AA6" s="3394"/>
      <c r="AB6" s="3394"/>
      <c r="AC6" s="3394"/>
    </row>
    <row r="7" spans="1:29" s="113" customFormat="1" ht="15.75" thickBot="1">
      <c r="A7" s="367" t="s">
        <v>2366</v>
      </c>
      <c r="B7" s="368"/>
      <c r="C7" s="369">
        <f>'数据-取费表'!B2</f>
        <v>44259</v>
      </c>
      <c r="D7" s="370">
        <v>100</v>
      </c>
      <c r="E7" s="371">
        <v>44197</v>
      </c>
      <c r="F7" s="372">
        <f>SUMIF(58:58,YEAR(E7)&amp;"-"&amp;MONTH(E7),59:59)</f>
        <v>99.6</v>
      </c>
      <c r="G7" s="371">
        <v>44166</v>
      </c>
      <c r="H7" s="370">
        <f>SUMIF(58:58,YEAR(G7)&amp;"-"&amp;MONTH(G7),59:59)</f>
        <v>99.399999999999991</v>
      </c>
      <c r="I7" s="371">
        <v>44197</v>
      </c>
      <c r="J7" s="370">
        <f>SUMIF(58:58,YEAR(I7)&amp;"-"&amp;MONTH(I7),59:59)</f>
        <v>99.6</v>
      </c>
      <c r="K7" s="2074"/>
      <c r="L7" s="2935"/>
      <c r="M7" s="2936"/>
      <c r="N7" s="2936"/>
      <c r="O7" s="2936"/>
      <c r="P7" s="3416" t="s">
        <v>2367</v>
      </c>
      <c r="Q7" s="3418"/>
      <c r="R7" s="709" t="s">
        <v>23</v>
      </c>
      <c r="S7" s="710">
        <f t="shared" ref="S7:S15" si="0">F7</f>
        <v>99.6</v>
      </c>
      <c r="T7" s="709" t="s">
        <v>23</v>
      </c>
      <c r="U7" s="710">
        <f t="shared" ref="U7:U15" si="1">H7</f>
        <v>99.399999999999991</v>
      </c>
      <c r="V7" s="709" t="s">
        <v>23</v>
      </c>
      <c r="W7" s="710">
        <f t="shared" ref="W7:W15" si="2">J7</f>
        <v>99.6</v>
      </c>
      <c r="X7" s="711"/>
      <c r="Y7" s="3416" t="s">
        <v>2367</v>
      </c>
      <c r="Z7" s="3417"/>
      <c r="AA7" s="712">
        <f>D7/F7</f>
        <v>1.0040160642570282</v>
      </c>
      <c r="AB7" s="712">
        <f>D7/H7</f>
        <v>1.0060362173038231</v>
      </c>
      <c r="AC7" s="712">
        <f>D7/J7</f>
        <v>1.0040160642570282</v>
      </c>
    </row>
    <row r="8" spans="1:29" s="113" customFormat="1" ht="15.75" thickBot="1">
      <c r="A8" s="367" t="s">
        <v>2368</v>
      </c>
      <c r="B8" s="368"/>
      <c r="C8" s="373" t="s">
        <v>2369</v>
      </c>
      <c r="D8" s="370">
        <v>100</v>
      </c>
      <c r="E8" s="373" t="s">
        <v>2369</v>
      </c>
      <c r="F8" s="372">
        <f>SUMIF(61:61,E8,62:62)-SUMIF(61:61,C8,62:62)+100</f>
        <v>100</v>
      </c>
      <c r="G8" s="373" t="s">
        <v>2369</v>
      </c>
      <c r="H8" s="370">
        <f>SUMIF(61:61,G8,62:62)-SUMIF(61:61,C8,62:62)+100</f>
        <v>100</v>
      </c>
      <c r="I8" s="373" t="s">
        <v>2369</v>
      </c>
      <c r="J8" s="370">
        <f>SUMIF(61:61,I8,62:62)-SUMIF(61:61,C8,62:62)+100</f>
        <v>100</v>
      </c>
      <c r="K8" s="2074"/>
      <c r="L8" s="2935"/>
      <c r="M8" s="2936"/>
      <c r="N8" s="2936"/>
      <c r="O8" s="2936"/>
      <c r="P8" s="3416" t="s">
        <v>2370</v>
      </c>
      <c r="Q8" s="3417"/>
      <c r="R8" s="709" t="s">
        <v>23</v>
      </c>
      <c r="S8" s="710">
        <f t="shared" si="0"/>
        <v>100</v>
      </c>
      <c r="T8" s="709" t="s">
        <v>23</v>
      </c>
      <c r="U8" s="710">
        <f t="shared" si="1"/>
        <v>100</v>
      </c>
      <c r="V8" s="709" t="s">
        <v>23</v>
      </c>
      <c r="W8" s="710">
        <f t="shared" si="2"/>
        <v>100</v>
      </c>
      <c r="X8" s="711"/>
      <c r="Y8" s="3416" t="s">
        <v>2370</v>
      </c>
      <c r="Z8" s="3417"/>
      <c r="AA8" s="712">
        <f t="shared" ref="AA8:AA19" si="3">D8/F8</f>
        <v>1</v>
      </c>
      <c r="AB8" s="712">
        <f t="shared" ref="AB8:AB19" si="4">D8/H8</f>
        <v>1</v>
      </c>
      <c r="AC8" s="712">
        <f t="shared" ref="AC8:AC19" si="5">D8/J8</f>
        <v>1</v>
      </c>
    </row>
    <row r="9" spans="1:29" s="113" customFormat="1">
      <c r="A9" s="374" t="s">
        <v>2371</v>
      </c>
      <c r="B9" s="67" t="s">
        <v>2372</v>
      </c>
      <c r="C9" s="3144" t="s">
        <v>3303</v>
      </c>
      <c r="D9" s="130">
        <v>100</v>
      </c>
      <c r="E9" s="376" t="s">
        <v>3081</v>
      </c>
      <c r="F9" s="377">
        <f>SUMIF(63:63,E9,64:64)-SUMIF(63:63,C9,64:64)+100</f>
        <v>100</v>
      </c>
      <c r="G9" s="378" t="s">
        <v>3081</v>
      </c>
      <c r="H9" s="130">
        <f>SUMIF(63:63,G9,64:64)-SUMIF(63:63,C9,64:64)+100</f>
        <v>100</v>
      </c>
      <c r="I9" s="378" t="s">
        <v>3081</v>
      </c>
      <c r="J9" s="130">
        <f>SUMIF(63:63,I9,64:64)-SUMIF(63:63,C9,64:64)+100</f>
        <v>100</v>
      </c>
      <c r="K9" s="2074"/>
      <c r="L9" s="2935"/>
      <c r="M9" s="2936"/>
      <c r="N9" s="2936"/>
      <c r="O9" s="2936"/>
      <c r="P9" s="3391"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712">
        <f t="shared" si="5"/>
        <v>1</v>
      </c>
    </row>
    <row r="10" spans="1:29" s="385" customFormat="1" ht="27">
      <c r="A10" s="379"/>
      <c r="B10" s="380" t="s">
        <v>2375</v>
      </c>
      <c r="C10" s="381" t="s">
        <v>3329</v>
      </c>
      <c r="D10" s="131">
        <v>100</v>
      </c>
      <c r="E10" s="381" t="s">
        <v>3329</v>
      </c>
      <c r="F10" s="383">
        <f>SUMIF(65:65,E10,66:66)-SUMIF(65:65,C10,66:66)+100</f>
        <v>100</v>
      </c>
      <c r="G10" s="381" t="s">
        <v>3329</v>
      </c>
      <c r="H10" s="131">
        <f>SUMIF(65:65,G10,66:66)-SUMIF(65:65,C10,66:66)+100</f>
        <v>100</v>
      </c>
      <c r="I10" s="381" t="s">
        <v>3329</v>
      </c>
      <c r="J10" s="131">
        <f>SUMIF(65:65,I10,66:66)-SUMIF(65:65,C10,66:66)+100</f>
        <v>100</v>
      </c>
      <c r="K10" s="384">
        <v>2</v>
      </c>
      <c r="L10" s="2937"/>
      <c r="M10" s="2938"/>
      <c r="N10" s="2938"/>
      <c r="O10" s="2938"/>
      <c r="P10" s="3391"/>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2376</v>
      </c>
      <c r="C11" s="387">
        <f>'数据-汇总表'!I4</f>
        <v>1.36</v>
      </c>
      <c r="D11" s="131">
        <v>100</v>
      </c>
      <c r="E11" s="388">
        <v>1.5</v>
      </c>
      <c r="F11" s="383">
        <f>LOOKUP(E11,68:68,69:69)-LOOKUP(C11,68:68,69:69)+100</f>
        <v>100</v>
      </c>
      <c r="G11" s="387">
        <v>1.35</v>
      </c>
      <c r="H11" s="131">
        <f>LOOKUP(G11,68:68,69:69)-LOOKUP(C11,68:68,69:69)+100</f>
        <v>100</v>
      </c>
      <c r="I11" s="387">
        <v>1.3</v>
      </c>
      <c r="J11" s="131">
        <f>LOOKUP(I11,68:68,69:69)-LOOKUP(C11,68:68,69:69)+100</f>
        <v>100</v>
      </c>
      <c r="K11" s="384">
        <v>2</v>
      </c>
      <c r="L11" s="2939"/>
      <c r="M11" s="2934"/>
      <c r="N11" s="2934"/>
      <c r="O11" s="2934"/>
      <c r="P11" s="3391"/>
      <c r="Q11" s="1526" t="str">
        <f t="shared" si="6"/>
        <v>容积率</v>
      </c>
      <c r="R11" s="709" t="s">
        <v>21</v>
      </c>
      <c r="S11" s="710">
        <f t="shared" si="0"/>
        <v>100</v>
      </c>
      <c r="T11" s="709" t="s">
        <v>21</v>
      </c>
      <c r="U11" s="710">
        <f t="shared" si="1"/>
        <v>100</v>
      </c>
      <c r="V11" s="709" t="s">
        <v>21</v>
      </c>
      <c r="W11" s="710">
        <f t="shared" si="2"/>
        <v>100</v>
      </c>
      <c r="X11" s="711"/>
      <c r="Y11" s="3250"/>
      <c r="Z11" s="55" t="str">
        <f t="shared" si="7"/>
        <v>容积率</v>
      </c>
      <c r="AA11" s="712">
        <f t="shared" si="3"/>
        <v>1</v>
      </c>
      <c r="AB11" s="712">
        <f t="shared" si="4"/>
        <v>1</v>
      </c>
      <c r="AC11" s="712">
        <f t="shared" si="5"/>
        <v>1</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35"/>
      <c r="M12" s="2936"/>
      <c r="N12" s="2936"/>
      <c r="O12" s="2936"/>
      <c r="P12" s="3391"/>
      <c r="Q12" s="1526">
        <f t="shared" si="6"/>
        <v>111</v>
      </c>
      <c r="R12" s="709" t="s">
        <v>21</v>
      </c>
      <c r="S12" s="710">
        <f t="shared" si="0"/>
        <v>100</v>
      </c>
      <c r="T12" s="709" t="s">
        <v>21</v>
      </c>
      <c r="U12" s="710">
        <f t="shared" si="1"/>
        <v>100</v>
      </c>
      <c r="V12" s="709" t="s">
        <v>21</v>
      </c>
      <c r="W12" s="710">
        <f t="shared" si="2"/>
        <v>100</v>
      </c>
      <c r="X12" s="711"/>
      <c r="Y12" s="325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0"/>
      <c r="M13" s="2934"/>
      <c r="N13" s="2934"/>
      <c r="O13" s="2934"/>
      <c r="P13" s="3391"/>
      <c r="Q13" s="1526">
        <f t="shared" si="6"/>
        <v>111</v>
      </c>
      <c r="R13" s="709" t="s">
        <v>21</v>
      </c>
      <c r="S13" s="710">
        <f t="shared" si="0"/>
        <v>100</v>
      </c>
      <c r="T13" s="709" t="s">
        <v>21</v>
      </c>
      <c r="U13" s="710">
        <f t="shared" si="1"/>
        <v>100</v>
      </c>
      <c r="V13" s="709" t="s">
        <v>21</v>
      </c>
      <c r="W13" s="710">
        <f t="shared" si="2"/>
        <v>100</v>
      </c>
      <c r="X13" s="711"/>
      <c r="Y13" s="3250"/>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0"/>
      <c r="M14" s="2934"/>
      <c r="N14" s="2934"/>
      <c r="O14" s="2934"/>
      <c r="P14" s="3391"/>
      <c r="Q14" s="1526">
        <f t="shared" si="6"/>
        <v>111</v>
      </c>
      <c r="R14" s="709" t="s">
        <v>21</v>
      </c>
      <c r="S14" s="710">
        <f t="shared" si="0"/>
        <v>100</v>
      </c>
      <c r="T14" s="709" t="s">
        <v>21</v>
      </c>
      <c r="U14" s="710">
        <f t="shared" si="1"/>
        <v>100</v>
      </c>
      <c r="V14" s="709" t="s">
        <v>21</v>
      </c>
      <c r="W14" s="710">
        <f t="shared" si="2"/>
        <v>100</v>
      </c>
      <c r="X14" s="711"/>
      <c r="Y14" s="3250"/>
      <c r="Z14" s="55">
        <f t="shared" si="7"/>
        <v>111</v>
      </c>
      <c r="AA14" s="712">
        <f t="shared" si="3"/>
        <v>1</v>
      </c>
      <c r="AB14" s="712">
        <f t="shared" si="4"/>
        <v>1</v>
      </c>
      <c r="AC14" s="712">
        <f t="shared" si="5"/>
        <v>1</v>
      </c>
    </row>
    <row r="15" spans="1:29" ht="99.75">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2</v>
      </c>
      <c r="L15" s="2940"/>
      <c r="M15" s="2934"/>
      <c r="N15" s="2934"/>
      <c r="O15" s="2934"/>
      <c r="P15" s="3389" t="s">
        <v>2378</v>
      </c>
      <c r="Q15" s="1535" t="str">
        <f t="shared" si="6"/>
        <v>居住社区成熟度</v>
      </c>
      <c r="R15" s="713" t="s">
        <v>21</v>
      </c>
      <c r="S15" s="714">
        <f t="shared" si="0"/>
        <v>100</v>
      </c>
      <c r="T15" s="713" t="s">
        <v>21</v>
      </c>
      <c r="U15" s="714">
        <f t="shared" si="1"/>
        <v>100</v>
      </c>
      <c r="V15" s="713" t="s">
        <v>21</v>
      </c>
      <c r="W15" s="714">
        <f t="shared" si="2"/>
        <v>100</v>
      </c>
      <c r="X15" s="1538"/>
      <c r="Y15" s="3382" t="s">
        <v>2378</v>
      </c>
      <c r="Z15" s="1539" t="str">
        <f t="shared" si="7"/>
        <v>居住社区成熟度</v>
      </c>
      <c r="AA15" s="1536">
        <f t="shared" si="3"/>
        <v>1</v>
      </c>
      <c r="AB15" s="1536">
        <f t="shared" si="4"/>
        <v>1</v>
      </c>
      <c r="AC15" s="1536">
        <f t="shared" si="5"/>
        <v>1</v>
      </c>
    </row>
    <row r="16" spans="1:29" ht="15">
      <c r="A16" s="386"/>
      <c r="B16" s="404"/>
      <c r="C16" s="405" t="s">
        <v>3251</v>
      </c>
      <c r="D16" s="406"/>
      <c r="E16" s="405" t="s">
        <v>3251</v>
      </c>
      <c r="F16" s="406"/>
      <c r="G16" s="405" t="s">
        <v>3251</v>
      </c>
      <c r="H16" s="408"/>
      <c r="I16" s="405" t="s">
        <v>3251</v>
      </c>
      <c r="J16" s="406"/>
      <c r="K16" s="2081"/>
      <c r="L16" s="2940"/>
      <c r="M16" s="2934"/>
      <c r="N16" s="2934"/>
      <c r="O16" s="2934"/>
      <c r="P16" s="3390"/>
      <c r="Q16" s="1535"/>
      <c r="R16" s="713"/>
      <c r="S16" s="714"/>
      <c r="T16" s="713"/>
      <c r="U16" s="714"/>
      <c r="V16" s="713"/>
      <c r="W16" s="714"/>
      <c r="X16" s="1538"/>
      <c r="Y16" s="3383"/>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0"/>
      <c r="M17" s="2934"/>
      <c r="N17" s="2934"/>
      <c r="O17" s="2934"/>
      <c r="P17" s="3390"/>
      <c r="Q17" s="1535" t="str">
        <f>B17</f>
        <v>交通便捷度</v>
      </c>
      <c r="R17" s="713" t="s">
        <v>21</v>
      </c>
      <c r="S17" s="714">
        <f>F17</f>
        <v>100</v>
      </c>
      <c r="T17" s="713" t="s">
        <v>21</v>
      </c>
      <c r="U17" s="714">
        <f>H17</f>
        <v>100</v>
      </c>
      <c r="V17" s="713" t="s">
        <v>21</v>
      </c>
      <c r="W17" s="714">
        <f>J17</f>
        <v>100</v>
      </c>
      <c r="X17" s="1538"/>
      <c r="Y17" s="3383"/>
      <c r="Z17" s="1539" t="str">
        <f>Q17</f>
        <v>交通便捷度</v>
      </c>
      <c r="AA17" s="1536">
        <f t="shared" si="3"/>
        <v>1</v>
      </c>
      <c r="AB17" s="1536">
        <f t="shared" si="4"/>
        <v>1</v>
      </c>
      <c r="AC17" s="1536">
        <f t="shared" si="5"/>
        <v>1</v>
      </c>
    </row>
    <row r="18" spans="1:29" ht="15">
      <c r="A18" s="386"/>
      <c r="B18" s="414"/>
      <c r="C18" s="405" t="s">
        <v>3251</v>
      </c>
      <c r="D18" s="408"/>
      <c r="E18" s="405" t="s">
        <v>3251</v>
      </c>
      <c r="F18" s="408"/>
      <c r="G18" s="405" t="s">
        <v>3251</v>
      </c>
      <c r="H18" s="406"/>
      <c r="I18" s="405" t="s">
        <v>3251</v>
      </c>
      <c r="J18" s="406"/>
      <c r="K18" s="2081"/>
      <c r="L18" s="2940"/>
      <c r="M18" s="2934"/>
      <c r="N18" s="2934"/>
      <c r="O18" s="2934"/>
      <c r="P18" s="3390"/>
      <c r="Q18" s="1535"/>
      <c r="R18" s="713"/>
      <c r="S18" s="714"/>
      <c r="T18" s="713"/>
      <c r="U18" s="714"/>
      <c r="V18" s="713"/>
      <c r="W18" s="714"/>
      <c r="X18" s="1538"/>
      <c r="Y18" s="3383"/>
      <c r="Z18" s="1539"/>
      <c r="AA18" s="1536">
        <v>1</v>
      </c>
      <c r="AB18" s="1536">
        <v>1</v>
      </c>
      <c r="AC18" s="1536">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2</v>
      </c>
      <c r="L19" s="2940"/>
      <c r="M19" s="2934"/>
      <c r="N19" s="2934"/>
      <c r="O19" s="2934"/>
      <c r="P19" s="3390"/>
      <c r="Q19" s="1535" t="str">
        <f>B19</f>
        <v>公共配套设施</v>
      </c>
      <c r="R19" s="713" t="s">
        <v>21</v>
      </c>
      <c r="S19" s="714">
        <f>F19</f>
        <v>100</v>
      </c>
      <c r="T19" s="713" t="s">
        <v>21</v>
      </c>
      <c r="U19" s="714">
        <f>H19</f>
        <v>100</v>
      </c>
      <c r="V19" s="713" t="s">
        <v>21</v>
      </c>
      <c r="W19" s="714">
        <f>J19</f>
        <v>100</v>
      </c>
      <c r="X19" s="1538"/>
      <c r="Y19" s="3383"/>
      <c r="Z19" s="1539" t="str">
        <f>Q19</f>
        <v>公共配套设施</v>
      </c>
      <c r="AA19" s="1536">
        <f t="shared" si="3"/>
        <v>1</v>
      </c>
      <c r="AB19" s="1536">
        <f t="shared" si="4"/>
        <v>1</v>
      </c>
      <c r="AC19" s="1536">
        <f t="shared" si="5"/>
        <v>1</v>
      </c>
    </row>
    <row r="20" spans="1:29" ht="15">
      <c r="A20" s="386"/>
      <c r="B20" s="414"/>
      <c r="C20" s="405" t="s">
        <v>3251</v>
      </c>
      <c r="D20" s="406"/>
      <c r="E20" s="405" t="s">
        <v>3251</v>
      </c>
      <c r="F20" s="406"/>
      <c r="G20" s="405" t="s">
        <v>3251</v>
      </c>
      <c r="H20" s="406"/>
      <c r="I20" s="405" t="s">
        <v>3251</v>
      </c>
      <c r="J20" s="406"/>
      <c r="K20" s="2081"/>
      <c r="L20" s="2940"/>
      <c r="M20" s="2934"/>
      <c r="N20" s="2934"/>
      <c r="O20" s="2934"/>
      <c r="P20" s="3390"/>
      <c r="Q20" s="1535"/>
      <c r="R20" s="713"/>
      <c r="S20" s="714"/>
      <c r="T20" s="713"/>
      <c r="U20" s="714"/>
      <c r="V20" s="713"/>
      <c r="W20" s="714"/>
      <c r="X20" s="1538"/>
      <c r="Y20" s="3383"/>
      <c r="Z20" s="1539"/>
      <c r="AA20" s="1536">
        <v>1</v>
      </c>
      <c r="AB20" s="1536">
        <v>1</v>
      </c>
      <c r="AC20" s="1536">
        <v>1</v>
      </c>
    </row>
    <row r="21" spans="1:29" ht="28.5">
      <c r="A21" s="386"/>
      <c r="B21" s="1291"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0"/>
      <c r="M21" s="2934"/>
      <c r="N21" s="2934"/>
      <c r="O21" s="2934"/>
      <c r="P21" s="3390"/>
      <c r="Q21" s="1535" t="str">
        <f>B21</f>
        <v>基础设施水平</v>
      </c>
      <c r="R21" s="713" t="s">
        <v>17</v>
      </c>
      <c r="S21" s="714">
        <f>F21</f>
        <v>100</v>
      </c>
      <c r="T21" s="713" t="s">
        <v>17</v>
      </c>
      <c r="U21" s="714">
        <f>H21</f>
        <v>100</v>
      </c>
      <c r="V21" s="713" t="s">
        <v>17</v>
      </c>
      <c r="W21" s="714">
        <f>J21</f>
        <v>100</v>
      </c>
      <c r="X21" s="1538"/>
      <c r="Y21" s="3383"/>
      <c r="Z21" s="1539" t="str">
        <f>Q21</f>
        <v>基础设施水平</v>
      </c>
      <c r="AA21" s="1536">
        <f t="shared" ref="AA21" si="8">D21/F21</f>
        <v>1</v>
      </c>
      <c r="AB21" s="1536">
        <f t="shared" ref="AB21" si="9">D21/H21</f>
        <v>1</v>
      </c>
      <c r="AC21" s="1536">
        <f t="shared" ref="AC21" si="10">D21/J21</f>
        <v>1</v>
      </c>
    </row>
    <row r="22" spans="1:29" ht="15">
      <c r="A22" s="386"/>
      <c r="B22" s="1291"/>
      <c r="C22" s="405" t="s">
        <v>3294</v>
      </c>
      <c r="D22" s="406"/>
      <c r="E22" s="405" t="s">
        <v>3294</v>
      </c>
      <c r="F22" s="406"/>
      <c r="G22" s="405" t="s">
        <v>3294</v>
      </c>
      <c r="H22" s="406"/>
      <c r="I22" s="405" t="s">
        <v>3294</v>
      </c>
      <c r="J22" s="406"/>
      <c r="K22" s="2087"/>
      <c r="L22" s="2940"/>
      <c r="M22" s="2934"/>
      <c r="N22" s="2934"/>
      <c r="O22" s="2934"/>
      <c r="P22" s="3390"/>
      <c r="Q22" s="1535"/>
      <c r="R22" s="713"/>
      <c r="S22" s="714"/>
      <c r="T22" s="713"/>
      <c r="U22" s="714"/>
      <c r="V22" s="713"/>
      <c r="W22" s="714"/>
      <c r="X22" s="1538"/>
      <c r="Y22" s="3383"/>
      <c r="Z22" s="1539"/>
      <c r="AA22" s="1536">
        <v>1</v>
      </c>
      <c r="AB22" s="1536">
        <v>1</v>
      </c>
      <c r="AC22" s="1536">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0"/>
      <c r="M23" s="2934"/>
      <c r="N23" s="2934"/>
      <c r="O23" s="2934"/>
      <c r="P23" s="3390"/>
      <c r="Q23" s="1535" t="str">
        <f>B23</f>
        <v>自然及人文环境</v>
      </c>
      <c r="R23" s="713" t="s">
        <v>21</v>
      </c>
      <c r="S23" s="714">
        <f>F23</f>
        <v>100</v>
      </c>
      <c r="T23" s="713" t="s">
        <v>21</v>
      </c>
      <c r="U23" s="714">
        <f>H23</f>
        <v>100</v>
      </c>
      <c r="V23" s="713" t="s">
        <v>21</v>
      </c>
      <c r="W23" s="714">
        <f>J23</f>
        <v>100</v>
      </c>
      <c r="X23" s="1538"/>
      <c r="Y23" s="3383"/>
      <c r="Z23" s="1539" t="str">
        <f>Q23</f>
        <v>自然及人文环境</v>
      </c>
      <c r="AA23" s="1536">
        <f>D23/F23</f>
        <v>1</v>
      </c>
      <c r="AB23" s="1536">
        <f>D23/H23</f>
        <v>1</v>
      </c>
      <c r="AC23" s="1536">
        <f>D23/J23</f>
        <v>1</v>
      </c>
    </row>
    <row r="24" spans="1:29" ht="15.75" thickBot="1">
      <c r="A24" s="386"/>
      <c r="B24" s="414"/>
      <c r="C24" s="405" t="s">
        <v>3251</v>
      </c>
      <c r="D24" s="406"/>
      <c r="E24" s="405" t="s">
        <v>3251</v>
      </c>
      <c r="F24" s="406"/>
      <c r="G24" s="405" t="s">
        <v>3251</v>
      </c>
      <c r="H24" s="406"/>
      <c r="I24" s="405" t="s">
        <v>3251</v>
      </c>
      <c r="J24" s="406"/>
      <c r="K24" s="2081"/>
      <c r="L24" s="2940"/>
      <c r="M24" s="2934"/>
      <c r="N24" s="2934"/>
      <c r="O24" s="2934"/>
      <c r="P24" s="3390"/>
      <c r="Q24" s="1535"/>
      <c r="R24" s="713"/>
      <c r="S24" s="714"/>
      <c r="T24" s="713"/>
      <c r="U24" s="714"/>
      <c r="V24" s="713"/>
      <c r="W24" s="714"/>
      <c r="X24" s="1538"/>
      <c r="Y24" s="3383"/>
      <c r="Z24" s="1539"/>
      <c r="AA24" s="1536">
        <v>1</v>
      </c>
      <c r="AB24" s="1536">
        <v>1</v>
      </c>
      <c r="AC24" s="1536">
        <v>1</v>
      </c>
    </row>
    <row r="25" spans="1:29" ht="15" hidden="1">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0"/>
      <c r="M25" s="2934"/>
      <c r="N25" s="2934"/>
      <c r="O25" s="2934"/>
      <c r="P25" s="3390"/>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83"/>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0"/>
      <c r="M26" s="2934"/>
      <c r="N26" s="2934"/>
      <c r="O26" s="2934"/>
      <c r="P26" s="3390"/>
      <c r="Q26" s="1535" t="str">
        <f t="shared" si="11"/>
        <v>朝向</v>
      </c>
      <c r="R26" s="713" t="s">
        <v>21</v>
      </c>
      <c r="S26" s="714">
        <f t="shared" si="12"/>
        <v>100</v>
      </c>
      <c r="T26" s="713" t="s">
        <v>21</v>
      </c>
      <c r="U26" s="714">
        <f t="shared" si="13"/>
        <v>100</v>
      </c>
      <c r="V26" s="713" t="s">
        <v>21</v>
      </c>
      <c r="W26" s="714">
        <f t="shared" si="14"/>
        <v>100</v>
      </c>
      <c r="X26" s="1538"/>
      <c r="Y26" s="3383"/>
      <c r="Z26" s="1539" t="str">
        <f>Q26</f>
        <v>朝向</v>
      </c>
      <c r="AA26" s="1536">
        <f t="shared" si="15"/>
        <v>1</v>
      </c>
      <c r="AB26" s="1536">
        <f t="shared" si="16"/>
        <v>1</v>
      </c>
      <c r="AC26" s="1536">
        <f t="shared" si="17"/>
        <v>1</v>
      </c>
    </row>
    <row r="27" spans="1:29" s="113" customFormat="1" ht="15" hidden="1">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35"/>
      <c r="M27" s="2936"/>
      <c r="N27" s="2936"/>
      <c r="O27" s="2936"/>
      <c r="P27" s="3390"/>
      <c r="Q27" s="1526">
        <f t="shared" si="11"/>
        <v>111</v>
      </c>
      <c r="R27" s="709" t="s">
        <v>21</v>
      </c>
      <c r="S27" s="710">
        <f t="shared" si="12"/>
        <v>100</v>
      </c>
      <c r="T27" s="709" t="s">
        <v>21</v>
      </c>
      <c r="U27" s="710">
        <f t="shared" si="13"/>
        <v>100</v>
      </c>
      <c r="V27" s="709" t="s">
        <v>21</v>
      </c>
      <c r="W27" s="710">
        <f t="shared" si="14"/>
        <v>100</v>
      </c>
      <c r="X27" s="711"/>
      <c r="Y27" s="3383"/>
      <c r="Z27" s="55">
        <f>Q27</f>
        <v>111</v>
      </c>
      <c r="AA27" s="1536">
        <f t="shared" si="15"/>
        <v>1</v>
      </c>
      <c r="AB27" s="1536">
        <f t="shared" si="16"/>
        <v>1</v>
      </c>
      <c r="AC27" s="1536">
        <f t="shared" si="17"/>
        <v>1</v>
      </c>
    </row>
    <row r="28" spans="1:29" ht="15" hidden="1">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0"/>
      <c r="M28" s="2934"/>
      <c r="N28" s="2934"/>
      <c r="O28" s="2934"/>
      <c r="P28" s="3390"/>
      <c r="Q28" s="1535">
        <f t="shared" si="11"/>
        <v>111</v>
      </c>
      <c r="R28" s="713" t="s">
        <v>21</v>
      </c>
      <c r="S28" s="714">
        <f t="shared" si="12"/>
        <v>100</v>
      </c>
      <c r="T28" s="713" t="s">
        <v>21</v>
      </c>
      <c r="U28" s="714">
        <f t="shared" si="13"/>
        <v>100</v>
      </c>
      <c r="V28" s="713" t="s">
        <v>21</v>
      </c>
      <c r="W28" s="714">
        <f t="shared" si="14"/>
        <v>100</v>
      </c>
      <c r="X28" s="1538"/>
      <c r="Y28" s="3383"/>
      <c r="Z28" s="1539">
        <f t="shared" ref="Z28:Z46" si="18">Q28</f>
        <v>111</v>
      </c>
      <c r="AA28" s="1536">
        <f t="shared" si="15"/>
        <v>1</v>
      </c>
      <c r="AB28" s="1536">
        <f t="shared" si="16"/>
        <v>1</v>
      </c>
      <c r="AC28" s="1536">
        <f t="shared" si="17"/>
        <v>1</v>
      </c>
    </row>
    <row r="29" spans="1:29" ht="15" hidden="1">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0"/>
      <c r="M29" s="2934"/>
      <c r="N29" s="2934"/>
      <c r="O29" s="2934"/>
      <c r="P29" s="3390"/>
      <c r="Q29" s="1535">
        <f t="shared" si="11"/>
        <v>111</v>
      </c>
      <c r="R29" s="713" t="s">
        <v>21</v>
      </c>
      <c r="S29" s="714">
        <f t="shared" si="12"/>
        <v>100</v>
      </c>
      <c r="T29" s="713" t="s">
        <v>21</v>
      </c>
      <c r="U29" s="714">
        <f t="shared" si="13"/>
        <v>100</v>
      </c>
      <c r="V29" s="713" t="s">
        <v>21</v>
      </c>
      <c r="W29" s="714">
        <f t="shared" si="14"/>
        <v>100</v>
      </c>
      <c r="X29" s="1538"/>
      <c r="Y29" s="3383"/>
      <c r="Z29" s="1539">
        <f t="shared" si="18"/>
        <v>111</v>
      </c>
      <c r="AA29" s="1536">
        <f t="shared" si="15"/>
        <v>1</v>
      </c>
      <c r="AB29" s="1536">
        <f t="shared" si="16"/>
        <v>1</v>
      </c>
      <c r="AC29" s="1536">
        <f t="shared" si="17"/>
        <v>1</v>
      </c>
    </row>
    <row r="30" spans="1:29" ht="15" hidden="1">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0"/>
      <c r="M30" s="2934"/>
      <c r="N30" s="2934"/>
      <c r="O30" s="2934"/>
      <c r="P30" s="3390"/>
      <c r="Q30" s="1535">
        <f t="shared" si="11"/>
        <v>111</v>
      </c>
      <c r="R30" s="713" t="s">
        <v>21</v>
      </c>
      <c r="S30" s="714">
        <f t="shared" si="12"/>
        <v>100</v>
      </c>
      <c r="T30" s="713" t="s">
        <v>21</v>
      </c>
      <c r="U30" s="714">
        <f t="shared" si="13"/>
        <v>100</v>
      </c>
      <c r="V30" s="713" t="s">
        <v>21</v>
      </c>
      <c r="W30" s="714">
        <f t="shared" si="14"/>
        <v>100</v>
      </c>
      <c r="X30" s="1538"/>
      <c r="Y30" s="3383"/>
      <c r="Z30" s="1539">
        <f t="shared" si="18"/>
        <v>111</v>
      </c>
      <c r="AA30" s="1536">
        <f t="shared" si="15"/>
        <v>1</v>
      </c>
      <c r="AB30" s="1536">
        <f t="shared" si="16"/>
        <v>1</v>
      </c>
      <c r="AC30" s="1536">
        <f t="shared" si="17"/>
        <v>1</v>
      </c>
    </row>
    <row r="31" spans="1:29" ht="15.75" hidden="1"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0"/>
      <c r="M31" s="2934"/>
      <c r="N31" s="2934"/>
      <c r="O31" s="2934"/>
      <c r="P31" s="3390"/>
      <c r="Q31" s="1535">
        <f t="shared" si="11"/>
        <v>111</v>
      </c>
      <c r="R31" s="713" t="s">
        <v>21</v>
      </c>
      <c r="S31" s="714">
        <f t="shared" si="12"/>
        <v>100</v>
      </c>
      <c r="T31" s="713" t="s">
        <v>21</v>
      </c>
      <c r="U31" s="714">
        <f t="shared" si="13"/>
        <v>100</v>
      </c>
      <c r="V31" s="713" t="s">
        <v>21</v>
      </c>
      <c r="W31" s="714">
        <f t="shared" si="14"/>
        <v>100</v>
      </c>
      <c r="X31" s="1538"/>
      <c r="Y31" s="3383"/>
      <c r="Z31" s="1539">
        <f t="shared" si="18"/>
        <v>111</v>
      </c>
      <c r="AA31" s="1536">
        <f t="shared" si="15"/>
        <v>1</v>
      </c>
      <c r="AB31" s="1536">
        <f t="shared" si="16"/>
        <v>1</v>
      </c>
      <c r="AC31" s="1536">
        <f t="shared" si="17"/>
        <v>1</v>
      </c>
    </row>
    <row r="32" spans="1:29" ht="15">
      <c r="A32" s="398" t="s">
        <v>2381</v>
      </c>
      <c r="B32" s="67" t="s">
        <v>2382</v>
      </c>
      <c r="C32" s="2092" t="s">
        <v>3082</v>
      </c>
      <c r="D32" s="425">
        <v>100</v>
      </c>
      <c r="E32" s="2092" t="s">
        <v>3082</v>
      </c>
      <c r="F32" s="419">
        <f>SUMIF(100:100,E32,101:101)-SUMIF(100:100,C32,101:101)+100</f>
        <v>100</v>
      </c>
      <c r="G32" s="2092" t="s">
        <v>3082</v>
      </c>
      <c r="H32" s="425">
        <f>SUMIF(100:100,G32,101:101)-SUMIF(100:100,C32,101:101)+100</f>
        <v>100</v>
      </c>
      <c r="I32" s="2092" t="s">
        <v>3082</v>
      </c>
      <c r="J32" s="393">
        <f>SUMIF(100:100,I32,101:101)-SUMIF(100:100,C32,101:101)+100</f>
        <v>100</v>
      </c>
      <c r="K32" s="384">
        <v>2</v>
      </c>
      <c r="L32" s="2940"/>
      <c r="M32" s="2934"/>
      <c r="N32" s="2934"/>
      <c r="O32" s="2934"/>
      <c r="P32" s="3384" t="s">
        <v>2383</v>
      </c>
      <c r="Q32" s="1535" t="str">
        <f t="shared" si="11"/>
        <v>建筑类型</v>
      </c>
      <c r="R32" s="713" t="s">
        <v>21</v>
      </c>
      <c r="S32" s="714">
        <f t="shared" si="12"/>
        <v>100</v>
      </c>
      <c r="T32" s="713" t="s">
        <v>21</v>
      </c>
      <c r="U32" s="714">
        <f t="shared" si="13"/>
        <v>100</v>
      </c>
      <c r="V32" s="713" t="s">
        <v>21</v>
      </c>
      <c r="W32" s="714">
        <f t="shared" si="14"/>
        <v>100</v>
      </c>
      <c r="X32" s="1538"/>
      <c r="Y32" s="3387" t="s">
        <v>2383</v>
      </c>
      <c r="Z32" s="1539" t="str">
        <f t="shared" si="18"/>
        <v>建筑类型</v>
      </c>
      <c r="AA32" s="1536">
        <f t="shared" si="15"/>
        <v>1</v>
      </c>
      <c r="AB32" s="1536">
        <f t="shared" si="16"/>
        <v>1</v>
      </c>
      <c r="AC32" s="1536">
        <f t="shared" si="17"/>
        <v>1</v>
      </c>
    </row>
    <row r="33" spans="1:29" s="429" customFormat="1" ht="15">
      <c r="A33" s="426"/>
      <c r="B33" s="380" t="s">
        <v>2384</v>
      </c>
      <c r="C33" s="427">
        <f>Sheet1!B34</f>
        <v>126654.1</v>
      </c>
      <c r="D33" s="131">
        <v>100</v>
      </c>
      <c r="E33" s="388">
        <v>90690</v>
      </c>
      <c r="F33" s="383">
        <f>LOOKUP(E33,103:103,104:104)-LOOKUP(C33,103:103,104:104)+100</f>
        <v>97</v>
      </c>
      <c r="G33" s="387">
        <v>172000</v>
      </c>
      <c r="H33" s="131">
        <f>LOOKUP(G33,103:103,104:104)-LOOKUP(C33,103:103,104:104)+100</f>
        <v>100</v>
      </c>
      <c r="I33" s="388">
        <v>323312</v>
      </c>
      <c r="J33" s="131">
        <f>LOOKUP(I33,103:103,104:104)-LOOKUP(C33,103:103,104:104)+100</f>
        <v>97</v>
      </c>
      <c r="K33" s="2076"/>
      <c r="L33" s="2939"/>
      <c r="M33" s="2941"/>
      <c r="N33" s="2941"/>
      <c r="O33" s="2941"/>
      <c r="P33" s="3385"/>
      <c r="Q33" s="715" t="str">
        <f t="shared" si="11"/>
        <v>项目建筑规模</v>
      </c>
      <c r="R33" s="716" t="s">
        <v>21</v>
      </c>
      <c r="S33" s="717">
        <f t="shared" si="12"/>
        <v>97</v>
      </c>
      <c r="T33" s="716" t="s">
        <v>21</v>
      </c>
      <c r="U33" s="717">
        <f t="shared" si="13"/>
        <v>100</v>
      </c>
      <c r="V33" s="716" t="s">
        <v>21</v>
      </c>
      <c r="W33" s="717">
        <f t="shared" si="14"/>
        <v>97</v>
      </c>
      <c r="X33" s="718"/>
      <c r="Y33" s="3387"/>
      <c r="Z33" s="719" t="str">
        <f t="shared" si="18"/>
        <v>项目建筑规模</v>
      </c>
      <c r="AA33" s="1536">
        <f t="shared" si="15"/>
        <v>1.0309278350515463</v>
      </c>
      <c r="AB33" s="1536">
        <f t="shared" si="16"/>
        <v>1</v>
      </c>
      <c r="AC33" s="1536">
        <f t="shared" si="17"/>
        <v>1.0309278350515463</v>
      </c>
    </row>
    <row r="34" spans="1:29" ht="15">
      <c r="A34" s="430"/>
      <c r="B34" s="380" t="s">
        <v>2385</v>
      </c>
      <c r="C34" s="2093" t="s">
        <v>3311</v>
      </c>
      <c r="D34" s="393">
        <v>100</v>
      </c>
      <c r="E34" s="2093" t="s">
        <v>3311</v>
      </c>
      <c r="F34" s="419">
        <f>SUMIF(105:105,E34,106:106)-SUMIF(105:105,C34,106:106)+100</f>
        <v>100</v>
      </c>
      <c r="G34" s="2093" t="s">
        <v>3311</v>
      </c>
      <c r="H34" s="393">
        <f>SUMIF(105:105,G34,106:106)-SUMIF(105:105,C34,106:106)+100</f>
        <v>100</v>
      </c>
      <c r="I34" s="2093" t="s">
        <v>3311</v>
      </c>
      <c r="J34" s="393">
        <f>SUMIF(105:105,I34,106:106)-SUMIF(105:105,C34,106:106)+100</f>
        <v>100</v>
      </c>
      <c r="K34" s="384">
        <v>1</v>
      </c>
      <c r="L34" s="2940"/>
      <c r="M34" s="2934"/>
      <c r="N34" s="2934"/>
      <c r="O34" s="2934"/>
      <c r="P34" s="3385"/>
      <c r="Q34" s="1535" t="str">
        <f t="shared" si="11"/>
        <v>建筑结构</v>
      </c>
      <c r="R34" s="713" t="s">
        <v>21</v>
      </c>
      <c r="S34" s="714">
        <f t="shared" si="12"/>
        <v>100</v>
      </c>
      <c r="T34" s="713" t="s">
        <v>21</v>
      </c>
      <c r="U34" s="714">
        <f t="shared" si="13"/>
        <v>100</v>
      </c>
      <c r="V34" s="713" t="s">
        <v>21</v>
      </c>
      <c r="W34" s="714">
        <f t="shared" si="14"/>
        <v>100</v>
      </c>
      <c r="X34" s="1538"/>
      <c r="Y34" s="3387"/>
      <c r="Z34" s="1539" t="str">
        <f t="shared" si="18"/>
        <v>建筑结构</v>
      </c>
      <c r="AA34" s="1536">
        <f t="shared" si="15"/>
        <v>1</v>
      </c>
      <c r="AB34" s="1536">
        <f t="shared" si="16"/>
        <v>1</v>
      </c>
      <c r="AC34" s="1536">
        <f t="shared" si="17"/>
        <v>1</v>
      </c>
    </row>
    <row r="35" spans="1:29" ht="15">
      <c r="A35" s="430"/>
      <c r="B35" s="380" t="s">
        <v>2386</v>
      </c>
      <c r="C35" s="2088" t="s">
        <v>3332</v>
      </c>
      <c r="D35" s="393">
        <v>100</v>
      </c>
      <c r="E35" s="2088" t="s">
        <v>3332</v>
      </c>
      <c r="F35" s="419">
        <f>SUMIF(107:107,E35,108:108)-SUMIF(107:107,C35,108:108)+100</f>
        <v>100</v>
      </c>
      <c r="G35" s="2088" t="s">
        <v>3332</v>
      </c>
      <c r="H35" s="393">
        <f>SUMIF(107:107,G35,108:108)-SUMIF(107:107,C35,108:108)+100</f>
        <v>100</v>
      </c>
      <c r="I35" s="2088" t="s">
        <v>3332</v>
      </c>
      <c r="J35" s="393">
        <f>SUMIF(107:107,I35,108:108)-SUMIF(107:107,C35,108:108)+100</f>
        <v>100</v>
      </c>
      <c r="K35" s="384">
        <v>1</v>
      </c>
      <c r="L35" s="2940"/>
      <c r="M35" s="2934"/>
      <c r="N35" s="2934"/>
      <c r="O35" s="2934"/>
      <c r="P35" s="3385"/>
      <c r="Q35" s="1535" t="str">
        <f t="shared" si="11"/>
        <v>建筑品质</v>
      </c>
      <c r="R35" s="713" t="s">
        <v>21</v>
      </c>
      <c r="S35" s="714">
        <f t="shared" si="12"/>
        <v>100</v>
      </c>
      <c r="T35" s="713" t="s">
        <v>21</v>
      </c>
      <c r="U35" s="714">
        <f t="shared" si="13"/>
        <v>100</v>
      </c>
      <c r="V35" s="713" t="s">
        <v>21</v>
      </c>
      <c r="W35" s="714">
        <f t="shared" si="14"/>
        <v>100</v>
      </c>
      <c r="X35" s="1538"/>
      <c r="Y35" s="3387"/>
      <c r="Z35" s="1539" t="str">
        <f t="shared" si="18"/>
        <v>建筑品质</v>
      </c>
      <c r="AA35" s="1536">
        <f t="shared" si="15"/>
        <v>1</v>
      </c>
      <c r="AB35" s="1536">
        <f t="shared" si="16"/>
        <v>1</v>
      </c>
      <c r="AC35" s="1536">
        <f t="shared" si="17"/>
        <v>1</v>
      </c>
    </row>
    <row r="36" spans="1:29" ht="15">
      <c r="A36" s="430"/>
      <c r="B36" s="380" t="s">
        <v>2387</v>
      </c>
      <c r="C36" s="2088" t="s">
        <v>3334</v>
      </c>
      <c r="D36" s="393">
        <v>100</v>
      </c>
      <c r="E36" s="2088" t="s">
        <v>3334</v>
      </c>
      <c r="F36" s="419">
        <f>SUMIF(109:109,E36,110:110)-SUMIF(109:109,C36,110:110)+100</f>
        <v>100</v>
      </c>
      <c r="G36" s="2088" t="s">
        <v>3334</v>
      </c>
      <c r="H36" s="393">
        <f>SUMIF(109:109,G36,110:110)-SUMIF(109:109,C36,110:110)+100</f>
        <v>100</v>
      </c>
      <c r="I36" s="2088" t="s">
        <v>3334</v>
      </c>
      <c r="J36" s="393">
        <f>SUMIF(109:109,I36,110:110)-SUMIF(109:109,C36,110:110)+100</f>
        <v>100</v>
      </c>
      <c r="K36" s="384">
        <v>2</v>
      </c>
      <c r="L36" s="2940"/>
      <c r="M36" s="2934"/>
      <c r="N36" s="2934"/>
      <c r="O36" s="2934"/>
      <c r="P36" s="3385"/>
      <c r="Q36" s="1535" t="str">
        <f t="shared" si="11"/>
        <v>公共部分装修</v>
      </c>
      <c r="R36" s="713" t="s">
        <v>21</v>
      </c>
      <c r="S36" s="714">
        <f t="shared" si="12"/>
        <v>100</v>
      </c>
      <c r="T36" s="713" t="s">
        <v>21</v>
      </c>
      <c r="U36" s="714">
        <f t="shared" si="13"/>
        <v>100</v>
      </c>
      <c r="V36" s="713" t="s">
        <v>21</v>
      </c>
      <c r="W36" s="714">
        <f t="shared" si="14"/>
        <v>100</v>
      </c>
      <c r="X36" s="1538"/>
      <c r="Y36" s="3387"/>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35"/>
      <c r="M37" s="2936"/>
      <c r="N37" s="2936"/>
      <c r="O37" s="2936"/>
      <c r="P37" s="3385"/>
      <c r="Q37" s="1526" t="str">
        <f t="shared" si="11"/>
        <v>成新度</v>
      </c>
      <c r="R37" s="709" t="s">
        <v>21</v>
      </c>
      <c r="S37" s="710">
        <f t="shared" si="12"/>
        <v>100</v>
      </c>
      <c r="T37" s="709" t="s">
        <v>21</v>
      </c>
      <c r="U37" s="710">
        <f t="shared" si="13"/>
        <v>100</v>
      </c>
      <c r="V37" s="709" t="s">
        <v>21</v>
      </c>
      <c r="W37" s="710">
        <f t="shared" si="14"/>
        <v>100</v>
      </c>
      <c r="X37" s="711"/>
      <c r="Y37" s="3387"/>
      <c r="Z37" s="55" t="str">
        <f t="shared" si="18"/>
        <v>成新度</v>
      </c>
      <c r="AA37" s="712">
        <f t="shared" si="15"/>
        <v>1</v>
      </c>
      <c r="AB37" s="712">
        <f t="shared" si="16"/>
        <v>1</v>
      </c>
      <c r="AC37" s="712">
        <f t="shared" si="17"/>
        <v>1</v>
      </c>
    </row>
    <row r="38" spans="1:29" ht="15">
      <c r="A38" s="430"/>
      <c r="B38" s="380" t="s">
        <v>2389</v>
      </c>
      <c r="C38" s="2088" t="s">
        <v>3339</v>
      </c>
      <c r="D38" s="393">
        <v>100</v>
      </c>
      <c r="E38" s="2088" t="s">
        <v>3339</v>
      </c>
      <c r="F38" s="419">
        <f>SUMIF(114:114,E38,115:115)-SUMIF(114:114,C38,115:115)+100</f>
        <v>100</v>
      </c>
      <c r="G38" s="2088" t="s">
        <v>3339</v>
      </c>
      <c r="H38" s="393">
        <f>SUMIF(114:114,G38,115:115)-SUMIF(114:114,C38,115:115)+100</f>
        <v>100</v>
      </c>
      <c r="I38" s="2088" t="s">
        <v>3339</v>
      </c>
      <c r="J38" s="393">
        <f>SUMIF(114:114,I38,115:115)-SUMIF(114:114,C38,115:115)+100</f>
        <v>100</v>
      </c>
      <c r="K38" s="384">
        <v>1</v>
      </c>
      <c r="L38" s="2940"/>
      <c r="M38" s="2934"/>
      <c r="N38" s="2934"/>
      <c r="O38" s="2934"/>
      <c r="P38" s="3385" t="s">
        <v>2383</v>
      </c>
      <c r="Q38" s="1535" t="str">
        <f t="shared" si="11"/>
        <v>物业管理</v>
      </c>
      <c r="R38" s="713" t="s">
        <v>21</v>
      </c>
      <c r="S38" s="714">
        <f t="shared" si="12"/>
        <v>100</v>
      </c>
      <c r="T38" s="713" t="s">
        <v>21</v>
      </c>
      <c r="U38" s="714">
        <f t="shared" si="13"/>
        <v>100</v>
      </c>
      <c r="V38" s="713" t="s">
        <v>21</v>
      </c>
      <c r="W38" s="714">
        <f t="shared" si="14"/>
        <v>100</v>
      </c>
      <c r="X38" s="1538"/>
      <c r="Y38" s="3387" t="s">
        <v>2383</v>
      </c>
      <c r="Z38" s="1539" t="str">
        <f t="shared" si="18"/>
        <v>物业管理</v>
      </c>
      <c r="AA38" s="1536">
        <f t="shared" si="15"/>
        <v>1</v>
      </c>
      <c r="AB38" s="1536">
        <f t="shared" si="16"/>
        <v>1</v>
      </c>
      <c r="AC38" s="1536">
        <f t="shared" si="17"/>
        <v>1</v>
      </c>
    </row>
    <row r="39" spans="1:29" ht="15">
      <c r="A39" s="430"/>
      <c r="B39" s="380" t="s">
        <v>2390</v>
      </c>
      <c r="C39" s="2088" t="s">
        <v>3294</v>
      </c>
      <c r="D39" s="393">
        <v>100</v>
      </c>
      <c r="E39" s="2088" t="s">
        <v>3294</v>
      </c>
      <c r="F39" s="419">
        <f>SUMIF(116:116,E39,117:117)-SUMIF(116:116,C39,117:117)+100</f>
        <v>100</v>
      </c>
      <c r="G39" s="2088" t="s">
        <v>3294</v>
      </c>
      <c r="H39" s="393">
        <f>SUMIF(116:116,G39,117:117)-SUMIF(116:116,C39,117:117)+100</f>
        <v>100</v>
      </c>
      <c r="I39" s="2088" t="s">
        <v>3294</v>
      </c>
      <c r="J39" s="393">
        <f>SUMIF(116:116,I39,117:117)-SUMIF(116:116,C39,117:117)+100</f>
        <v>100</v>
      </c>
      <c r="K39" s="384">
        <v>1</v>
      </c>
      <c r="L39" s="2940"/>
      <c r="M39" s="2934"/>
      <c r="N39" s="2934"/>
      <c r="O39" s="2934"/>
      <c r="P39" s="3385"/>
      <c r="Q39" s="1535" t="str">
        <f t="shared" si="11"/>
        <v>市政基础设施</v>
      </c>
      <c r="R39" s="713" t="s">
        <v>21</v>
      </c>
      <c r="S39" s="714">
        <f t="shared" si="12"/>
        <v>100</v>
      </c>
      <c r="T39" s="713" t="s">
        <v>21</v>
      </c>
      <c r="U39" s="714">
        <f t="shared" si="13"/>
        <v>100</v>
      </c>
      <c r="V39" s="713" t="s">
        <v>21</v>
      </c>
      <c r="W39" s="714">
        <f t="shared" si="14"/>
        <v>100</v>
      </c>
      <c r="X39" s="1538"/>
      <c r="Y39" s="3387"/>
      <c r="Z39" s="1539" t="str">
        <f t="shared" si="18"/>
        <v>市政基础设施</v>
      </c>
      <c r="AA39" s="1536">
        <f t="shared" si="15"/>
        <v>1</v>
      </c>
      <c r="AB39" s="1536">
        <f t="shared" si="16"/>
        <v>1</v>
      </c>
      <c r="AC39" s="1536">
        <f t="shared" si="17"/>
        <v>1</v>
      </c>
    </row>
    <row r="40" spans="1:29" ht="15" hidden="1">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0"/>
      <c r="M40" s="2934"/>
      <c r="N40" s="2934"/>
      <c r="O40" s="2934"/>
      <c r="P40" s="3385"/>
      <c r="Q40" s="1535" t="str">
        <f t="shared" si="11"/>
        <v>房型</v>
      </c>
      <c r="R40" s="713" t="s">
        <v>21</v>
      </c>
      <c r="S40" s="714">
        <f t="shared" si="12"/>
        <v>100</v>
      </c>
      <c r="T40" s="713" t="s">
        <v>21</v>
      </c>
      <c r="U40" s="714">
        <f t="shared" si="13"/>
        <v>100</v>
      </c>
      <c r="V40" s="713" t="s">
        <v>21</v>
      </c>
      <c r="W40" s="714">
        <f t="shared" si="14"/>
        <v>100</v>
      </c>
      <c r="X40" s="1538"/>
      <c r="Y40" s="3387"/>
      <c r="Z40" s="1539" t="str">
        <f t="shared" si="18"/>
        <v>房型</v>
      </c>
      <c r="AA40" s="1536">
        <f t="shared" si="15"/>
        <v>1</v>
      </c>
      <c r="AB40" s="1536">
        <f t="shared" si="16"/>
        <v>1</v>
      </c>
      <c r="AC40" s="1536">
        <f t="shared" si="17"/>
        <v>1</v>
      </c>
    </row>
    <row r="41" spans="1:29" s="429" customFormat="1" ht="28.5" hidden="1">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39"/>
      <c r="M41" s="2941"/>
      <c r="N41" s="2941"/>
      <c r="O41" s="2941"/>
      <c r="P41" s="3385"/>
      <c r="Q41" s="715" t="str">
        <f t="shared" si="11"/>
        <v>单套/主力户型建筑面积</v>
      </c>
      <c r="R41" s="716" t="s">
        <v>21</v>
      </c>
      <c r="S41" s="717">
        <f t="shared" si="12"/>
        <v>100</v>
      </c>
      <c r="T41" s="716" t="s">
        <v>21</v>
      </c>
      <c r="U41" s="717">
        <f t="shared" si="13"/>
        <v>100</v>
      </c>
      <c r="V41" s="716" t="s">
        <v>21</v>
      </c>
      <c r="W41" s="717">
        <f t="shared" si="14"/>
        <v>100</v>
      </c>
      <c r="X41" s="718"/>
      <c r="Y41" s="3387"/>
      <c r="Z41" s="719" t="str">
        <f t="shared" si="18"/>
        <v>单套/主力户型建筑面积</v>
      </c>
      <c r="AA41" s="1536">
        <f t="shared" si="15"/>
        <v>1</v>
      </c>
      <c r="AB41" s="1536">
        <f t="shared" si="16"/>
        <v>1</v>
      </c>
      <c r="AC41" s="1536">
        <f t="shared" si="17"/>
        <v>1</v>
      </c>
    </row>
    <row r="42" spans="1:29" ht="15">
      <c r="A42" s="430"/>
      <c r="B42" s="380" t="s">
        <v>2393</v>
      </c>
      <c r="C42" s="2088" t="s">
        <v>3337</v>
      </c>
      <c r="D42" s="393">
        <v>100</v>
      </c>
      <c r="E42" s="2088" t="s">
        <v>3337</v>
      </c>
      <c r="F42" s="419">
        <f>SUMIF(122:122,E42,123:123)-SUMIF(122:122,C42,123:123)+100</f>
        <v>100</v>
      </c>
      <c r="G42" s="2088" t="s">
        <v>3337</v>
      </c>
      <c r="H42" s="393">
        <f>SUMIF(122:122,G42,123:123)-SUMIF(122:122,C42,123:123)+100</f>
        <v>100</v>
      </c>
      <c r="I42" s="2088" t="s">
        <v>3337</v>
      </c>
      <c r="J42" s="393">
        <f>SUMIF(122:122,I42,123:123)-SUMIF(122:122,C42,123:123)+100</f>
        <v>100</v>
      </c>
      <c r="K42" s="384">
        <v>2</v>
      </c>
      <c r="L42" s="2940"/>
      <c r="M42" s="2934"/>
      <c r="N42" s="2934"/>
      <c r="O42" s="2934"/>
      <c r="P42" s="3385"/>
      <c r="Q42" s="1535" t="str">
        <f t="shared" si="11"/>
        <v>内部装修</v>
      </c>
      <c r="R42" s="713" t="s">
        <v>21</v>
      </c>
      <c r="S42" s="714">
        <f t="shared" si="12"/>
        <v>100</v>
      </c>
      <c r="T42" s="713" t="s">
        <v>21</v>
      </c>
      <c r="U42" s="714">
        <f t="shared" si="13"/>
        <v>100</v>
      </c>
      <c r="V42" s="713" t="s">
        <v>21</v>
      </c>
      <c r="W42" s="714">
        <f t="shared" si="14"/>
        <v>100</v>
      </c>
      <c r="X42" s="1538"/>
      <c r="Y42" s="3387"/>
      <c r="Z42" s="1539" t="str">
        <f t="shared" si="18"/>
        <v>内部装修</v>
      </c>
      <c r="AA42" s="1536">
        <f t="shared" si="15"/>
        <v>1</v>
      </c>
      <c r="AB42" s="1536">
        <f t="shared" si="16"/>
        <v>1</v>
      </c>
      <c r="AC42" s="1536">
        <f t="shared" si="17"/>
        <v>1</v>
      </c>
    </row>
    <row r="43" spans="1:29" ht="15.75" thickBot="1">
      <c r="A43" s="430"/>
      <c r="B43" s="380" t="s">
        <v>2394</v>
      </c>
      <c r="C43" s="2088" t="s">
        <v>3251</v>
      </c>
      <c r="D43" s="393">
        <v>100</v>
      </c>
      <c r="E43" s="2088" t="s">
        <v>3251</v>
      </c>
      <c r="F43" s="419">
        <f>SUMIF(124:124,E43,125:125)-SUMIF(124:124,C43,125:125)+100</f>
        <v>100</v>
      </c>
      <c r="G43" s="2088" t="s">
        <v>3251</v>
      </c>
      <c r="H43" s="393">
        <f>SUMIF(124:124,G43,125:125)-SUMIF(124:124,C43,125:125)+100</f>
        <v>100</v>
      </c>
      <c r="I43" s="2088" t="s">
        <v>3251</v>
      </c>
      <c r="J43" s="393">
        <f>SUMIF(124:124,I43,125:125)-SUMIF(124:124,C43,125:125)+100</f>
        <v>100</v>
      </c>
      <c r="K43" s="384">
        <v>1</v>
      </c>
      <c r="L43" s="2940"/>
      <c r="M43" s="2934"/>
      <c r="N43" s="2934"/>
      <c r="O43" s="2934"/>
      <c r="P43" s="3385"/>
      <c r="Q43" s="1535" t="str">
        <f t="shared" si="11"/>
        <v>内部装修维护情况</v>
      </c>
      <c r="R43" s="713" t="s">
        <v>21</v>
      </c>
      <c r="S43" s="714">
        <f t="shared" si="12"/>
        <v>100</v>
      </c>
      <c r="T43" s="713" t="s">
        <v>21</v>
      </c>
      <c r="U43" s="714">
        <f t="shared" si="13"/>
        <v>100</v>
      </c>
      <c r="V43" s="713" t="s">
        <v>21</v>
      </c>
      <c r="W43" s="714">
        <f t="shared" si="14"/>
        <v>100</v>
      </c>
      <c r="X43" s="1538"/>
      <c r="Y43" s="3387"/>
      <c r="Z43" s="1539" t="str">
        <f t="shared" si="18"/>
        <v>内部装修维护情况</v>
      </c>
      <c r="AA43" s="1536">
        <f t="shared" si="15"/>
        <v>1</v>
      </c>
      <c r="AB43" s="1536">
        <f t="shared" si="16"/>
        <v>1</v>
      </c>
      <c r="AC43" s="1536">
        <f t="shared" si="17"/>
        <v>1</v>
      </c>
    </row>
    <row r="44" spans="1:29" s="113" customFormat="1" ht="15" hidden="1">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35"/>
      <c r="M44" s="2936"/>
      <c r="N44" s="2936"/>
      <c r="O44" s="2936"/>
      <c r="P44" s="3385"/>
      <c r="Q44" s="1526">
        <f t="shared" si="11"/>
        <v>111</v>
      </c>
      <c r="R44" s="709" t="s">
        <v>21</v>
      </c>
      <c r="S44" s="710">
        <f t="shared" si="12"/>
        <v>100</v>
      </c>
      <c r="T44" s="709" t="s">
        <v>21</v>
      </c>
      <c r="U44" s="710">
        <f t="shared" si="13"/>
        <v>100</v>
      </c>
      <c r="V44" s="709" t="s">
        <v>21</v>
      </c>
      <c r="W44" s="710">
        <f t="shared" si="14"/>
        <v>100</v>
      </c>
      <c r="X44" s="711"/>
      <c r="Y44" s="3387"/>
      <c r="Z44" s="55">
        <f t="shared" si="18"/>
        <v>111</v>
      </c>
      <c r="AA44" s="712">
        <f t="shared" si="15"/>
        <v>1</v>
      </c>
      <c r="AB44" s="712">
        <f t="shared" si="16"/>
        <v>1</v>
      </c>
      <c r="AC44" s="712">
        <f t="shared" si="17"/>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0"/>
      <c r="M45" s="2934"/>
      <c r="N45" s="2934"/>
      <c r="O45" s="2934"/>
      <c r="P45" s="3385"/>
      <c r="Q45" s="1535">
        <f t="shared" si="11"/>
        <v>111</v>
      </c>
      <c r="R45" s="713" t="s">
        <v>21</v>
      </c>
      <c r="S45" s="714">
        <f t="shared" si="12"/>
        <v>100</v>
      </c>
      <c r="T45" s="713" t="s">
        <v>21</v>
      </c>
      <c r="U45" s="714">
        <f t="shared" si="13"/>
        <v>100</v>
      </c>
      <c r="V45" s="713" t="s">
        <v>21</v>
      </c>
      <c r="W45" s="714">
        <f t="shared" si="14"/>
        <v>100</v>
      </c>
      <c r="X45" s="1538"/>
      <c r="Y45" s="3387"/>
      <c r="Z45" s="1539">
        <f t="shared" si="18"/>
        <v>111</v>
      </c>
      <c r="AA45" s="1536">
        <f t="shared" si="15"/>
        <v>1</v>
      </c>
      <c r="AB45" s="1536">
        <f t="shared" si="16"/>
        <v>1</v>
      </c>
      <c r="AC45" s="1536">
        <f t="shared" si="17"/>
        <v>1</v>
      </c>
    </row>
    <row r="46" spans="1:29" ht="15.75" hidden="1"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0"/>
      <c r="M46" s="2934"/>
      <c r="N46" s="2934"/>
      <c r="O46" s="2934"/>
      <c r="P46" s="3386"/>
      <c r="Q46" s="1535">
        <f t="shared" si="11"/>
        <v>111</v>
      </c>
      <c r="R46" s="713" t="s">
        <v>20</v>
      </c>
      <c r="S46" s="714">
        <f t="shared" si="12"/>
        <v>100</v>
      </c>
      <c r="T46" s="713" t="s">
        <v>20</v>
      </c>
      <c r="U46" s="714">
        <f t="shared" si="13"/>
        <v>100</v>
      </c>
      <c r="V46" s="713" t="s">
        <v>20</v>
      </c>
      <c r="W46" s="714">
        <f t="shared" si="14"/>
        <v>100</v>
      </c>
      <c r="X46" s="1538"/>
      <c r="Y46" s="3388"/>
      <c r="Z46" s="1539">
        <f t="shared" si="18"/>
        <v>111</v>
      </c>
      <c r="AA46" s="1536">
        <f t="shared" si="15"/>
        <v>1</v>
      </c>
      <c r="AB46" s="1536">
        <f t="shared" si="16"/>
        <v>1</v>
      </c>
      <c r="AC46" s="1536">
        <f t="shared" si="17"/>
        <v>1</v>
      </c>
    </row>
    <row r="47" spans="1:29" ht="15">
      <c r="A47" s="437" t="s">
        <v>2395</v>
      </c>
      <c r="B47" s="438"/>
      <c r="C47" s="1314" t="s">
        <v>19</v>
      </c>
      <c r="D47" s="1315"/>
      <c r="E47" s="1316">
        <v>19023</v>
      </c>
      <c r="F47" s="1317"/>
      <c r="G47" s="1318">
        <v>19974</v>
      </c>
      <c r="H47" s="1319"/>
      <c r="I47" s="1316">
        <v>19852</v>
      </c>
      <c r="J47" s="1319"/>
      <c r="K47" s="2094"/>
      <c r="L47" s="2942"/>
      <c r="M47" s="2943"/>
      <c r="N47" s="2934"/>
      <c r="O47" s="2943"/>
      <c r="P47" s="3380" t="str">
        <f>A47</f>
        <v>成交单价（元/平方米）</v>
      </c>
      <c r="Q47" s="3380"/>
      <c r="R47" s="3381">
        <f>E47</f>
        <v>19023</v>
      </c>
      <c r="S47" s="3381"/>
      <c r="T47" s="3381">
        <f>G47</f>
        <v>19974</v>
      </c>
      <c r="U47" s="3381"/>
      <c r="V47" s="3381">
        <f>I47</f>
        <v>19852</v>
      </c>
      <c r="W47" s="3381"/>
      <c r="X47" s="698"/>
      <c r="Y47" s="720"/>
      <c r="Z47" s="698"/>
      <c r="AA47" s="698"/>
      <c r="AB47" s="698"/>
      <c r="AC47" s="698"/>
    </row>
    <row r="48" spans="1:29" ht="15.75" thickBot="1">
      <c r="A48" s="444" t="s">
        <v>2396</v>
      </c>
      <c r="B48" s="445"/>
      <c r="C48" s="1320">
        <f>R49</f>
        <v>20111</v>
      </c>
      <c r="D48" s="2532" t="s">
        <v>2877</v>
      </c>
      <c r="E48" s="1321">
        <f>R48</f>
        <v>19690</v>
      </c>
      <c r="F48" s="2533"/>
      <c r="G48" s="1320">
        <f>T48</f>
        <v>20095</v>
      </c>
      <c r="H48" s="2533"/>
      <c r="I48" s="1321">
        <f>V48</f>
        <v>20548</v>
      </c>
      <c r="J48" s="2533"/>
      <c r="K48" s="2534">
        <f>F48+H48+J48</f>
        <v>0</v>
      </c>
      <c r="L48" s="2942"/>
      <c r="M48" s="2943"/>
      <c r="N48" s="2943"/>
      <c r="O48" s="2943"/>
      <c r="P48" s="3380" t="str">
        <f>A48</f>
        <v>比较价值（元/平方米）</v>
      </c>
      <c r="Q48" s="3380"/>
      <c r="R48" s="3381">
        <f>IF(F1="售价",ROUND(PRODUCT(R47,AA7:AA46),0),ROUND(PRODUCT(R47,AA7:AA46),1))</f>
        <v>19690</v>
      </c>
      <c r="S48" s="3381"/>
      <c r="T48" s="3381">
        <f>IF(F1="售价",ROUND(PRODUCT(T47,AB7:AB46),0),ROUND(PRODUCT(T47,AB7:AB46),1))</f>
        <v>20095</v>
      </c>
      <c r="U48" s="3381"/>
      <c r="V48" s="3381">
        <f>IF(F1="售价",ROUND(PRODUCT(V47,AC7:AC46),0),ROUND(PRODUCT(V47,AC7:AC46),1))</f>
        <v>20548</v>
      </c>
      <c r="W48" s="3381"/>
      <c r="X48" s="698"/>
      <c r="Y48" s="698"/>
      <c r="Z48" s="698"/>
      <c r="AA48" s="698"/>
      <c r="AB48" s="698"/>
      <c r="AC48" s="698"/>
    </row>
    <row r="49" spans="1:29" ht="15.75" thickBot="1">
      <c r="A49" s="448" t="s">
        <v>2397</v>
      </c>
      <c r="B49" s="449"/>
      <c r="C49" s="1322">
        <f>R49</f>
        <v>20111</v>
      </c>
      <c r="D49" s="1323"/>
      <c r="E49" s="1323"/>
      <c r="F49" s="1323"/>
      <c r="G49" s="1323"/>
      <c r="H49" s="1323"/>
      <c r="I49" s="1323"/>
      <c r="J49" s="1323"/>
      <c r="K49" s="2095"/>
      <c r="L49" s="2942"/>
      <c r="M49" s="2943"/>
      <c r="N49" s="2943"/>
      <c r="O49" s="2943"/>
      <c r="P49" s="3377" t="str">
        <f>A49</f>
        <v>估价对象XX用房的比较价值（楼面单价，元/平方米）</v>
      </c>
      <c r="Q49" s="3378"/>
      <c r="R49" s="3379">
        <f>IF(F1="售价",ROUND(IF(D48="简单平均",AVERAGE(R48:V48),R48*F48+T48*H48+V48*J48),0),ROUND(IF(D48="简单平均",AVERAGE(R48:V48),R48*F48+T48*H48+V48*J48),1))</f>
        <v>20111</v>
      </c>
      <c r="S49" s="3379"/>
      <c r="T49" s="3379"/>
      <c r="U49" s="3379"/>
      <c r="V49" s="3379"/>
      <c r="W49" s="337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3" t="s">
        <v>2398</v>
      </c>
      <c r="D52" s="454"/>
      <c r="E52" s="455">
        <f>IF(E47&lt;E48,E48/E47-1,E47/E48-1)</f>
        <v>3.5062818693160969E-2</v>
      </c>
      <c r="F52" s="456" t="str">
        <f>IF(OR(E52&gt;=0.3,E52&lt;=-0.3),"超过30%","")</f>
        <v/>
      </c>
      <c r="G52" s="455">
        <f>IF(G47&lt;G48,G48/G47-1,G47/G48-1)</f>
        <v>6.0578752378090961E-3</v>
      </c>
      <c r="H52" s="456" t="str">
        <f>IF(OR(G52&gt;=0.3,G52&lt;=-0.3),"超过30%","")</f>
        <v/>
      </c>
      <c r="I52" s="455">
        <f>IF(I47&lt;I48,I48/I47-1,I47/I48-1)</f>
        <v>3.5059439854926433E-2</v>
      </c>
      <c r="J52" s="456" t="str">
        <f>IF(OR(I52&gt;=0.3,I52&lt;=-0.3),"超过30%","")</f>
        <v/>
      </c>
      <c r="K52" s="2948"/>
      <c r="L52" s="2944"/>
      <c r="M52" s="2943"/>
      <c r="N52" s="2943"/>
      <c r="O52" s="2943"/>
    </row>
    <row r="53" spans="1:29" ht="13.5" customHeight="1">
      <c r="A53" s="2943"/>
      <c r="B53" s="2943"/>
      <c r="C53" s="453" t="s">
        <v>2399</v>
      </c>
      <c r="D53" s="457"/>
      <c r="E53" s="455">
        <f>IF(E48&lt;G48,G48/E48-1,E48/G48-1)</f>
        <v>2.0568816658202094E-2</v>
      </c>
      <c r="F53" s="456" t="str">
        <f>IF(OR(E53&gt;=0.2,E53&lt;=-0.2),"超过20%","")</f>
        <v/>
      </c>
      <c r="G53" s="455">
        <f>IF(G48&lt;I48,I48/G48-1,G48/I48-1)</f>
        <v>2.2542921124657944E-2</v>
      </c>
      <c r="H53" s="456" t="str">
        <f>IF(OR(G53&gt;=0.2,G53&lt;=-0.2),"超过20%","")</f>
        <v/>
      </c>
      <c r="I53" s="455">
        <f>IF(I48&lt;E48,E48/I48-1,I48/E48-1)</f>
        <v>4.3575418994413306E-2</v>
      </c>
      <c r="J53" s="456" t="str">
        <f>IF(OR(I53&gt;=0.2,I53&lt;=-0.2),"超过20%","")</f>
        <v/>
      </c>
      <c r="K53" s="2948"/>
      <c r="L53" s="2944"/>
      <c r="M53" s="2943"/>
      <c r="N53" s="2943"/>
      <c r="O53" s="2943"/>
    </row>
    <row r="54" spans="1:29" s="458" customFormat="1" ht="13.5" customHeight="1">
      <c r="A54" s="2946"/>
      <c r="B54" s="2946"/>
      <c r="C54" s="453" t="s">
        <v>2400</v>
      </c>
      <c r="D54" s="457"/>
      <c r="E54" s="455">
        <f>IF(E47&lt;G47,G47/E47-1,E47/G47-1)</f>
        <v>4.9992114808389942E-2</v>
      </c>
      <c r="F54" s="456" t="str">
        <f>IF(OR(E54&gt;=0.3,E54&lt;=-0.3),"超过30%","")</f>
        <v/>
      </c>
      <c r="G54" s="455">
        <f>IF(G47&lt;I47,I47/G47-1,G47/I47-1)</f>
        <v>6.145476526294491E-3</v>
      </c>
      <c r="H54" s="456" t="str">
        <f>IF(OR(G54&gt;=0.3,G54&lt;=-0.3),"超过30%","")</f>
        <v/>
      </c>
      <c r="I54" s="455">
        <f>IF(I47&lt;E47,E47/I47-1,I47/E47-1)</f>
        <v>4.3578825632129448E-2</v>
      </c>
      <c r="J54" s="456" t="str">
        <f>IF(OR(I54&gt;=0.3,I54&lt;=-0.3),"超过30%","")</f>
        <v/>
      </c>
      <c r="K54" s="2951"/>
      <c r="L54" s="2945"/>
      <c r="M54" s="2946"/>
      <c r="N54" s="2946"/>
      <c r="O54" s="2946"/>
      <c r="P54" s="2097"/>
    </row>
    <row r="55" spans="1:29" s="458"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2" t="s">
        <v>2401</v>
      </c>
      <c r="B57" s="698"/>
      <c r="C57" s="703"/>
      <c r="D57" s="703"/>
      <c r="E57" s="703"/>
      <c r="F57" s="704"/>
      <c r="G57" s="704"/>
      <c r="H57" s="703"/>
      <c r="I57" s="703"/>
      <c r="J57" s="703"/>
      <c r="K57" s="1070"/>
      <c r="L57" s="1071"/>
      <c r="M57" s="1069"/>
      <c r="N57" s="1069"/>
      <c r="O57" s="1069"/>
      <c r="P57" s="2098"/>
      <c r="Q57" s="460"/>
    </row>
    <row r="58" spans="1:29" s="464" customFormat="1" ht="15">
      <c r="A58" s="461" t="s">
        <v>2402</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3" customFormat="1" ht="15">
      <c r="A59" s="465"/>
      <c r="B59" s="2099"/>
      <c r="C59" s="1343">
        <v>100</v>
      </c>
      <c r="D59" s="467">
        <f>C59-0.2</f>
        <v>99.8</v>
      </c>
      <c r="E59" s="467">
        <f t="shared" ref="E59:F59" si="20">D59-0.2</f>
        <v>99.6</v>
      </c>
      <c r="F59" s="467">
        <f t="shared" si="20"/>
        <v>99.399999999999991</v>
      </c>
      <c r="G59" s="468"/>
      <c r="H59" s="468"/>
      <c r="I59" s="468"/>
      <c r="J59" s="468"/>
      <c r="K59" s="468"/>
      <c r="L59" s="468"/>
      <c r="M59" s="469"/>
      <c r="N59" s="468"/>
      <c r="O59" s="469"/>
      <c r="P59" s="2100"/>
    </row>
    <row r="60" spans="1:29" s="113" customFormat="1" ht="15.75" thickBot="1">
      <c r="A60" s="471" t="s">
        <v>2403</v>
      </c>
      <c r="B60" s="472"/>
      <c r="C60" s="473"/>
      <c r="D60" s="474"/>
      <c r="E60" s="474"/>
      <c r="F60" s="474"/>
      <c r="G60" s="474"/>
      <c r="H60" s="474"/>
      <c r="I60" s="474"/>
      <c r="J60" s="474"/>
      <c r="K60" s="474"/>
      <c r="L60" s="474"/>
      <c r="M60" s="475"/>
      <c r="N60" s="474"/>
      <c r="O60" s="475"/>
      <c r="P60" s="2100"/>
      <c r="Q60" s="460"/>
    </row>
    <row r="61" spans="1:29" s="113" customFormat="1" ht="15">
      <c r="A61" s="477" t="s">
        <v>2404</v>
      </c>
      <c r="B61" s="466"/>
      <c r="C61" s="478" t="s">
        <v>2405</v>
      </c>
      <c r="D61" s="479"/>
      <c r="E61" s="479"/>
      <c r="F61" s="479"/>
      <c r="G61" s="479"/>
      <c r="H61" s="479"/>
      <c r="I61" s="479"/>
      <c r="J61" s="479"/>
      <c r="K61" s="479"/>
      <c r="L61" s="480"/>
      <c r="M61" s="481"/>
      <c r="N61" s="1061"/>
      <c r="O61" s="1061"/>
      <c r="P61" s="2101"/>
      <c r="Q61" s="460"/>
    </row>
    <row r="62" spans="1:29" s="113" customFormat="1" ht="15.75" thickBot="1">
      <c r="A62" s="477"/>
      <c r="B62" s="466"/>
      <c r="C62" s="467">
        <v>100</v>
      </c>
      <c r="D62" s="468"/>
      <c r="E62" s="468"/>
      <c r="F62" s="468"/>
      <c r="G62" s="468"/>
      <c r="H62" s="468"/>
      <c r="I62" s="468"/>
      <c r="J62" s="468"/>
      <c r="K62" s="468"/>
      <c r="L62" s="468"/>
      <c r="M62" s="470"/>
      <c r="N62" s="1061"/>
      <c r="O62" s="1061"/>
      <c r="P62" s="2100"/>
      <c r="Q62" s="460"/>
    </row>
    <row r="63" spans="1:29">
      <c r="A63" s="483" t="s">
        <v>2406</v>
      </c>
      <c r="B63" s="484" t="s">
        <v>2372</v>
      </c>
      <c r="C63" s="485" t="str">
        <f>C9</f>
        <v>住宅</v>
      </c>
      <c r="D63" s="486"/>
      <c r="E63" s="486"/>
      <c r="F63" s="486"/>
      <c r="G63" s="486"/>
      <c r="H63" s="486"/>
      <c r="I63" s="486"/>
      <c r="J63" s="486"/>
      <c r="K63" s="487"/>
      <c r="L63" s="488"/>
      <c r="M63" s="489"/>
      <c r="N63" s="1062"/>
      <c r="O63" s="1062"/>
      <c r="P63" s="2102"/>
      <c r="Q63" s="460"/>
    </row>
    <row r="64" spans="1:29" ht="15.75" thickBot="1">
      <c r="A64" s="490"/>
      <c r="B64" s="491"/>
      <c r="C64" s="492">
        <v>100</v>
      </c>
      <c r="D64" s="492"/>
      <c r="E64" s="492"/>
      <c r="F64" s="492"/>
      <c r="G64" s="492"/>
      <c r="H64" s="492"/>
      <c r="I64" s="492"/>
      <c r="J64" s="492"/>
      <c r="K64" s="492"/>
      <c r="L64" s="492"/>
      <c r="M64" s="493"/>
      <c r="N64" s="1063"/>
      <c r="O64" s="1063"/>
      <c r="P64" s="2102"/>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2"/>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3"/>
      <c r="O66" s="1063"/>
      <c r="P66" s="2102"/>
      <c r="Q66" s="460"/>
    </row>
    <row r="67" spans="1:17" ht="15.75" thickTop="1">
      <c r="A67" s="490"/>
      <c r="B67" s="502" t="s">
        <v>2376</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2"/>
      <c r="Q67" s="460"/>
    </row>
    <row r="68" spans="1:17" ht="15">
      <c r="A68" s="490"/>
      <c r="B68" s="504"/>
      <c r="C68" s="505">
        <v>0</v>
      </c>
      <c r="D68" s="505">
        <v>1</v>
      </c>
      <c r="E68" s="505">
        <v>2</v>
      </c>
      <c r="F68" s="505">
        <v>3</v>
      </c>
      <c r="G68" s="505"/>
      <c r="H68" s="505"/>
      <c r="I68" s="505"/>
      <c r="J68" s="505"/>
      <c r="K68" s="506"/>
      <c r="L68" s="507"/>
      <c r="M68" s="508"/>
      <c r="N68" s="1062"/>
      <c r="O68" s="1062"/>
      <c r="P68" s="2102"/>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3"/>
      <c r="O69" s="1063"/>
      <c r="P69" s="2102"/>
      <c r="Q69" s="460"/>
    </row>
    <row r="70" spans="1:17" s="429" customFormat="1" ht="15.75" thickTop="1">
      <c r="A70" s="509"/>
      <c r="B70" s="494">
        <f>B12</f>
        <v>111</v>
      </c>
      <c r="C70" s="510"/>
      <c r="D70" s="510"/>
      <c r="E70" s="510"/>
      <c r="F70" s="510"/>
      <c r="G70" s="510"/>
      <c r="H70" s="511"/>
      <c r="I70" s="511"/>
      <c r="J70" s="511"/>
      <c r="K70" s="511"/>
      <c r="L70" s="512"/>
      <c r="M70" s="513"/>
      <c r="N70" s="1064"/>
      <c r="O70" s="1064"/>
      <c r="P70" s="2103"/>
      <c r="Q70" s="515"/>
    </row>
    <row r="71" spans="1:17" s="429" customFormat="1" ht="15.75" thickBot="1">
      <c r="A71" s="509"/>
      <c r="B71" s="499"/>
      <c r="C71" s="516"/>
      <c r="D71" s="492"/>
      <c r="E71" s="492"/>
      <c r="F71" s="492"/>
      <c r="G71" s="492"/>
      <c r="H71" s="492"/>
      <c r="I71" s="492"/>
      <c r="J71" s="492"/>
      <c r="K71" s="492"/>
      <c r="L71" s="492"/>
      <c r="M71" s="493"/>
      <c r="N71" s="1063"/>
      <c r="O71" s="1063"/>
      <c r="P71" s="2103"/>
      <c r="Q71" s="515"/>
    </row>
    <row r="72" spans="1:17" s="429" customFormat="1" ht="15.75" thickTop="1">
      <c r="A72" s="509"/>
      <c r="B72" s="494">
        <f>B13</f>
        <v>111</v>
      </c>
      <c r="C72" s="510"/>
      <c r="D72" s="510"/>
      <c r="E72" s="510"/>
      <c r="F72" s="510"/>
      <c r="G72" s="510"/>
      <c r="H72" s="511"/>
      <c r="I72" s="511"/>
      <c r="J72" s="511"/>
      <c r="K72" s="511"/>
      <c r="L72" s="512"/>
      <c r="M72" s="513"/>
      <c r="N72" s="1064"/>
      <c r="O72" s="1064"/>
      <c r="P72" s="2104"/>
      <c r="Q72" s="517"/>
    </row>
    <row r="73" spans="1:17" s="429" customFormat="1" ht="15.75" thickBot="1">
      <c r="A73" s="509"/>
      <c r="B73" s="499"/>
      <c r="C73" s="516"/>
      <c r="D73" s="516"/>
      <c r="E73" s="516"/>
      <c r="F73" s="516"/>
      <c r="G73" s="516"/>
      <c r="H73" s="518"/>
      <c r="I73" s="518"/>
      <c r="J73" s="518"/>
      <c r="K73" s="518"/>
      <c r="L73" s="518"/>
      <c r="M73" s="519"/>
      <c r="N73" s="1064"/>
      <c r="O73" s="1064"/>
      <c r="P73" s="2103"/>
      <c r="Q73" s="515"/>
    </row>
    <row r="74" spans="1:17" s="429" customFormat="1" ht="15.75" thickTop="1">
      <c r="A74" s="509"/>
      <c r="B74" s="502">
        <f>B14</f>
        <v>111</v>
      </c>
      <c r="C74" s="510"/>
      <c r="D74" s="510"/>
      <c r="E74" s="510"/>
      <c r="F74" s="510"/>
      <c r="G74" s="479"/>
      <c r="H74" s="520"/>
      <c r="I74" s="520"/>
      <c r="J74" s="520"/>
      <c r="K74" s="520"/>
      <c r="L74" s="521"/>
      <c r="M74" s="522"/>
      <c r="N74" s="1064"/>
      <c r="O74" s="1064"/>
      <c r="P74" s="2105"/>
      <c r="Q74" s="515"/>
    </row>
    <row r="75" spans="1:17" s="429" customFormat="1" ht="15.75" thickBot="1">
      <c r="A75" s="524"/>
      <c r="B75" s="525"/>
      <c r="C75" s="526"/>
      <c r="D75" s="526"/>
      <c r="E75" s="526"/>
      <c r="F75" s="526"/>
      <c r="G75" s="526"/>
      <c r="H75" s="527"/>
      <c r="I75" s="527"/>
      <c r="J75" s="527"/>
      <c r="K75" s="527"/>
      <c r="L75" s="527"/>
      <c r="M75" s="528"/>
      <c r="N75" s="1064"/>
      <c r="O75" s="1064"/>
      <c r="P75" s="2103"/>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2"/>
      <c r="O76" s="1062"/>
      <c r="P76" s="2106"/>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3"/>
      <c r="O77" s="1063"/>
      <c r="P77" s="2102"/>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2"/>
      <c r="O78" s="1062"/>
      <c r="P78" s="2102"/>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3"/>
      <c r="O79" s="1063"/>
      <c r="P79" s="2102"/>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2"/>
      <c r="O80" s="1062"/>
      <c r="P80" s="2102"/>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3"/>
      <c r="O81" s="1063"/>
      <c r="P81" s="2102"/>
      <c r="Q81" s="460"/>
    </row>
    <row r="82" spans="1:17" ht="15.75" thickTop="1">
      <c r="A82" s="490"/>
      <c r="B82" s="502" t="s">
        <v>1946</v>
      </c>
      <c r="C82" s="495" t="s">
        <v>2422</v>
      </c>
      <c r="D82" s="495" t="s">
        <v>2423</v>
      </c>
      <c r="E82" s="495" t="s">
        <v>2424</v>
      </c>
      <c r="F82" s="495" t="s">
        <v>2425</v>
      </c>
      <c r="G82" s="495" t="s">
        <v>2426</v>
      </c>
      <c r="H82" s="495"/>
      <c r="I82" s="495"/>
      <c r="J82" s="495"/>
      <c r="K82" s="495"/>
      <c r="L82" s="495"/>
      <c r="M82" s="1289"/>
      <c r="N82" s="1063"/>
      <c r="O82" s="1063"/>
      <c r="P82" s="2102"/>
      <c r="Q82" s="460"/>
    </row>
    <row r="83" spans="1:17" ht="15.75"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2"/>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2"/>
      <c r="O84" s="1062"/>
      <c r="P84" s="2102"/>
      <c r="Q84" s="460"/>
    </row>
    <row r="85" spans="1:17" ht="15.75" thickBot="1">
      <c r="A85" s="490"/>
      <c r="B85" s="499"/>
      <c r="C85" s="500">
        <v>100</v>
      </c>
      <c r="D85" s="500">
        <f>C85-$K23</f>
        <v>99</v>
      </c>
      <c r="E85" s="500">
        <f>D85-$K23</f>
        <v>98</v>
      </c>
      <c r="F85" s="500">
        <f>E85-$K23</f>
        <v>97</v>
      </c>
      <c r="G85" s="500">
        <f>F85-$K23</f>
        <v>96</v>
      </c>
      <c r="H85" s="500"/>
      <c r="I85" s="500"/>
      <c r="J85" s="500"/>
      <c r="K85" s="500"/>
      <c r="L85" s="500"/>
      <c r="M85" s="501"/>
      <c r="N85" s="1063"/>
      <c r="O85" s="1063"/>
      <c r="P85" s="2102"/>
      <c r="Q85" s="460"/>
    </row>
    <row r="86" spans="1:17" s="113" customFormat="1" ht="15.75" thickTop="1">
      <c r="A86" s="535"/>
      <c r="B86" s="494" t="s">
        <v>2428</v>
      </c>
      <c r="C86" s="510"/>
      <c r="D86" s="510"/>
      <c r="E86" s="510"/>
      <c r="F86" s="510"/>
      <c r="G86" s="510"/>
      <c r="H86" s="510"/>
      <c r="I86" s="510"/>
      <c r="J86" s="510"/>
      <c r="K86" s="510"/>
      <c r="L86" s="536"/>
      <c r="M86" s="537"/>
      <c r="N86" s="1061"/>
      <c r="O86" s="1061"/>
      <c r="P86" s="2102"/>
      <c r="Q86" s="460"/>
    </row>
    <row r="87" spans="1:17" s="113"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2"/>
      <c r="Q87" s="460"/>
    </row>
    <row r="88" spans="1:17" s="113" customFormat="1" ht="15.75" thickTop="1">
      <c r="A88" s="535"/>
      <c r="B88" s="494" t="s">
        <v>2429</v>
      </c>
      <c r="C88" s="510"/>
      <c r="D88" s="510"/>
      <c r="E88" s="510"/>
      <c r="F88" s="2107"/>
      <c r="G88" s="510"/>
      <c r="H88" s="510"/>
      <c r="I88" s="510"/>
      <c r="J88" s="510"/>
      <c r="K88" s="510"/>
      <c r="L88" s="510"/>
      <c r="M88" s="537"/>
      <c r="N88" s="1061"/>
      <c r="O88" s="1061"/>
      <c r="P88" s="2102"/>
      <c r="Q88" s="460"/>
    </row>
    <row r="89" spans="1:17" s="113"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2"/>
      <c r="Q89" s="460"/>
    </row>
    <row r="90" spans="1:17" s="429" customFormat="1" ht="15.75" thickTop="1">
      <c r="A90" s="509"/>
      <c r="B90" s="494">
        <f>B27</f>
        <v>111</v>
      </c>
      <c r="C90" s="510"/>
      <c r="D90" s="510"/>
      <c r="E90" s="510"/>
      <c r="F90" s="510"/>
      <c r="G90" s="510"/>
      <c r="H90" s="511"/>
      <c r="I90" s="511"/>
      <c r="J90" s="511"/>
      <c r="K90" s="511"/>
      <c r="L90" s="512"/>
      <c r="M90" s="513"/>
      <c r="N90" s="1064"/>
      <c r="O90" s="1064"/>
      <c r="P90" s="2103"/>
      <c r="Q90" s="515"/>
    </row>
    <row r="91" spans="1:17" s="429" customFormat="1" ht="15.75" thickBot="1">
      <c r="A91" s="509"/>
      <c r="B91" s="499"/>
      <c r="C91" s="516"/>
      <c r="D91" s="516"/>
      <c r="E91" s="516"/>
      <c r="F91" s="516"/>
      <c r="G91" s="516"/>
      <c r="H91" s="518"/>
      <c r="I91" s="518"/>
      <c r="J91" s="518"/>
      <c r="K91" s="518"/>
      <c r="L91" s="518"/>
      <c r="M91" s="519"/>
      <c r="N91" s="1064"/>
      <c r="O91" s="1064"/>
      <c r="P91" s="2103"/>
      <c r="Q91" s="515"/>
    </row>
    <row r="92" spans="1:17" ht="15.75" thickTop="1">
      <c r="A92" s="490"/>
      <c r="B92" s="494">
        <f>B28</f>
        <v>111</v>
      </c>
      <c r="C92" s="510"/>
      <c r="D92" s="510"/>
      <c r="E92" s="510"/>
      <c r="F92" s="510"/>
      <c r="G92" s="539"/>
      <c r="H92" s="539"/>
      <c r="I92" s="539"/>
      <c r="J92" s="539"/>
      <c r="K92" s="540"/>
      <c r="L92" s="541"/>
      <c r="M92" s="542"/>
      <c r="N92" s="1062"/>
      <c r="O92" s="1062"/>
      <c r="P92" s="2102"/>
      <c r="Q92" s="460"/>
    </row>
    <row r="93" spans="1:17" ht="15.75" thickBot="1">
      <c r="A93" s="490"/>
      <c r="B93" s="499"/>
      <c r="C93" s="516"/>
      <c r="D93" s="492"/>
      <c r="E93" s="492"/>
      <c r="F93" s="492"/>
      <c r="G93" s="492"/>
      <c r="H93" s="492"/>
      <c r="I93" s="492"/>
      <c r="J93" s="492"/>
      <c r="K93" s="492"/>
      <c r="L93" s="492"/>
      <c r="M93" s="493"/>
      <c r="N93" s="1063"/>
      <c r="O93" s="1063"/>
      <c r="P93" s="2102"/>
      <c r="Q93" s="460"/>
    </row>
    <row r="94" spans="1:17" ht="15.75" thickTop="1">
      <c r="A94" s="490"/>
      <c r="B94" s="494">
        <f>B29</f>
        <v>111</v>
      </c>
      <c r="C94" s="510"/>
      <c r="D94" s="510"/>
      <c r="E94" s="510"/>
      <c r="F94" s="510"/>
      <c r="G94" s="539"/>
      <c r="H94" s="539"/>
      <c r="I94" s="539"/>
      <c r="J94" s="539"/>
      <c r="K94" s="540"/>
      <c r="L94" s="541"/>
      <c r="M94" s="542"/>
      <c r="N94" s="1062"/>
      <c r="O94" s="1062"/>
      <c r="P94" s="2102"/>
      <c r="Q94" s="460"/>
    </row>
    <row r="95" spans="1:17" ht="15.75" thickBot="1">
      <c r="A95" s="490"/>
      <c r="B95" s="499"/>
      <c r="C95" s="516"/>
      <c r="D95" s="516"/>
      <c r="E95" s="516"/>
      <c r="F95" s="516"/>
      <c r="G95" s="492"/>
      <c r="H95" s="492"/>
      <c r="I95" s="492"/>
      <c r="J95" s="492"/>
      <c r="K95" s="492"/>
      <c r="L95" s="492"/>
      <c r="M95" s="493"/>
      <c r="N95" s="1063"/>
      <c r="O95" s="1063"/>
      <c r="P95" s="2102"/>
      <c r="Q95" s="460"/>
    </row>
    <row r="96" spans="1:17" ht="15.75" thickTop="1">
      <c r="A96" s="490"/>
      <c r="B96" s="494">
        <f>B30</f>
        <v>111</v>
      </c>
      <c r="C96" s="510"/>
      <c r="D96" s="510"/>
      <c r="E96" s="510"/>
      <c r="F96" s="510"/>
      <c r="G96" s="539"/>
      <c r="H96" s="539"/>
      <c r="I96" s="539"/>
      <c r="J96" s="539"/>
      <c r="K96" s="540"/>
      <c r="L96" s="541"/>
      <c r="M96" s="542"/>
      <c r="N96" s="1062"/>
      <c r="O96" s="1062"/>
      <c r="P96" s="2102"/>
      <c r="Q96" s="460"/>
    </row>
    <row r="97" spans="1:17" ht="15.75" thickBot="1">
      <c r="A97" s="490"/>
      <c r="B97" s="499"/>
      <c r="C97" s="526"/>
      <c r="D97" s="526"/>
      <c r="E97" s="526"/>
      <c r="F97" s="526"/>
      <c r="G97" s="492"/>
      <c r="H97" s="492"/>
      <c r="I97" s="492"/>
      <c r="J97" s="492"/>
      <c r="K97" s="492"/>
      <c r="L97" s="492"/>
      <c r="M97" s="493"/>
      <c r="N97" s="1063"/>
      <c r="O97" s="1063"/>
      <c r="P97" s="2102"/>
      <c r="Q97" s="460"/>
    </row>
    <row r="98" spans="1:17" ht="15.75" thickTop="1">
      <c r="A98" s="490"/>
      <c r="B98" s="502">
        <f>B31</f>
        <v>111</v>
      </c>
      <c r="C98" s="543"/>
      <c r="D98" s="543"/>
      <c r="E98" s="543"/>
      <c r="F98" s="543"/>
      <c r="G98" s="543"/>
      <c r="H98" s="543"/>
      <c r="I98" s="543"/>
      <c r="J98" s="543"/>
      <c r="K98" s="544"/>
      <c r="L98" s="545"/>
      <c r="M98" s="546"/>
      <c r="N98" s="1062"/>
      <c r="O98" s="1062"/>
      <c r="P98" s="2102"/>
      <c r="Q98" s="460"/>
    </row>
    <row r="99" spans="1:17" ht="15.75" thickBot="1">
      <c r="A99" s="2108"/>
      <c r="B99" s="525"/>
      <c r="C99" s="547"/>
      <c r="D99" s="547"/>
      <c r="E99" s="547"/>
      <c r="F99" s="547"/>
      <c r="G99" s="547"/>
      <c r="H99" s="547"/>
      <c r="I99" s="547"/>
      <c r="J99" s="547"/>
      <c r="K99" s="547"/>
      <c r="L99" s="547"/>
      <c r="M99" s="548"/>
      <c r="N99" s="1063"/>
      <c r="O99" s="1063"/>
      <c r="P99" s="2102"/>
      <c r="Q99" s="460"/>
    </row>
    <row r="100" spans="1:17">
      <c r="A100" s="483" t="s">
        <v>2381</v>
      </c>
      <c r="B100" s="484" t="s">
        <v>2430</v>
      </c>
      <c r="C100" s="3105" t="s">
        <v>3330</v>
      </c>
      <c r="D100" s="486"/>
      <c r="E100" s="486"/>
      <c r="F100" s="486"/>
      <c r="G100" s="486"/>
      <c r="H100" s="486"/>
      <c r="I100" s="486"/>
      <c r="J100" s="486"/>
      <c r="K100" s="487"/>
      <c r="L100" s="488"/>
      <c r="M100" s="489"/>
      <c r="N100" s="1062"/>
      <c r="O100" s="1062"/>
      <c r="P100" s="2102"/>
      <c r="Q100" s="460"/>
    </row>
    <row r="101" spans="1:17" ht="15.75" thickBot="1">
      <c r="A101" s="490"/>
      <c r="B101" s="499"/>
      <c r="C101" s="500">
        <v>100</v>
      </c>
      <c r="D101" s="500">
        <f t="shared" ref="D101:M101" si="27">C101-$K32</f>
        <v>98</v>
      </c>
      <c r="E101" s="500">
        <f t="shared" si="27"/>
        <v>96</v>
      </c>
      <c r="F101" s="500">
        <f t="shared" si="27"/>
        <v>94</v>
      </c>
      <c r="G101" s="500">
        <f t="shared" si="27"/>
        <v>92</v>
      </c>
      <c r="H101" s="500">
        <f t="shared" si="27"/>
        <v>90</v>
      </c>
      <c r="I101" s="500">
        <f t="shared" si="27"/>
        <v>88</v>
      </c>
      <c r="J101" s="500">
        <f t="shared" si="27"/>
        <v>86</v>
      </c>
      <c r="K101" s="500">
        <f t="shared" si="27"/>
        <v>84</v>
      </c>
      <c r="L101" s="500">
        <f t="shared" si="27"/>
        <v>82</v>
      </c>
      <c r="M101" s="500">
        <f t="shared" si="27"/>
        <v>80</v>
      </c>
      <c r="N101" s="1063"/>
      <c r="O101" s="1063"/>
      <c r="P101" s="2102"/>
      <c r="Q101" s="460"/>
    </row>
    <row r="102" spans="1:17" ht="29.25" thickTop="1">
      <c r="A102" s="490"/>
      <c r="B102" s="494" t="s">
        <v>2431</v>
      </c>
      <c r="C102" s="534" t="str">
        <f>C103&amp;"(含)"&amp;"-"&amp;D103</f>
        <v>0(含)-100000</v>
      </c>
      <c r="D102" s="534" t="str">
        <f t="shared" ref="D102:L102" si="28">D103&amp;"(含)"&amp;"-"&amp;E103</f>
        <v>100000(含)-200000</v>
      </c>
      <c r="E102" s="534" t="str">
        <f t="shared" si="28"/>
        <v>200000(含)-500000</v>
      </c>
      <c r="F102" s="534" t="str">
        <f t="shared" si="28"/>
        <v>500000(含)-</v>
      </c>
      <c r="G102" s="534" t="str">
        <f t="shared" si="28"/>
        <v>(含)-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1"/>
      <c r="O102" s="1061"/>
      <c r="P102" s="2102"/>
      <c r="Q102" s="460"/>
    </row>
    <row r="103" spans="1:17" s="429" customFormat="1">
      <c r="A103" s="549"/>
      <c r="B103" s="550"/>
      <c r="C103" s="551">
        <v>0</v>
      </c>
      <c r="D103" s="551">
        <v>100000</v>
      </c>
      <c r="E103" s="551">
        <v>200000</v>
      </c>
      <c r="F103" s="551">
        <v>500000</v>
      </c>
      <c r="G103" s="551"/>
      <c r="H103" s="551"/>
      <c r="I103" s="551"/>
      <c r="J103" s="552"/>
      <c r="K103" s="552"/>
      <c r="L103" s="553"/>
      <c r="M103" s="554"/>
      <c r="N103" s="1064"/>
      <c r="O103" s="1064"/>
      <c r="P103" s="2103"/>
      <c r="Q103" s="515"/>
    </row>
    <row r="104" spans="1:17" s="429" customFormat="1" ht="15.75" thickBot="1">
      <c r="A104" s="509"/>
      <c r="B104" s="499"/>
      <c r="C104" s="516">
        <v>97</v>
      </c>
      <c r="D104" s="492">
        <v>100</v>
      </c>
      <c r="E104" s="492">
        <v>97</v>
      </c>
      <c r="F104" s="492">
        <v>94</v>
      </c>
      <c r="G104" s="492"/>
      <c r="H104" s="492"/>
      <c r="I104" s="492"/>
      <c r="J104" s="492"/>
      <c r="K104" s="492"/>
      <c r="L104" s="492"/>
      <c r="M104" s="492"/>
      <c r="N104" s="1063"/>
      <c r="O104" s="1063"/>
      <c r="P104" s="2103"/>
      <c r="Q104" s="515"/>
    </row>
    <row r="105" spans="1:17" ht="15" thickTop="1">
      <c r="A105" s="555"/>
      <c r="B105" s="494" t="s">
        <v>2432</v>
      </c>
      <c r="C105" s="3138" t="s">
        <v>3331</v>
      </c>
      <c r="D105" s="510"/>
      <c r="E105" s="539"/>
      <c r="F105" s="539"/>
      <c r="G105" s="539"/>
      <c r="H105" s="539"/>
      <c r="I105" s="539"/>
      <c r="J105" s="539"/>
      <c r="K105" s="540"/>
      <c r="L105" s="541"/>
      <c r="M105" s="542"/>
      <c r="N105" s="1062"/>
      <c r="O105" s="1062"/>
      <c r="P105" s="2102"/>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3"/>
      <c r="O106" s="1063"/>
      <c r="P106" s="2102"/>
      <c r="Q106" s="460"/>
    </row>
    <row r="107" spans="1:17" ht="15" thickTop="1">
      <c r="A107" s="555"/>
      <c r="B107" s="494" t="s">
        <v>2433</v>
      </c>
      <c r="C107" s="3137" t="s">
        <v>3333</v>
      </c>
      <c r="D107" s="539"/>
      <c r="E107" s="539"/>
      <c r="F107" s="539"/>
      <c r="G107" s="539"/>
      <c r="H107" s="539"/>
      <c r="I107" s="539"/>
      <c r="J107" s="539"/>
      <c r="K107" s="540"/>
      <c r="L107" s="541"/>
      <c r="M107" s="542"/>
      <c r="N107" s="1062"/>
      <c r="O107" s="1062"/>
      <c r="P107" s="2102"/>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3"/>
      <c r="O108" s="1063"/>
      <c r="P108" s="2102"/>
      <c r="Q108" s="460"/>
    </row>
    <row r="109" spans="1:17" ht="15" thickTop="1">
      <c r="A109" s="555"/>
      <c r="B109" s="494" t="s">
        <v>2434</v>
      </c>
      <c r="C109" s="3138" t="s">
        <v>3335</v>
      </c>
      <c r="D109" s="3138" t="s">
        <v>3336</v>
      </c>
      <c r="E109" s="3138" t="s">
        <v>3338</v>
      </c>
      <c r="F109" s="539"/>
      <c r="G109" s="539"/>
      <c r="H109" s="539"/>
      <c r="I109" s="539"/>
      <c r="J109" s="539"/>
      <c r="K109" s="540"/>
      <c r="L109" s="541"/>
      <c r="M109" s="542"/>
      <c r="N109" s="1062"/>
      <c r="O109" s="1062"/>
      <c r="P109" s="2102"/>
      <c r="Q109" s="460"/>
    </row>
    <row r="110" spans="1:17" ht="15.75" thickBot="1">
      <c r="A110" s="490"/>
      <c r="B110" s="499"/>
      <c r="C110" s="500">
        <v>100</v>
      </c>
      <c r="D110" s="500">
        <f t="shared" ref="D110:M110" si="31">C110-$K36</f>
        <v>98</v>
      </c>
      <c r="E110" s="500">
        <f t="shared" si="31"/>
        <v>96</v>
      </c>
      <c r="F110" s="500">
        <f t="shared" si="31"/>
        <v>94</v>
      </c>
      <c r="G110" s="500">
        <f t="shared" si="31"/>
        <v>92</v>
      </c>
      <c r="H110" s="500">
        <f t="shared" si="31"/>
        <v>90</v>
      </c>
      <c r="I110" s="500">
        <f t="shared" si="31"/>
        <v>88</v>
      </c>
      <c r="J110" s="500">
        <f t="shared" si="31"/>
        <v>86</v>
      </c>
      <c r="K110" s="500">
        <f t="shared" si="31"/>
        <v>84</v>
      </c>
      <c r="L110" s="500">
        <f t="shared" si="31"/>
        <v>82</v>
      </c>
      <c r="M110" s="500">
        <f t="shared" si="31"/>
        <v>80</v>
      </c>
      <c r="N110" s="1063"/>
      <c r="O110" s="1063"/>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3"/>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3"/>
      <c r="Q113" s="515"/>
    </row>
    <row r="114" spans="1:17" ht="15" thickTop="1">
      <c r="A114" s="555"/>
      <c r="B114" s="494" t="s">
        <v>2435</v>
      </c>
      <c r="C114" s="3138" t="s">
        <v>3340</v>
      </c>
      <c r="D114" s="510"/>
      <c r="E114" s="539"/>
      <c r="F114" s="539"/>
      <c r="G114" s="539"/>
      <c r="H114" s="539"/>
      <c r="I114" s="539"/>
      <c r="J114" s="539"/>
      <c r="K114" s="540"/>
      <c r="L114" s="541"/>
      <c r="M114" s="542"/>
      <c r="N114" s="1062"/>
      <c r="O114" s="1062"/>
      <c r="P114" s="2102"/>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3"/>
      <c r="O115" s="1063"/>
      <c r="P115" s="2102"/>
      <c r="Q115" s="460"/>
    </row>
    <row r="116" spans="1:17" ht="15" thickTop="1">
      <c r="A116" s="555"/>
      <c r="B116" s="494" t="s">
        <v>2436</v>
      </c>
      <c r="C116" s="510" t="s">
        <v>3294</v>
      </c>
      <c r="D116" s="510" t="s">
        <v>3325</v>
      </c>
      <c r="E116" s="510" t="s">
        <v>3326</v>
      </c>
      <c r="F116" s="510" t="s">
        <v>3327</v>
      </c>
      <c r="G116" s="510" t="s">
        <v>3328</v>
      </c>
      <c r="H116" s="539"/>
      <c r="I116" s="539"/>
      <c r="J116" s="539"/>
      <c r="K116" s="540"/>
      <c r="L116" s="541"/>
      <c r="M116" s="542"/>
      <c r="N116" s="1062"/>
      <c r="O116" s="1062"/>
      <c r="P116" s="2102"/>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2"/>
      <c r="Q117" s="460"/>
    </row>
    <row r="118" spans="1:17" ht="15" thickTop="1">
      <c r="A118" s="555"/>
      <c r="B118" s="494" t="s">
        <v>2437</v>
      </c>
      <c r="C118" s="539"/>
      <c r="D118" s="539"/>
      <c r="E118" s="539"/>
      <c r="F118" s="539"/>
      <c r="G118" s="539"/>
      <c r="H118" s="539"/>
      <c r="I118" s="539"/>
      <c r="J118" s="539"/>
      <c r="K118" s="540"/>
      <c r="L118" s="541"/>
      <c r="M118" s="542"/>
      <c r="N118" s="1062"/>
      <c r="O118" s="1062"/>
      <c r="P118" s="2102"/>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3"/>
      <c r="O119" s="1063"/>
      <c r="P119" s="2102"/>
      <c r="Q119" s="460"/>
    </row>
    <row r="120" spans="1:17" s="429" customFormat="1" ht="28.5" thickTop="1">
      <c r="A120" s="549"/>
      <c r="B120" s="494" t="s">
        <v>2392</v>
      </c>
      <c r="C120" s="510"/>
      <c r="D120" s="510"/>
      <c r="E120" s="510"/>
      <c r="F120" s="510"/>
      <c r="G120" s="510"/>
      <c r="H120" s="510"/>
      <c r="I120" s="510"/>
      <c r="J120" s="510"/>
      <c r="K120" s="510"/>
      <c r="L120" s="536"/>
      <c r="M120" s="537"/>
      <c r="N120" s="1064"/>
      <c r="O120" s="1064"/>
      <c r="P120" s="2103"/>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3"/>
      <c r="Q121" s="515"/>
    </row>
    <row r="122" spans="1:17" ht="15" thickTop="1">
      <c r="A122" s="555"/>
      <c r="B122" s="494" t="s">
        <v>2438</v>
      </c>
      <c r="C122" s="3138" t="s">
        <v>3335</v>
      </c>
      <c r="D122" s="3138" t="s">
        <v>3336</v>
      </c>
      <c r="E122" s="3138" t="s">
        <v>3338</v>
      </c>
      <c r="F122" s="539"/>
      <c r="G122" s="539"/>
      <c r="H122" s="539"/>
      <c r="I122" s="539"/>
      <c r="J122" s="539"/>
      <c r="K122" s="540"/>
      <c r="L122" s="541"/>
      <c r="M122" s="542"/>
      <c r="N122" s="1062"/>
      <c r="O122" s="1062"/>
      <c r="P122" s="2102"/>
      <c r="Q122" s="460"/>
    </row>
    <row r="123" spans="1:17" ht="15.75" thickBot="1">
      <c r="A123" s="490"/>
      <c r="B123" s="499"/>
      <c r="C123" s="500">
        <v>100</v>
      </c>
      <c r="D123" s="500">
        <f t="shared" ref="D123:M123" si="34">C123-$K42</f>
        <v>98</v>
      </c>
      <c r="E123" s="500">
        <f t="shared" si="34"/>
        <v>96</v>
      </c>
      <c r="F123" s="500">
        <f t="shared" si="34"/>
        <v>94</v>
      </c>
      <c r="G123" s="500">
        <f t="shared" si="34"/>
        <v>92</v>
      </c>
      <c r="H123" s="500">
        <f t="shared" si="34"/>
        <v>90</v>
      </c>
      <c r="I123" s="500">
        <f t="shared" si="34"/>
        <v>88</v>
      </c>
      <c r="J123" s="500">
        <f t="shared" si="34"/>
        <v>86</v>
      </c>
      <c r="K123" s="500">
        <f t="shared" si="34"/>
        <v>84</v>
      </c>
      <c r="L123" s="500">
        <f t="shared" si="34"/>
        <v>82</v>
      </c>
      <c r="M123" s="500">
        <f t="shared" si="34"/>
        <v>80</v>
      </c>
      <c r="N123" s="1063"/>
      <c r="O123" s="1063"/>
      <c r="P123" s="2102"/>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3"/>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2"/>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3"/>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3"/>
      <c r="Q127" s="515"/>
    </row>
    <row r="128" spans="1:17" ht="15" thickTop="1">
      <c r="A128" s="555"/>
      <c r="B128" s="494">
        <f>B45</f>
        <v>111</v>
      </c>
      <c r="C128" s="510"/>
      <c r="D128" s="510"/>
      <c r="E128" s="510"/>
      <c r="F128" s="510"/>
      <c r="G128" s="539"/>
      <c r="H128" s="539"/>
      <c r="I128" s="539"/>
      <c r="J128" s="539"/>
      <c r="K128" s="540"/>
      <c r="L128" s="541"/>
      <c r="M128" s="542"/>
      <c r="N128" s="1062"/>
      <c r="O128" s="1062"/>
      <c r="P128" s="2102"/>
      <c r="Q128" s="460"/>
    </row>
    <row r="129" spans="1:17" ht="15.75" thickBot="1">
      <c r="A129" s="490"/>
      <c r="B129" s="499"/>
      <c r="C129" s="516"/>
      <c r="D129" s="516"/>
      <c r="E129" s="516"/>
      <c r="F129" s="516"/>
      <c r="G129" s="492"/>
      <c r="H129" s="492"/>
      <c r="I129" s="492"/>
      <c r="J129" s="492"/>
      <c r="K129" s="492"/>
      <c r="L129" s="492"/>
      <c r="M129" s="493"/>
      <c r="N129" s="1063"/>
      <c r="O129" s="1063"/>
      <c r="P129" s="2102"/>
      <c r="Q129" s="460"/>
    </row>
    <row r="130" spans="1:17" ht="15" thickTop="1">
      <c r="A130" s="555"/>
      <c r="B130" s="502">
        <f>B46</f>
        <v>111</v>
      </c>
      <c r="C130" s="510"/>
      <c r="D130" s="510"/>
      <c r="E130" s="510"/>
      <c r="F130" s="510"/>
      <c r="G130" s="543"/>
      <c r="H130" s="543"/>
      <c r="I130" s="543"/>
      <c r="J130" s="543"/>
      <c r="K130" s="479"/>
      <c r="L130" s="480"/>
      <c r="M130" s="546"/>
      <c r="N130" s="1062"/>
      <c r="O130" s="1062"/>
      <c r="P130" s="2102"/>
      <c r="Q130" s="460"/>
    </row>
    <row r="131" spans="1:17" ht="15.75" thickBot="1">
      <c r="A131" s="2108"/>
      <c r="B131" s="525"/>
      <c r="C131" s="526"/>
      <c r="D131" s="526"/>
      <c r="E131" s="526"/>
      <c r="F131" s="526"/>
      <c r="G131" s="547"/>
      <c r="H131" s="547"/>
      <c r="I131" s="547"/>
      <c r="J131" s="547"/>
      <c r="K131" s="547"/>
      <c r="L131" s="547"/>
      <c r="M131" s="548"/>
      <c r="N131" s="1063"/>
      <c r="O131" s="1063"/>
      <c r="P131" s="2102"/>
      <c r="Q131" s="460"/>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1" t="s">
        <v>2443</v>
      </c>
      <c r="D138" s="141" t="s">
        <v>2444</v>
      </c>
      <c r="E138" s="2117" t="s">
        <v>2445</v>
      </c>
      <c r="F138" s="2118" t="s">
        <v>2446</v>
      </c>
      <c r="G138" s="141" t="s">
        <v>2444</v>
      </c>
      <c r="H138" s="142" t="s">
        <v>2445</v>
      </c>
      <c r="I138" s="2119"/>
      <c r="J138" s="141" t="s">
        <v>2447</v>
      </c>
      <c r="K138" s="142" t="s">
        <v>2448</v>
      </c>
    </row>
    <row r="139" spans="1:17" ht="15">
      <c r="B139" s="996">
        <v>6</v>
      </c>
      <c r="C139" s="997">
        <v>96</v>
      </c>
      <c r="D139" s="2120" t="s">
        <v>2449</v>
      </c>
      <c r="E139" s="998">
        <v>100</v>
      </c>
      <c r="F139" s="999">
        <v>102.5</v>
      </c>
      <c r="G139" s="2120" t="s">
        <v>2449</v>
      </c>
      <c r="H139" s="1000">
        <v>105</v>
      </c>
      <c r="I139" s="2121" t="s">
        <v>2450</v>
      </c>
      <c r="J139" s="997">
        <v>20</v>
      </c>
      <c r="K139" s="1001">
        <f>C145/(J139-2)</f>
        <v>4.0555555555555553E-3</v>
      </c>
    </row>
    <row r="140" spans="1:17" ht="15">
      <c r="B140" s="1002">
        <v>5</v>
      </c>
      <c r="C140" s="1003">
        <v>100</v>
      </c>
      <c r="D140" s="1003"/>
      <c r="E140" s="1004"/>
      <c r="F140" s="1005">
        <v>102</v>
      </c>
      <c r="G140" s="1003"/>
      <c r="H140" s="1006"/>
      <c r="I140" s="2122" t="s">
        <v>2451</v>
      </c>
      <c r="J140" s="276">
        <f>ROUNDUP((J139-1)/2,0)</f>
        <v>10</v>
      </c>
      <c r="K140" s="1007">
        <v>100</v>
      </c>
    </row>
    <row r="141" spans="1:17" ht="15">
      <c r="B141" s="1002">
        <v>4</v>
      </c>
      <c r="C141" s="1003">
        <v>102</v>
      </c>
      <c r="D141" s="1003"/>
      <c r="E141" s="1004"/>
      <c r="F141" s="1005">
        <v>101.5</v>
      </c>
      <c r="G141" s="1003"/>
      <c r="H141" s="1006"/>
      <c r="I141" s="2122" t="s">
        <v>2452</v>
      </c>
      <c r="J141" s="276">
        <v>1</v>
      </c>
      <c r="K141" s="1008">
        <f>ROUND(100+(J141-J140)*K139*100,1)</f>
        <v>96.4</v>
      </c>
    </row>
    <row r="142" spans="1:17" ht="15">
      <c r="B142" s="1002">
        <v>3</v>
      </c>
      <c r="C142" s="1003">
        <v>103</v>
      </c>
      <c r="D142" s="1003"/>
      <c r="E142" s="1004"/>
      <c r="F142" s="1005">
        <v>101</v>
      </c>
      <c r="G142" s="1003"/>
      <c r="H142" s="1006"/>
      <c r="I142" s="2122" t="s">
        <v>2453</v>
      </c>
      <c r="J142" s="276">
        <f>J139</f>
        <v>20</v>
      </c>
      <c r="K142" s="1009">
        <v>95</v>
      </c>
    </row>
    <row r="143" spans="1:17" ht="15">
      <c r="B143" s="1002">
        <v>2</v>
      </c>
      <c r="C143" s="1003">
        <v>100</v>
      </c>
      <c r="D143" s="1003"/>
      <c r="E143" s="1004"/>
      <c r="F143" s="1005">
        <v>100.5</v>
      </c>
      <c r="G143" s="1003"/>
      <c r="H143" s="1006"/>
      <c r="I143" s="2122" t="s">
        <v>2454</v>
      </c>
      <c r="J143" s="1003">
        <v>15</v>
      </c>
      <c r="K143" s="1008">
        <f>ROUND(100+(J143-J140)*K139*100,1)</f>
        <v>102</v>
      </c>
    </row>
    <row r="144" spans="1:17" ht="15">
      <c r="B144" s="1002">
        <v>1</v>
      </c>
      <c r="C144" s="1003">
        <v>98</v>
      </c>
      <c r="D144" s="2123" t="s">
        <v>2455</v>
      </c>
      <c r="E144" s="1004">
        <v>102</v>
      </c>
      <c r="F144" s="1010">
        <v>100</v>
      </c>
      <c r="G144" s="2123" t="s">
        <v>2455</v>
      </c>
      <c r="H144" s="1006">
        <v>105</v>
      </c>
      <c r="I144" s="2122" t="s">
        <v>2454</v>
      </c>
      <c r="J144" s="1003">
        <v>18</v>
      </c>
      <c r="K144" s="1008">
        <f>ROUND(100+(J144-J140)*K139*100,1)</f>
        <v>103.2</v>
      </c>
    </row>
    <row r="145" spans="2:11" ht="15.75" thickBot="1">
      <c r="B145" s="2124" t="s">
        <v>2456</v>
      </c>
      <c r="C145" s="1011">
        <f>ROUND(MAX(C139:C144)/MIN(C139:C144)-1,3)</f>
        <v>7.2999999999999995E-2</v>
      </c>
      <c r="D145" s="1012"/>
      <c r="E145" s="1012"/>
      <c r="F145" s="2125" t="s">
        <v>2457</v>
      </c>
      <c r="G145" s="2126"/>
      <c r="H145" s="2127"/>
      <c r="I145" s="2128" t="s">
        <v>2454</v>
      </c>
      <c r="J145" s="1013">
        <v>8</v>
      </c>
      <c r="K145" s="1014">
        <f>ROUND(100+(J145-J140)*K139*100,1)</f>
        <v>99.2</v>
      </c>
    </row>
    <row r="147" spans="2:11">
      <c r="B147" s="2109" t="s">
        <v>2458</v>
      </c>
    </row>
    <row r="148" spans="2:11">
      <c r="B148" s="2109"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2460</v>
      </c>
      <c r="C1" s="1404" t="s">
        <v>2348</v>
      </c>
      <c r="D1" s="1391"/>
      <c r="E1" s="2537"/>
      <c r="F1" s="2062"/>
      <c r="G1" s="1401" t="s">
        <v>2461</v>
      </c>
      <c r="H1" s="1400"/>
      <c r="I1" s="1400"/>
      <c r="J1" s="1400"/>
      <c r="K1" s="1402"/>
      <c r="L1" s="1403"/>
      <c r="M1" s="1404"/>
      <c r="N1" s="1404"/>
      <c r="O1" s="1404"/>
      <c r="P1" s="2129"/>
      <c r="Q1" s="2130"/>
      <c r="R1" s="2130"/>
      <c r="S1" s="2130"/>
      <c r="T1" s="2130"/>
      <c r="U1" s="2130"/>
      <c r="V1" s="2130"/>
      <c r="W1" s="2130"/>
      <c r="X1" s="2130"/>
      <c r="Y1" s="2130"/>
      <c r="Z1" s="2130"/>
      <c r="AA1" s="2130"/>
      <c r="AB1" s="2130"/>
      <c r="AC1" s="2131"/>
    </row>
    <row r="2" spans="1:29" s="357" customFormat="1" ht="28.5" customHeight="1" thickTop="1">
      <c r="A2" s="1387"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2132"/>
      <c r="Q2" s="1041"/>
      <c r="R2" s="1041"/>
      <c r="S2" s="1041"/>
      <c r="T2" s="1041"/>
      <c r="U2" s="1041"/>
      <c r="V2" s="1041"/>
      <c r="W2" s="1041"/>
      <c r="X2" s="1041"/>
      <c r="Y2" s="1041"/>
      <c r="Z2" s="1041"/>
      <c r="AA2" s="1041"/>
      <c r="AB2" s="1041"/>
      <c r="AC2" s="2133"/>
    </row>
    <row r="3" spans="1:29" s="357" customFormat="1" ht="28.5" customHeight="1" thickBot="1">
      <c r="A3" s="208" t="s">
        <v>2150</v>
      </c>
      <c r="B3" s="565" t="e">
        <f ca="1">IF(C2="——",C49,ROUND(B2*10000/D3,0))</f>
        <v>#DIV/0!</v>
      </c>
      <c r="C3" s="359" t="s">
        <v>2462</v>
      </c>
      <c r="D3" s="358">
        <f>IF(D1="",'数据-汇总表'!E3,SUMIF('数据-汇总表'!$C19:$C33,D1,'数据-汇总表'!$E19:$E33))</f>
        <v>54761.34</v>
      </c>
      <c r="E3" s="2134"/>
      <c r="F3" s="1038"/>
      <c r="G3" s="1037"/>
      <c r="H3" s="1037"/>
      <c r="I3" s="1037"/>
      <c r="J3" s="1037"/>
      <c r="K3" s="1039"/>
      <c r="L3" s="2952"/>
      <c r="M3" s="2953"/>
      <c r="N3" s="2953"/>
      <c r="O3" s="2953"/>
      <c r="P3" s="2132"/>
      <c r="Q3" s="1041"/>
      <c r="R3" s="1041"/>
      <c r="S3" s="1041"/>
      <c r="T3" s="1041"/>
      <c r="U3" s="1041"/>
      <c r="V3" s="1041"/>
      <c r="W3" s="1041"/>
      <c r="X3" s="1041"/>
      <c r="Y3" s="1041"/>
      <c r="Z3" s="1041"/>
      <c r="AA3" s="1041"/>
      <c r="AB3" s="1041"/>
      <c r="AC3" s="2134"/>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405" t="s">
        <v>2465</v>
      </c>
      <c r="S4" s="3406"/>
      <c r="T4" s="3405" t="s">
        <v>2466</v>
      </c>
      <c r="U4" s="3406"/>
      <c r="V4" s="3411" t="s">
        <v>2467</v>
      </c>
      <c r="W4" s="3411"/>
      <c r="X4" s="1538"/>
      <c r="Y4" s="3405" t="s">
        <v>2469</v>
      </c>
      <c r="Z4" s="3406"/>
      <c r="AA4" s="3392" t="s">
        <v>2465</v>
      </c>
      <c r="AB4" s="3411" t="s">
        <v>2466</v>
      </c>
      <c r="AC4" s="3392" t="s">
        <v>2467</v>
      </c>
    </row>
    <row r="5" spans="1:29" ht="15">
      <c r="A5" s="363"/>
      <c r="B5" s="364"/>
      <c r="C5" s="3423" t="s">
        <v>2360</v>
      </c>
      <c r="D5" s="3415"/>
      <c r="E5" s="3424" t="s">
        <v>2361</v>
      </c>
      <c r="F5" s="3422"/>
      <c r="G5" s="3423" t="s">
        <v>2362</v>
      </c>
      <c r="H5" s="3415"/>
      <c r="I5" s="3423" t="s">
        <v>2363</v>
      </c>
      <c r="J5" s="3415"/>
      <c r="K5" s="566"/>
      <c r="L5" s="2933"/>
      <c r="M5" s="2934"/>
      <c r="N5" s="2934"/>
      <c r="O5" s="2934"/>
      <c r="P5" s="3401"/>
      <c r="Q5" s="3402"/>
      <c r="R5" s="3407"/>
      <c r="S5" s="3408"/>
      <c r="T5" s="3407"/>
      <c r="U5" s="3408"/>
      <c r="V5" s="3411"/>
      <c r="W5" s="3411"/>
      <c r="X5" s="1538"/>
      <c r="Y5" s="3407"/>
      <c r="Z5" s="3408"/>
      <c r="AA5" s="3393"/>
      <c r="AB5" s="3411"/>
      <c r="AC5" s="3393"/>
    </row>
    <row r="6" spans="1:29" ht="15.75" thickBot="1">
      <c r="A6" s="365"/>
      <c r="B6" s="366"/>
      <c r="C6" s="3412" t="s">
        <v>2364</v>
      </c>
      <c r="D6" s="3413"/>
      <c r="E6" s="3419" t="s">
        <v>2364</v>
      </c>
      <c r="F6" s="3420"/>
      <c r="G6" s="3412" t="s">
        <v>2364</v>
      </c>
      <c r="H6" s="3413"/>
      <c r="I6" s="3412" t="s">
        <v>2364</v>
      </c>
      <c r="J6" s="3413"/>
      <c r="K6" s="566" t="s">
        <v>2365</v>
      </c>
      <c r="L6" s="2933"/>
      <c r="M6" s="2934"/>
      <c r="N6" s="2934"/>
      <c r="O6" s="2934"/>
      <c r="P6" s="3403"/>
      <c r="Q6" s="3404"/>
      <c r="R6" s="3407"/>
      <c r="S6" s="3408"/>
      <c r="T6" s="3409"/>
      <c r="U6" s="3410"/>
      <c r="V6" s="3411"/>
      <c r="W6" s="3411"/>
      <c r="X6" s="1538"/>
      <c r="Y6" s="3409"/>
      <c r="Z6" s="3410"/>
      <c r="AA6" s="3394"/>
      <c r="AB6" s="3411"/>
      <c r="AC6" s="3394"/>
    </row>
    <row r="7" spans="1:29" s="113" customFormat="1" ht="15.75" thickBot="1">
      <c r="A7" s="367" t="s">
        <v>2366</v>
      </c>
      <c r="B7" s="368"/>
      <c r="C7" s="369">
        <f>'数据-取费表'!B2</f>
        <v>44259</v>
      </c>
      <c r="D7" s="370">
        <v>100</v>
      </c>
      <c r="E7" s="371"/>
      <c r="F7" s="372">
        <f>SUMIF(58:58,YEAR(E7)&amp;"-"&amp;MONTH(E7),59:59)</f>
        <v>0</v>
      </c>
      <c r="G7" s="371"/>
      <c r="H7" s="370">
        <f>SUMIF(58:58,YEAR(G7)&amp;"-"&amp;MONTH(G7),59:59)</f>
        <v>0</v>
      </c>
      <c r="I7" s="371"/>
      <c r="J7" s="370">
        <f>SUMIF(58:58,YEAR(I7)&amp;"-"&amp;MONTH(I7),59:59)</f>
        <v>0</v>
      </c>
      <c r="K7" s="567"/>
      <c r="L7" s="2935"/>
      <c r="M7" s="2936"/>
      <c r="N7" s="2936"/>
      <c r="O7" s="2936"/>
      <c r="P7" s="3416" t="s">
        <v>2367</v>
      </c>
      <c r="Q7" s="3418"/>
      <c r="R7" s="709" t="s">
        <v>17</v>
      </c>
      <c r="S7" s="710">
        <f t="shared" ref="S7:S15" si="0">F7</f>
        <v>0</v>
      </c>
      <c r="T7" s="709" t="s">
        <v>17</v>
      </c>
      <c r="U7" s="710">
        <f t="shared" ref="U7:U15" si="1">H7</f>
        <v>0</v>
      </c>
      <c r="V7" s="709" t="s">
        <v>17</v>
      </c>
      <c r="W7" s="710">
        <f t="shared" ref="W7:W15" si="2">J7</f>
        <v>0</v>
      </c>
      <c r="X7" s="711"/>
      <c r="Y7" s="3416" t="s">
        <v>2367</v>
      </c>
      <c r="Z7" s="3417"/>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5"/>
      <c r="M8" s="2936"/>
      <c r="N8" s="2936"/>
      <c r="O8" s="2936"/>
      <c r="P8" s="3416" t="s">
        <v>2370</v>
      </c>
      <c r="Q8" s="3417"/>
      <c r="R8" s="709" t="s">
        <v>17</v>
      </c>
      <c r="S8" s="710">
        <f t="shared" si="0"/>
        <v>0</v>
      </c>
      <c r="T8" s="709" t="s">
        <v>17</v>
      </c>
      <c r="U8" s="710">
        <f t="shared" si="1"/>
        <v>0</v>
      </c>
      <c r="V8" s="709" t="s">
        <v>17</v>
      </c>
      <c r="W8" s="710">
        <f t="shared" si="2"/>
        <v>0</v>
      </c>
      <c r="X8" s="711"/>
      <c r="Y8" s="3416" t="s">
        <v>2370</v>
      </c>
      <c r="Z8" s="3417"/>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5"/>
      <c r="M9" s="2936"/>
      <c r="N9" s="2936"/>
      <c r="O9" s="2936"/>
      <c r="P9" s="3391"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7"/>
      <c r="M10" s="2938"/>
      <c r="N10" s="2938"/>
      <c r="O10" s="2938"/>
      <c r="P10" s="3391"/>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9"/>
      <c r="M11" s="2934"/>
      <c r="N11" s="2934"/>
      <c r="O11" s="2934"/>
      <c r="P11" s="3391"/>
      <c r="Q11" s="1526"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35"/>
      <c r="M12" s="2936"/>
      <c r="N12" s="2936"/>
      <c r="O12" s="2936"/>
      <c r="P12" s="3391"/>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0"/>
      <c r="M13" s="2934"/>
      <c r="N13" s="2934"/>
      <c r="O13" s="2934"/>
      <c r="P13" s="3391"/>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0"/>
      <c r="M14" s="2934"/>
      <c r="N14" s="2934"/>
      <c r="O14" s="2934"/>
      <c r="P14" s="3391"/>
      <c r="Q14" s="1526">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71.25">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0"/>
      <c r="M15" s="2934"/>
      <c r="N15" s="2934"/>
      <c r="O15" s="2934"/>
      <c r="P15" s="3389" t="s">
        <v>2378</v>
      </c>
      <c r="Q15" s="1535" t="str">
        <f t="shared" si="6"/>
        <v>商业繁华度</v>
      </c>
      <c r="R15" s="713" t="s">
        <v>17</v>
      </c>
      <c r="S15" s="714">
        <f t="shared" si="0"/>
        <v>100</v>
      </c>
      <c r="T15" s="713" t="s">
        <v>17</v>
      </c>
      <c r="U15" s="714">
        <f t="shared" si="1"/>
        <v>100</v>
      </c>
      <c r="V15" s="713" t="s">
        <v>17</v>
      </c>
      <c r="W15" s="714">
        <f t="shared" si="2"/>
        <v>100</v>
      </c>
      <c r="X15" s="1538"/>
      <c r="Y15" s="3382"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0"/>
      <c r="M16" s="2934"/>
      <c r="N16" s="2934"/>
      <c r="O16" s="2934"/>
      <c r="P16" s="3390"/>
      <c r="Q16" s="1535"/>
      <c r="R16" s="713"/>
      <c r="S16" s="714"/>
      <c r="T16" s="713"/>
      <c r="U16" s="714"/>
      <c r="V16" s="713"/>
      <c r="W16" s="714"/>
      <c r="X16" s="1538"/>
      <c r="Y16" s="3383"/>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0"/>
      <c r="M17" s="2934"/>
      <c r="N17" s="2934"/>
      <c r="O17" s="2934"/>
      <c r="P17" s="3390"/>
      <c r="Q17" s="1535" t="str">
        <f>B17</f>
        <v>交通便捷度</v>
      </c>
      <c r="R17" s="713" t="s">
        <v>17</v>
      </c>
      <c r="S17" s="714">
        <f>F17</f>
        <v>100</v>
      </c>
      <c r="T17" s="713" t="s">
        <v>17</v>
      </c>
      <c r="U17" s="714">
        <f>H17</f>
        <v>100</v>
      </c>
      <c r="V17" s="713" t="s">
        <v>17</v>
      </c>
      <c r="W17" s="714">
        <f>J17</f>
        <v>100</v>
      </c>
      <c r="X17" s="1538"/>
      <c r="Y17" s="338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2940"/>
      <c r="M18" s="2934"/>
      <c r="N18" s="2934"/>
      <c r="O18" s="2934"/>
      <c r="P18" s="3390"/>
      <c r="Q18" s="1535"/>
      <c r="R18" s="713"/>
      <c r="S18" s="714"/>
      <c r="T18" s="713"/>
      <c r="U18" s="714"/>
      <c r="V18" s="713"/>
      <c r="W18" s="714"/>
      <c r="X18" s="1538"/>
      <c r="Y18" s="3383"/>
      <c r="Z18" s="1539"/>
      <c r="AA18" s="1536">
        <v>1</v>
      </c>
      <c r="AB18" s="1536">
        <v>1</v>
      </c>
      <c r="AC18" s="1536">
        <v>1</v>
      </c>
    </row>
    <row r="19" spans="1:29" ht="42.75">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0"/>
      <c r="M19" s="2934"/>
      <c r="N19" s="2934"/>
      <c r="O19" s="2934"/>
      <c r="P19" s="3390"/>
      <c r="Q19" s="1535" t="str">
        <f>B19</f>
        <v>公共配套设施</v>
      </c>
      <c r="R19" s="713" t="s">
        <v>17</v>
      </c>
      <c r="S19" s="714">
        <f>F19</f>
        <v>100</v>
      </c>
      <c r="T19" s="713" t="s">
        <v>17</v>
      </c>
      <c r="U19" s="714">
        <f>H19</f>
        <v>100</v>
      </c>
      <c r="V19" s="713" t="s">
        <v>17</v>
      </c>
      <c r="W19" s="714">
        <f>J19</f>
        <v>100</v>
      </c>
      <c r="X19" s="1538"/>
      <c r="Y19" s="338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2940"/>
      <c r="M20" s="2934"/>
      <c r="N20" s="2934"/>
      <c r="O20" s="2934"/>
      <c r="P20" s="3390"/>
      <c r="Q20" s="1535"/>
      <c r="R20" s="713"/>
      <c r="S20" s="714"/>
      <c r="T20" s="713"/>
      <c r="U20" s="714"/>
      <c r="V20" s="713"/>
      <c r="W20" s="714"/>
      <c r="X20" s="1538"/>
      <c r="Y20" s="3383"/>
      <c r="Z20" s="1539"/>
      <c r="AA20" s="1536">
        <v>1</v>
      </c>
      <c r="AB20" s="1536">
        <v>1</v>
      </c>
      <c r="AC20" s="1536">
        <v>1</v>
      </c>
    </row>
    <row r="21" spans="1:29" ht="28.5">
      <c r="A21" s="386"/>
      <c r="B21" s="1291"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0"/>
      <c r="M21" s="2934"/>
      <c r="N21" s="2934"/>
      <c r="O21" s="2934"/>
      <c r="P21" s="3390"/>
      <c r="Q21" s="1535" t="str">
        <f>B21</f>
        <v>基础设施水平</v>
      </c>
      <c r="R21" s="713" t="s">
        <v>17</v>
      </c>
      <c r="S21" s="714">
        <f>F21</f>
        <v>100</v>
      </c>
      <c r="T21" s="713" t="s">
        <v>17</v>
      </c>
      <c r="U21" s="714">
        <f>H21</f>
        <v>100</v>
      </c>
      <c r="V21" s="713" t="s">
        <v>17</v>
      </c>
      <c r="W21" s="714">
        <f>J21</f>
        <v>100</v>
      </c>
      <c r="X21" s="1538"/>
      <c r="Y21" s="338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2940"/>
      <c r="M22" s="2934"/>
      <c r="N22" s="2934"/>
      <c r="O22" s="2934"/>
      <c r="P22" s="3390"/>
      <c r="Q22" s="1535"/>
      <c r="R22" s="713"/>
      <c r="S22" s="714"/>
      <c r="T22" s="713"/>
      <c r="U22" s="714"/>
      <c r="V22" s="713"/>
      <c r="W22" s="714"/>
      <c r="X22" s="1538"/>
      <c r="Y22" s="3383"/>
      <c r="Z22" s="1539"/>
      <c r="AA22" s="1536">
        <v>1</v>
      </c>
      <c r="AB22" s="1536">
        <v>1</v>
      </c>
      <c r="AC22" s="1536">
        <v>1</v>
      </c>
    </row>
    <row r="23" spans="1:29" ht="57">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0"/>
      <c r="M23" s="2934"/>
      <c r="N23" s="2934"/>
      <c r="O23" s="2934"/>
      <c r="P23" s="3390"/>
      <c r="Q23" s="1535" t="str">
        <f>B23</f>
        <v>自然及人文环境</v>
      </c>
      <c r="R23" s="713" t="s">
        <v>17</v>
      </c>
      <c r="S23" s="714">
        <f>F23</f>
        <v>100</v>
      </c>
      <c r="T23" s="713" t="s">
        <v>17</v>
      </c>
      <c r="U23" s="714">
        <f>H23</f>
        <v>100</v>
      </c>
      <c r="V23" s="713" t="s">
        <v>17</v>
      </c>
      <c r="W23" s="714">
        <f>J23</f>
        <v>100</v>
      </c>
      <c r="X23" s="1538"/>
      <c r="Y23" s="3383"/>
      <c r="Z23" s="1539" t="str">
        <f>Q23</f>
        <v>自然及人文环境</v>
      </c>
      <c r="AA23" s="1536">
        <f t="shared" si="3"/>
        <v>1</v>
      </c>
      <c r="AB23" s="1536">
        <f t="shared" si="4"/>
        <v>1</v>
      </c>
      <c r="AC23" s="1536">
        <f t="shared" si="5"/>
        <v>1</v>
      </c>
    </row>
    <row r="24" spans="1:29" ht="15">
      <c r="A24" s="386"/>
      <c r="B24" s="414"/>
      <c r="C24" s="405"/>
      <c r="D24" s="406"/>
      <c r="E24" s="2080"/>
      <c r="F24" s="407"/>
      <c r="G24" s="2079"/>
      <c r="H24" s="406"/>
      <c r="I24" s="2080"/>
      <c r="J24" s="406"/>
      <c r="K24" s="571"/>
      <c r="L24" s="2940"/>
      <c r="M24" s="2934"/>
      <c r="N24" s="2934"/>
      <c r="O24" s="2934"/>
      <c r="P24" s="3390"/>
      <c r="Q24" s="1535"/>
      <c r="R24" s="713"/>
      <c r="S24" s="714"/>
      <c r="T24" s="713"/>
      <c r="U24" s="714"/>
      <c r="V24" s="713"/>
      <c r="W24" s="714"/>
      <c r="X24" s="1538"/>
      <c r="Y24" s="3383"/>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0"/>
      <c r="M25" s="2934"/>
      <c r="N25" s="2934"/>
      <c r="O25" s="2934"/>
      <c r="P25" s="3390"/>
      <c r="Q25" s="1535" t="str">
        <f t="shared" ref="Q25:Q46" si="11">B25</f>
        <v>临街状况</v>
      </c>
      <c r="R25" s="713" t="s">
        <v>17</v>
      </c>
      <c r="S25" s="714">
        <f>F25</f>
        <v>100</v>
      </c>
      <c r="T25" s="713" t="s">
        <v>17</v>
      </c>
      <c r="U25" s="714">
        <f>H25</f>
        <v>100</v>
      </c>
      <c r="V25" s="713" t="s">
        <v>17</v>
      </c>
      <c r="W25" s="714">
        <f>J25</f>
        <v>100</v>
      </c>
      <c r="X25" s="1538"/>
      <c r="Y25" s="3383"/>
      <c r="Z25" s="1539" t="str">
        <f>Q25</f>
        <v>临街状况</v>
      </c>
      <c r="AA25" s="1536">
        <f t="shared" si="3"/>
        <v>1</v>
      </c>
      <c r="AB25" s="1536">
        <f t="shared" si="4"/>
        <v>1</v>
      </c>
      <c r="AC25" s="1536">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0"/>
      <c r="M26" s="2934"/>
      <c r="N26" s="2934"/>
      <c r="O26" s="2934"/>
      <c r="P26" s="3390"/>
      <c r="Q26" s="1535" t="str">
        <f t="shared" si="11"/>
        <v>平面位置/可视性</v>
      </c>
      <c r="R26" s="713" t="s">
        <v>17</v>
      </c>
      <c r="S26" s="714">
        <f>F26</f>
        <v>100</v>
      </c>
      <c r="T26" s="713" t="s">
        <v>17</v>
      </c>
      <c r="U26" s="714">
        <f>H26</f>
        <v>100</v>
      </c>
      <c r="V26" s="713" t="s">
        <v>17</v>
      </c>
      <c r="W26" s="714">
        <f>J26</f>
        <v>100</v>
      </c>
      <c r="X26" s="1538"/>
      <c r="Y26" s="3383"/>
      <c r="Z26" s="1539" t="str">
        <f>Q26</f>
        <v>平面位置/可视性</v>
      </c>
      <c r="AA26" s="1536">
        <f t="shared" si="3"/>
        <v>1</v>
      </c>
      <c r="AB26" s="1536">
        <f t="shared" si="4"/>
        <v>1</v>
      </c>
      <c r="AC26" s="1536">
        <f t="shared" si="5"/>
        <v>1</v>
      </c>
    </row>
    <row r="27" spans="1:29" s="113" customFormat="1" ht="15">
      <c r="A27" s="389"/>
      <c r="B27" s="409" t="s">
        <v>2476</v>
      </c>
      <c r="C27" s="2136"/>
      <c r="D27" s="420">
        <v>100</v>
      </c>
      <c r="E27" s="2136"/>
      <c r="F27" s="422">
        <f>SUMIF(90:90,E27,91:91)-SUMIF(90:90,C27,91:91)+100</f>
        <v>100</v>
      </c>
      <c r="G27" s="2136"/>
      <c r="H27" s="420">
        <f>SUMIF(90:90,G27,91:91)-SUMIF(90:90,C27,91:91)+100</f>
        <v>100</v>
      </c>
      <c r="I27" s="2136"/>
      <c r="J27" s="420">
        <f>SUMIF(90:90,I27,91:91)-SUMIF(90:90,C27,91:91)+100</f>
        <v>100</v>
      </c>
      <c r="K27" s="568"/>
      <c r="L27" s="2935"/>
      <c r="M27" s="2936"/>
      <c r="N27" s="2936"/>
      <c r="O27" s="2936"/>
      <c r="P27" s="3390"/>
      <c r="Q27" s="1526" t="str">
        <f t="shared" si="11"/>
        <v>人流量</v>
      </c>
      <c r="R27" s="709" t="s">
        <v>17</v>
      </c>
      <c r="S27" s="710">
        <f>F27</f>
        <v>100</v>
      </c>
      <c r="T27" s="709" t="s">
        <v>17</v>
      </c>
      <c r="U27" s="710">
        <f>H27</f>
        <v>100</v>
      </c>
      <c r="V27" s="709" t="s">
        <v>17</v>
      </c>
      <c r="W27" s="710">
        <f>J27</f>
        <v>100</v>
      </c>
      <c r="X27" s="711"/>
      <c r="Y27" s="3383"/>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0"/>
      <c r="M28" s="2934"/>
      <c r="N28" s="2934"/>
      <c r="O28" s="2934"/>
      <c r="P28" s="3390"/>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83"/>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0"/>
      <c r="M29" s="2934"/>
      <c r="N29" s="2934"/>
      <c r="O29" s="2934"/>
      <c r="P29" s="3390"/>
      <c r="Q29" s="1535">
        <f t="shared" si="11"/>
        <v>111</v>
      </c>
      <c r="R29" s="713" t="s">
        <v>17</v>
      </c>
      <c r="S29" s="714">
        <f t="shared" si="12"/>
        <v>100</v>
      </c>
      <c r="T29" s="713" t="s">
        <v>17</v>
      </c>
      <c r="U29" s="714">
        <f t="shared" si="13"/>
        <v>100</v>
      </c>
      <c r="V29" s="713" t="s">
        <v>17</v>
      </c>
      <c r="W29" s="714">
        <f t="shared" si="14"/>
        <v>100</v>
      </c>
      <c r="X29" s="1538"/>
      <c r="Y29" s="3383"/>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0"/>
      <c r="M30" s="2934"/>
      <c r="N30" s="2934"/>
      <c r="O30" s="2934"/>
      <c r="P30" s="3390"/>
      <c r="Q30" s="1535">
        <f t="shared" si="11"/>
        <v>111</v>
      </c>
      <c r="R30" s="713" t="s">
        <v>17</v>
      </c>
      <c r="S30" s="714">
        <f t="shared" si="12"/>
        <v>100</v>
      </c>
      <c r="T30" s="713" t="s">
        <v>17</v>
      </c>
      <c r="U30" s="714">
        <f t="shared" si="13"/>
        <v>100</v>
      </c>
      <c r="V30" s="713" t="s">
        <v>17</v>
      </c>
      <c r="W30" s="714">
        <f t="shared" si="14"/>
        <v>100</v>
      </c>
      <c r="X30" s="1538"/>
      <c r="Y30" s="3383"/>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0"/>
      <c r="M31" s="2934"/>
      <c r="N31" s="2934"/>
      <c r="O31" s="2934"/>
      <c r="P31" s="3390"/>
      <c r="Q31" s="1535">
        <f t="shared" si="11"/>
        <v>111</v>
      </c>
      <c r="R31" s="713" t="s">
        <v>17</v>
      </c>
      <c r="S31" s="714">
        <f t="shared" si="12"/>
        <v>100</v>
      </c>
      <c r="T31" s="713" t="s">
        <v>17</v>
      </c>
      <c r="U31" s="714">
        <f t="shared" si="13"/>
        <v>100</v>
      </c>
      <c r="V31" s="713" t="s">
        <v>17</v>
      </c>
      <c r="W31" s="714">
        <f t="shared" si="14"/>
        <v>100</v>
      </c>
      <c r="X31" s="1538"/>
      <c r="Y31" s="3383"/>
      <c r="Z31" s="1539">
        <f t="shared" si="15"/>
        <v>111</v>
      </c>
      <c r="AA31" s="1536">
        <f t="shared" si="3"/>
        <v>1</v>
      </c>
      <c r="AB31" s="1536">
        <f t="shared" si="4"/>
        <v>1</v>
      </c>
      <c r="AC31" s="1536">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0"/>
      <c r="M32" s="2934"/>
      <c r="N32" s="2934"/>
      <c r="O32" s="2934"/>
      <c r="P32" s="3384" t="s">
        <v>2383</v>
      </c>
      <c r="Q32" s="1535" t="str">
        <f t="shared" si="11"/>
        <v>商业类型</v>
      </c>
      <c r="R32" s="713" t="s">
        <v>17</v>
      </c>
      <c r="S32" s="714">
        <f t="shared" si="12"/>
        <v>100</v>
      </c>
      <c r="T32" s="713" t="s">
        <v>17</v>
      </c>
      <c r="U32" s="714">
        <f t="shared" si="13"/>
        <v>100</v>
      </c>
      <c r="V32" s="713" t="s">
        <v>17</v>
      </c>
      <c r="W32" s="714">
        <f t="shared" si="14"/>
        <v>100</v>
      </c>
      <c r="X32" s="1538"/>
      <c r="Y32" s="3387"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9"/>
      <c r="M33" s="2941"/>
      <c r="N33" s="2941"/>
      <c r="O33" s="2941"/>
      <c r="P33" s="3385"/>
      <c r="Q33" s="715" t="str">
        <f t="shared" si="11"/>
        <v>项目建筑规模</v>
      </c>
      <c r="R33" s="716" t="s">
        <v>17</v>
      </c>
      <c r="S33" s="717" t="e">
        <f t="shared" si="12"/>
        <v>#N/A</v>
      </c>
      <c r="T33" s="716" t="s">
        <v>17</v>
      </c>
      <c r="U33" s="717" t="e">
        <f t="shared" si="13"/>
        <v>#N/A</v>
      </c>
      <c r="V33" s="716" t="s">
        <v>17</v>
      </c>
      <c r="W33" s="717" t="e">
        <f t="shared" si="14"/>
        <v>#N/A</v>
      </c>
      <c r="X33" s="718"/>
      <c r="Y33" s="3387"/>
      <c r="Z33" s="719" t="str">
        <f t="shared" si="15"/>
        <v>项目建筑规模</v>
      </c>
      <c r="AA33" s="1536" t="e">
        <f t="shared" si="3"/>
        <v>#N/A</v>
      </c>
      <c r="AB33" s="1536" t="e">
        <f t="shared" si="4"/>
        <v>#N/A</v>
      </c>
      <c r="AC33" s="1536" t="e">
        <f t="shared" si="5"/>
        <v>#N/A</v>
      </c>
    </row>
    <row r="34" spans="1:29" ht="15">
      <c r="A34" s="430"/>
      <c r="B34" s="380" t="s">
        <v>2385</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0"/>
      <c r="M34" s="2934"/>
      <c r="N34" s="2934"/>
      <c r="O34" s="2934"/>
      <c r="P34" s="3385"/>
      <c r="Q34" s="1535" t="str">
        <f t="shared" si="11"/>
        <v>建筑结构</v>
      </c>
      <c r="R34" s="713" t="s">
        <v>17</v>
      </c>
      <c r="S34" s="714">
        <f t="shared" si="12"/>
        <v>100</v>
      </c>
      <c r="T34" s="713" t="s">
        <v>17</v>
      </c>
      <c r="U34" s="714">
        <f t="shared" si="13"/>
        <v>100</v>
      </c>
      <c r="V34" s="713" t="s">
        <v>17</v>
      </c>
      <c r="W34" s="714">
        <f t="shared" si="14"/>
        <v>100</v>
      </c>
      <c r="X34" s="1538"/>
      <c r="Y34" s="3387"/>
      <c r="Z34" s="1539" t="str">
        <f t="shared" si="15"/>
        <v>建筑结构</v>
      </c>
      <c r="AA34" s="1536">
        <f t="shared" si="3"/>
        <v>1</v>
      </c>
      <c r="AB34" s="1536">
        <f t="shared" si="4"/>
        <v>1</v>
      </c>
      <c r="AC34" s="1536">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0"/>
      <c r="M35" s="2934"/>
      <c r="N35" s="2934"/>
      <c r="O35" s="2934"/>
      <c r="P35" s="3385"/>
      <c r="Q35" s="1535" t="str">
        <f t="shared" si="11"/>
        <v>公共部分装修</v>
      </c>
      <c r="R35" s="713" t="s">
        <v>17</v>
      </c>
      <c r="S35" s="714">
        <f t="shared" si="12"/>
        <v>100</v>
      </c>
      <c r="T35" s="713" t="s">
        <v>17</v>
      </c>
      <c r="U35" s="714">
        <f t="shared" si="13"/>
        <v>100</v>
      </c>
      <c r="V35" s="713" t="s">
        <v>17</v>
      </c>
      <c r="W35" s="714">
        <f t="shared" si="14"/>
        <v>100</v>
      </c>
      <c r="X35" s="1538"/>
      <c r="Y35" s="3387"/>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0"/>
      <c r="M36" s="2934"/>
      <c r="N36" s="2934"/>
      <c r="O36" s="2934"/>
      <c r="P36" s="3385"/>
      <c r="Q36" s="1535" t="str">
        <f t="shared" si="11"/>
        <v>成新度</v>
      </c>
      <c r="R36" s="713" t="s">
        <v>17</v>
      </c>
      <c r="S36" s="714" t="e">
        <f t="shared" si="12"/>
        <v>#N/A</v>
      </c>
      <c r="T36" s="713" t="s">
        <v>17</v>
      </c>
      <c r="U36" s="714" t="e">
        <f t="shared" si="13"/>
        <v>#N/A</v>
      </c>
      <c r="V36" s="713" t="s">
        <v>17</v>
      </c>
      <c r="W36" s="714" t="e">
        <f t="shared" si="14"/>
        <v>#N/A</v>
      </c>
      <c r="X36" s="1538"/>
      <c r="Y36" s="3387"/>
      <c r="Z36" s="1539" t="str">
        <f t="shared" si="15"/>
        <v>成新度</v>
      </c>
      <c r="AA36" s="1536" t="e">
        <f t="shared" si="3"/>
        <v>#N/A</v>
      </c>
      <c r="AB36" s="1536" t="e">
        <f t="shared" si="4"/>
        <v>#N/A</v>
      </c>
      <c r="AC36" s="1536"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35"/>
      <c r="M37" s="2936"/>
      <c r="N37" s="2936"/>
      <c r="O37" s="2936"/>
      <c r="P37" s="3385"/>
      <c r="Q37" s="1526" t="str">
        <f t="shared" si="11"/>
        <v>市政基础设施</v>
      </c>
      <c r="R37" s="709" t="s">
        <v>17</v>
      </c>
      <c r="S37" s="710">
        <f t="shared" si="12"/>
        <v>100</v>
      </c>
      <c r="T37" s="709" t="s">
        <v>17</v>
      </c>
      <c r="U37" s="710">
        <f t="shared" si="13"/>
        <v>100</v>
      </c>
      <c r="V37" s="709" t="s">
        <v>17</v>
      </c>
      <c r="W37" s="710">
        <f t="shared" si="14"/>
        <v>100</v>
      </c>
      <c r="X37" s="711"/>
      <c r="Y37" s="3387"/>
      <c r="Z37" s="55" t="str">
        <f t="shared" si="15"/>
        <v>市政基础设施</v>
      </c>
      <c r="AA37" s="712">
        <f t="shared" si="3"/>
        <v>1</v>
      </c>
      <c r="AB37" s="712">
        <f t="shared" si="4"/>
        <v>1</v>
      </c>
      <c r="AC37" s="712">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0"/>
      <c r="M38" s="2934"/>
      <c r="N38" s="2934"/>
      <c r="O38" s="2934"/>
      <c r="P38" s="3385" t="s">
        <v>2383</v>
      </c>
      <c r="Q38" s="1535" t="str">
        <f t="shared" si="11"/>
        <v>业态</v>
      </c>
      <c r="R38" s="713" t="s">
        <v>17</v>
      </c>
      <c r="S38" s="714">
        <f t="shared" si="12"/>
        <v>100</v>
      </c>
      <c r="T38" s="713" t="s">
        <v>17</v>
      </c>
      <c r="U38" s="714">
        <f t="shared" si="13"/>
        <v>100</v>
      </c>
      <c r="V38" s="713" t="s">
        <v>17</v>
      </c>
      <c r="W38" s="714">
        <f t="shared" si="14"/>
        <v>100</v>
      </c>
      <c r="X38" s="1538"/>
      <c r="Y38" s="3387" t="s">
        <v>2383</v>
      </c>
      <c r="Z38" s="1539" t="str">
        <f t="shared" si="15"/>
        <v>业态</v>
      </c>
      <c r="AA38" s="1536">
        <f t="shared" si="3"/>
        <v>1</v>
      </c>
      <c r="AB38" s="1536">
        <f t="shared" si="4"/>
        <v>1</v>
      </c>
      <c r="AC38" s="1536">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0"/>
      <c r="M39" s="2934"/>
      <c r="N39" s="2934"/>
      <c r="O39" s="2934"/>
      <c r="P39" s="3385"/>
      <c r="Q39" s="1535" t="str">
        <f t="shared" si="11"/>
        <v>层高</v>
      </c>
      <c r="R39" s="713" t="s">
        <v>17</v>
      </c>
      <c r="S39" s="714">
        <f t="shared" si="12"/>
        <v>100</v>
      </c>
      <c r="T39" s="713" t="s">
        <v>17</v>
      </c>
      <c r="U39" s="714">
        <f t="shared" si="13"/>
        <v>100</v>
      </c>
      <c r="V39" s="713" t="s">
        <v>17</v>
      </c>
      <c r="W39" s="714">
        <f t="shared" si="14"/>
        <v>100</v>
      </c>
      <c r="X39" s="1538"/>
      <c r="Y39" s="3387"/>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0"/>
      <c r="M40" s="2934"/>
      <c r="N40" s="2934"/>
      <c r="O40" s="2934"/>
      <c r="P40" s="3385"/>
      <c r="Q40" s="1535" t="str">
        <f t="shared" si="11"/>
        <v>单套建筑面积</v>
      </c>
      <c r="R40" s="713" t="s">
        <v>17</v>
      </c>
      <c r="S40" s="714">
        <f t="shared" si="12"/>
        <v>100</v>
      </c>
      <c r="T40" s="713" t="s">
        <v>17</v>
      </c>
      <c r="U40" s="714">
        <f t="shared" si="13"/>
        <v>100</v>
      </c>
      <c r="V40" s="713" t="s">
        <v>17</v>
      </c>
      <c r="W40" s="714">
        <f t="shared" si="14"/>
        <v>100</v>
      </c>
      <c r="X40" s="1538"/>
      <c r="Y40" s="3387"/>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9"/>
      <c r="M41" s="2941"/>
      <c r="N41" s="2941"/>
      <c r="O41" s="2941"/>
      <c r="P41" s="3385"/>
      <c r="Q41" s="715" t="str">
        <f t="shared" si="11"/>
        <v>进深比</v>
      </c>
      <c r="R41" s="716" t="s">
        <v>17</v>
      </c>
      <c r="S41" s="717">
        <f t="shared" si="12"/>
        <v>100</v>
      </c>
      <c r="T41" s="716" t="s">
        <v>17</v>
      </c>
      <c r="U41" s="717">
        <f t="shared" si="13"/>
        <v>100</v>
      </c>
      <c r="V41" s="716" t="s">
        <v>17</v>
      </c>
      <c r="W41" s="717">
        <f t="shared" si="14"/>
        <v>100</v>
      </c>
      <c r="X41" s="718"/>
      <c r="Y41" s="3387"/>
      <c r="Z41" s="719" t="str">
        <f t="shared" si="15"/>
        <v>进深比</v>
      </c>
      <c r="AA41" s="1536">
        <f t="shared" si="3"/>
        <v>1</v>
      </c>
      <c r="AB41" s="1536">
        <f t="shared" si="4"/>
        <v>1</v>
      </c>
      <c r="AC41" s="1536">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0"/>
      <c r="M42" s="2934"/>
      <c r="N42" s="2934"/>
      <c r="O42" s="2934"/>
      <c r="P42" s="3385"/>
      <c r="Q42" s="1535" t="str">
        <f t="shared" si="11"/>
        <v>内部装修</v>
      </c>
      <c r="R42" s="713" t="s">
        <v>17</v>
      </c>
      <c r="S42" s="714">
        <f t="shared" si="12"/>
        <v>100</v>
      </c>
      <c r="T42" s="713" t="s">
        <v>17</v>
      </c>
      <c r="U42" s="714">
        <f t="shared" si="13"/>
        <v>100</v>
      </c>
      <c r="V42" s="713" t="s">
        <v>17</v>
      </c>
      <c r="W42" s="714">
        <f t="shared" si="14"/>
        <v>100</v>
      </c>
      <c r="X42" s="1538"/>
      <c r="Y42" s="3387"/>
      <c r="Z42" s="1539" t="str">
        <f t="shared" si="15"/>
        <v>内部装修</v>
      </c>
      <c r="AA42" s="1536">
        <f t="shared" si="3"/>
        <v>1</v>
      </c>
      <c r="AB42" s="1536">
        <f t="shared" si="4"/>
        <v>1</v>
      </c>
      <c r="AC42" s="1536">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0"/>
      <c r="M43" s="2934"/>
      <c r="N43" s="2934"/>
      <c r="O43" s="2934"/>
      <c r="P43" s="3385"/>
      <c r="Q43" s="1535" t="str">
        <f t="shared" si="11"/>
        <v>内部装修维护情况</v>
      </c>
      <c r="R43" s="713" t="s">
        <v>17</v>
      </c>
      <c r="S43" s="714">
        <f t="shared" si="12"/>
        <v>100</v>
      </c>
      <c r="T43" s="713" t="s">
        <v>17</v>
      </c>
      <c r="U43" s="714">
        <f t="shared" si="13"/>
        <v>100</v>
      </c>
      <c r="V43" s="713" t="s">
        <v>17</v>
      </c>
      <c r="W43" s="714">
        <f t="shared" si="14"/>
        <v>100</v>
      </c>
      <c r="X43" s="1538"/>
      <c r="Y43" s="3387"/>
      <c r="Z43" s="1539" t="str">
        <f t="shared" si="15"/>
        <v>内部装修维护情况</v>
      </c>
      <c r="AA43" s="1536">
        <f t="shared" si="3"/>
        <v>1</v>
      </c>
      <c r="AB43" s="1536">
        <f t="shared" si="4"/>
        <v>1</v>
      </c>
      <c r="AC43" s="1536">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5"/>
      <c r="M44" s="2936"/>
      <c r="N44" s="2936"/>
      <c r="O44" s="2936"/>
      <c r="P44" s="3385"/>
      <c r="Q44" s="1526">
        <f t="shared" si="11"/>
        <v>111</v>
      </c>
      <c r="R44" s="709" t="s">
        <v>17</v>
      </c>
      <c r="S44" s="710">
        <f t="shared" si="12"/>
        <v>100</v>
      </c>
      <c r="T44" s="709" t="s">
        <v>17</v>
      </c>
      <c r="U44" s="710">
        <f t="shared" si="13"/>
        <v>100</v>
      </c>
      <c r="V44" s="709" t="s">
        <v>17</v>
      </c>
      <c r="W44" s="710">
        <f t="shared" si="14"/>
        <v>100</v>
      </c>
      <c r="X44" s="711"/>
      <c r="Y44" s="3387"/>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0"/>
      <c r="M45" s="2934"/>
      <c r="N45" s="2934"/>
      <c r="O45" s="2934"/>
      <c r="P45" s="3385"/>
      <c r="Q45" s="1535">
        <f t="shared" si="11"/>
        <v>111</v>
      </c>
      <c r="R45" s="713" t="s">
        <v>17</v>
      </c>
      <c r="S45" s="714">
        <f t="shared" si="12"/>
        <v>100</v>
      </c>
      <c r="T45" s="713" t="s">
        <v>17</v>
      </c>
      <c r="U45" s="714">
        <f t="shared" si="13"/>
        <v>100</v>
      </c>
      <c r="V45" s="713" t="s">
        <v>17</v>
      </c>
      <c r="W45" s="714">
        <f t="shared" si="14"/>
        <v>100</v>
      </c>
      <c r="X45" s="1538"/>
      <c r="Y45" s="3387"/>
      <c r="Z45" s="1539">
        <f t="shared" si="15"/>
        <v>111</v>
      </c>
      <c r="AA45" s="1536">
        <f t="shared" si="3"/>
        <v>1</v>
      </c>
      <c r="AB45" s="1536">
        <f t="shared" si="4"/>
        <v>1</v>
      </c>
      <c r="AC45" s="1536">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0"/>
      <c r="M46" s="2934"/>
      <c r="N46" s="2934"/>
      <c r="O46" s="2934"/>
      <c r="P46" s="3386"/>
      <c r="Q46" s="1535">
        <f t="shared" si="11"/>
        <v>111</v>
      </c>
      <c r="R46" s="713" t="s">
        <v>17</v>
      </c>
      <c r="S46" s="714">
        <f t="shared" si="12"/>
        <v>100</v>
      </c>
      <c r="T46" s="713" t="s">
        <v>17</v>
      </c>
      <c r="U46" s="714">
        <f t="shared" si="13"/>
        <v>100</v>
      </c>
      <c r="V46" s="713" t="s">
        <v>17</v>
      </c>
      <c r="W46" s="714">
        <f t="shared" si="14"/>
        <v>100</v>
      </c>
      <c r="X46" s="1538"/>
      <c r="Y46" s="3388"/>
      <c r="Z46" s="1539">
        <f t="shared" si="15"/>
        <v>111</v>
      </c>
      <c r="AA46" s="1536">
        <f t="shared" si="3"/>
        <v>1</v>
      </c>
      <c r="AB46" s="1536">
        <f t="shared" si="4"/>
        <v>1</v>
      </c>
      <c r="AC46" s="1536">
        <f t="shared" si="5"/>
        <v>1</v>
      </c>
    </row>
    <row r="47" spans="1:29" ht="15">
      <c r="A47" s="437" t="s">
        <v>2395</v>
      </c>
      <c r="B47" s="438"/>
      <c r="C47" s="1314" t="s">
        <v>1</v>
      </c>
      <c r="D47" s="1315"/>
      <c r="E47" s="1316"/>
      <c r="F47" s="1317"/>
      <c r="G47" s="1318"/>
      <c r="H47" s="1319"/>
      <c r="I47" s="1316"/>
      <c r="J47" s="1319"/>
      <c r="K47" s="722"/>
      <c r="L47" s="2942"/>
      <c r="M47" s="2943"/>
      <c r="N47" s="2934"/>
      <c r="O47" s="2943"/>
      <c r="P47" s="3380" t="str">
        <f>A47</f>
        <v>成交单价（元/平方米）</v>
      </c>
      <c r="Q47" s="3380"/>
      <c r="R47" s="3411">
        <f>E47</f>
        <v>0</v>
      </c>
      <c r="S47" s="3411"/>
      <c r="T47" s="3411">
        <f>G47</f>
        <v>0</v>
      </c>
      <c r="U47" s="3411"/>
      <c r="V47" s="3411">
        <f>I47</f>
        <v>0</v>
      </c>
      <c r="W47" s="3411"/>
      <c r="X47" s="698"/>
      <c r="Y47" s="720"/>
      <c r="Z47" s="698"/>
      <c r="AA47" s="698"/>
      <c r="AB47" s="698"/>
      <c r="AC47" s="698"/>
    </row>
    <row r="48" spans="1:29" ht="15.75" thickBot="1">
      <c r="A48" s="444" t="s">
        <v>2487</v>
      </c>
      <c r="B48" s="445"/>
      <c r="C48" s="1320" t="e">
        <f>R49</f>
        <v>#DIV/0!</v>
      </c>
      <c r="D48" s="2532" t="s">
        <v>2877</v>
      </c>
      <c r="E48" s="1321" t="e">
        <f>R48</f>
        <v>#DIV/0!</v>
      </c>
      <c r="F48" s="2533"/>
      <c r="G48" s="1320" t="e">
        <f>T48</f>
        <v>#DIV/0!</v>
      </c>
      <c r="H48" s="2533"/>
      <c r="I48" s="1321" t="e">
        <f>V48</f>
        <v>#DIV/0!</v>
      </c>
      <c r="J48" s="2533"/>
      <c r="K48" s="2535">
        <f>F48+H48+J48</f>
        <v>0</v>
      </c>
      <c r="L48" s="2942"/>
      <c r="M48" s="2943"/>
      <c r="N48" s="2934"/>
      <c r="O48" s="2943"/>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42"/>
      <c r="M49" s="2943"/>
      <c r="N49" s="2934"/>
      <c r="O49" s="2943"/>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8" customFormat="1" ht="13.5" customHeight="1">
      <c r="A54" s="2946"/>
      <c r="B54" s="2946"/>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8"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2" t="s">
        <v>2492</v>
      </c>
      <c r="B57" s="698"/>
      <c r="C57" s="703"/>
      <c r="D57" s="703"/>
      <c r="E57" s="703"/>
      <c r="F57" s="704"/>
      <c r="G57" s="704"/>
      <c r="H57" s="703"/>
      <c r="I57" s="703"/>
      <c r="J57" s="703"/>
      <c r="K57" s="705"/>
      <c r="L57" s="1071"/>
      <c r="M57" s="1069"/>
      <c r="N57" s="1069"/>
      <c r="O57" s="1069"/>
      <c r="P57" s="2956"/>
      <c r="Q57" s="2957"/>
      <c r="R57" s="2943"/>
      <c r="S57" s="2943"/>
      <c r="T57" s="2943"/>
      <c r="U57" s="2943"/>
      <c r="V57" s="2943"/>
      <c r="W57" s="2943"/>
      <c r="X57" s="2943"/>
      <c r="Y57" s="2943"/>
      <c r="Z57" s="2943"/>
      <c r="AA57" s="2943"/>
      <c r="AB57" s="2943"/>
      <c r="AC57" s="2943"/>
    </row>
    <row r="58" spans="1:29" s="464" customFormat="1" ht="15">
      <c r="A58" s="461" t="s">
        <v>2366</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58"/>
      <c r="Q58" s="2959"/>
      <c r="R58" s="2959"/>
      <c r="S58" s="2959"/>
      <c r="T58" s="2959"/>
      <c r="U58" s="2959"/>
      <c r="V58" s="2959"/>
      <c r="W58" s="2959"/>
      <c r="X58" s="2959"/>
      <c r="Y58" s="2959"/>
      <c r="Z58" s="2959"/>
      <c r="AA58" s="2959"/>
      <c r="AB58" s="2959"/>
      <c r="AC58" s="2959"/>
    </row>
    <row r="59" spans="1:29" s="113" customFormat="1" ht="15">
      <c r="A59" s="465"/>
      <c r="B59" s="466"/>
      <c r="C59" s="1343">
        <v>100</v>
      </c>
      <c r="D59" s="468"/>
      <c r="E59" s="468"/>
      <c r="F59" s="468"/>
      <c r="G59" s="468"/>
      <c r="H59" s="468"/>
      <c r="I59" s="468"/>
      <c r="J59" s="468"/>
      <c r="K59" s="468"/>
      <c r="L59" s="468"/>
      <c r="M59" s="469"/>
      <c r="N59" s="468"/>
      <c r="O59" s="469"/>
      <c r="P59" s="2960"/>
      <c r="Q59" s="2878"/>
      <c r="R59" s="2878"/>
      <c r="S59" s="2878"/>
      <c r="T59" s="2878"/>
      <c r="U59" s="2878"/>
      <c r="V59" s="2878"/>
      <c r="W59" s="2878"/>
      <c r="X59" s="2878"/>
      <c r="Y59" s="2878"/>
      <c r="Z59" s="2878"/>
      <c r="AA59" s="2878"/>
      <c r="AB59" s="2878"/>
      <c r="AC59" s="2878"/>
    </row>
    <row r="60" spans="1:29" s="113" customFormat="1" ht="15.75" thickBot="1">
      <c r="A60" s="471" t="s">
        <v>2403</v>
      </c>
      <c r="B60" s="472"/>
      <c r="C60" s="473"/>
      <c r="D60" s="474"/>
      <c r="E60" s="474"/>
      <c r="F60" s="474"/>
      <c r="G60" s="474"/>
      <c r="H60" s="474"/>
      <c r="I60" s="474"/>
      <c r="J60" s="474"/>
      <c r="K60" s="474"/>
      <c r="L60" s="474"/>
      <c r="M60" s="475"/>
      <c r="N60" s="474"/>
      <c r="O60" s="475"/>
      <c r="P60" s="2960"/>
      <c r="Q60" s="2957"/>
      <c r="R60" s="2878"/>
      <c r="S60" s="2878"/>
      <c r="T60" s="2878"/>
      <c r="U60" s="2878"/>
      <c r="V60" s="2878"/>
      <c r="W60" s="2878"/>
      <c r="X60" s="2878"/>
      <c r="Y60" s="2878"/>
      <c r="Z60" s="2878"/>
      <c r="AA60" s="2878"/>
      <c r="AB60" s="2878"/>
      <c r="AC60" s="2878"/>
    </row>
    <row r="61" spans="1:29" s="113" customFormat="1" ht="15">
      <c r="A61" s="477" t="s">
        <v>2368</v>
      </c>
      <c r="B61" s="466"/>
      <c r="C61" s="478" t="s">
        <v>2470</v>
      </c>
      <c r="D61" s="479"/>
      <c r="E61" s="479"/>
      <c r="F61" s="479"/>
      <c r="G61" s="479"/>
      <c r="H61" s="479"/>
      <c r="I61" s="479"/>
      <c r="J61" s="479"/>
      <c r="K61" s="479"/>
      <c r="L61" s="480"/>
      <c r="M61" s="481"/>
      <c r="N61" s="2970"/>
      <c r="O61" s="2970"/>
      <c r="P61" s="2961"/>
      <c r="Q61" s="2957"/>
      <c r="R61" s="2878"/>
      <c r="S61" s="2878"/>
      <c r="T61" s="2878"/>
      <c r="U61" s="2878"/>
      <c r="V61" s="2878"/>
      <c r="W61" s="2878"/>
      <c r="X61" s="2878"/>
      <c r="Y61" s="2878"/>
      <c r="Z61" s="2878"/>
      <c r="AA61" s="2878"/>
      <c r="AB61" s="2878"/>
      <c r="AC61" s="2878"/>
    </row>
    <row r="62" spans="1:29" s="113" customFormat="1" ht="15.75" thickBot="1">
      <c r="A62" s="477"/>
      <c r="B62" s="466"/>
      <c r="C62" s="467">
        <v>100</v>
      </c>
      <c r="D62" s="468"/>
      <c r="E62" s="468"/>
      <c r="F62" s="468"/>
      <c r="G62" s="468"/>
      <c r="H62" s="468"/>
      <c r="I62" s="468"/>
      <c r="J62" s="468"/>
      <c r="K62" s="468"/>
      <c r="L62" s="468"/>
      <c r="M62" s="470"/>
      <c r="N62" s="2970"/>
      <c r="O62" s="2970"/>
      <c r="P62" s="2960"/>
      <c r="Q62" s="2957"/>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1"/>
      <c r="O63" s="2971"/>
      <c r="P63" s="2962"/>
      <c r="Q63" s="2957"/>
      <c r="R63" s="2943"/>
      <c r="S63" s="2943"/>
      <c r="T63" s="2943"/>
      <c r="U63" s="2943"/>
      <c r="V63" s="2943"/>
      <c r="W63" s="2943"/>
      <c r="X63" s="2943"/>
      <c r="Y63" s="2943"/>
      <c r="Z63" s="2943"/>
      <c r="AA63" s="2943"/>
      <c r="AB63" s="2943"/>
      <c r="AC63" s="2943"/>
    </row>
    <row r="64" spans="1:29" ht="15.75" thickBot="1">
      <c r="A64" s="490"/>
      <c r="B64" s="491"/>
      <c r="C64" s="492">
        <v>100</v>
      </c>
      <c r="D64" s="492"/>
      <c r="E64" s="492"/>
      <c r="F64" s="492"/>
      <c r="G64" s="492"/>
      <c r="H64" s="492"/>
      <c r="I64" s="492"/>
      <c r="J64" s="492"/>
      <c r="K64" s="492"/>
      <c r="L64" s="492"/>
      <c r="M64" s="493"/>
      <c r="N64" s="2972"/>
      <c r="O64" s="2972"/>
      <c r="P64" s="2962"/>
      <c r="Q64" s="2957"/>
      <c r="R64" s="2943"/>
      <c r="S64" s="2943"/>
      <c r="T64" s="2943"/>
      <c r="U64" s="2943"/>
      <c r="V64" s="2943"/>
      <c r="W64" s="2943"/>
      <c r="X64" s="2943"/>
      <c r="Y64" s="2943"/>
      <c r="Z64" s="2943"/>
      <c r="AA64" s="2943"/>
      <c r="AB64" s="2943"/>
      <c r="AC64" s="2943"/>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1"/>
      <c r="O65" s="2971"/>
      <c r="P65" s="2962"/>
      <c r="Q65" s="2957"/>
      <c r="R65" s="2943"/>
      <c r="S65" s="2943"/>
      <c r="T65" s="2943"/>
      <c r="U65" s="2943"/>
      <c r="V65" s="2943"/>
      <c r="W65" s="2943"/>
      <c r="X65" s="2943"/>
      <c r="Y65" s="2943"/>
      <c r="Z65" s="2943"/>
      <c r="AA65" s="2943"/>
      <c r="AB65" s="2943"/>
      <c r="AC65" s="294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2"/>
      <c r="O66" s="2972"/>
      <c r="P66" s="2962"/>
      <c r="Q66" s="2957"/>
      <c r="R66" s="2943"/>
      <c r="S66" s="2943"/>
      <c r="T66" s="2943"/>
      <c r="U66" s="2943"/>
      <c r="V66" s="2943"/>
      <c r="W66" s="2943"/>
      <c r="X66" s="2943"/>
      <c r="Y66" s="2943"/>
      <c r="Z66" s="2943"/>
      <c r="AA66" s="2943"/>
      <c r="AB66" s="2943"/>
      <c r="AC66" s="2943"/>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0"/>
      <c r="B68" s="504"/>
      <c r="C68" s="505"/>
      <c r="D68" s="505"/>
      <c r="E68" s="505"/>
      <c r="F68" s="505"/>
      <c r="G68" s="505"/>
      <c r="H68" s="505"/>
      <c r="I68" s="505"/>
      <c r="J68" s="505"/>
      <c r="K68" s="506"/>
      <c r="L68" s="507"/>
      <c r="M68" s="508"/>
      <c r="N68" s="2971"/>
      <c r="O68" s="2971"/>
      <c r="P68" s="2962"/>
      <c r="Q68" s="2957"/>
      <c r="R68" s="2943"/>
      <c r="S68" s="2943"/>
      <c r="T68" s="2943"/>
      <c r="U68" s="2943"/>
      <c r="V68" s="2943"/>
      <c r="W68" s="2943"/>
      <c r="X68" s="2943"/>
      <c r="Y68" s="2943"/>
      <c r="Z68" s="2943"/>
      <c r="AA68" s="2943"/>
      <c r="AB68" s="2943"/>
      <c r="AC68" s="294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2"/>
      <c r="O69" s="2972"/>
      <c r="P69" s="2962"/>
      <c r="Q69" s="2957"/>
      <c r="R69" s="2943"/>
      <c r="S69" s="2943"/>
      <c r="T69" s="2943"/>
      <c r="U69" s="2943"/>
      <c r="V69" s="2943"/>
      <c r="W69" s="2943"/>
      <c r="X69" s="2943"/>
      <c r="Y69" s="2943"/>
      <c r="Z69" s="2943"/>
      <c r="AA69" s="2943"/>
      <c r="AB69" s="2943"/>
      <c r="AC69" s="2943"/>
    </row>
    <row r="70" spans="1:29" s="429" customFormat="1" ht="15.75"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5.75"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5.75"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5.75"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5.75"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5.75"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c r="A76" s="483" t="s">
        <v>2377</v>
      </c>
      <c r="B76" s="484" t="s">
        <v>2414</v>
      </c>
      <c r="C76" s="529" t="s">
        <v>2415</v>
      </c>
      <c r="D76" s="529" t="s">
        <v>2416</v>
      </c>
      <c r="E76" s="529" t="s">
        <v>2417</v>
      </c>
      <c r="F76" s="529" t="s">
        <v>2418</v>
      </c>
      <c r="G76" s="529" t="s">
        <v>2419</v>
      </c>
      <c r="H76" s="485"/>
      <c r="I76" s="485"/>
      <c r="J76" s="485"/>
      <c r="K76" s="530"/>
      <c r="L76" s="531"/>
      <c r="M76" s="532"/>
      <c r="N76" s="2971"/>
      <c r="O76" s="2971"/>
      <c r="P76" s="2969"/>
      <c r="Q76" s="2957"/>
      <c r="R76" s="2943"/>
      <c r="S76" s="2943"/>
      <c r="T76" s="2943"/>
      <c r="U76" s="2943"/>
      <c r="V76" s="2943"/>
      <c r="W76" s="2943"/>
      <c r="X76" s="2943"/>
      <c r="Y76" s="2943"/>
      <c r="Z76" s="2943"/>
      <c r="AA76" s="2943"/>
      <c r="AB76" s="2943"/>
      <c r="AC76" s="294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2"/>
      <c r="O77" s="2972"/>
      <c r="P77" s="2962"/>
      <c r="Q77" s="2957"/>
      <c r="R77" s="2943"/>
      <c r="S77" s="2943"/>
      <c r="T77" s="2943"/>
      <c r="U77" s="2943"/>
      <c r="V77" s="2943"/>
      <c r="W77" s="2943"/>
      <c r="X77" s="2943"/>
      <c r="Y77" s="2943"/>
      <c r="Z77" s="2943"/>
      <c r="AA77" s="2943"/>
      <c r="AB77" s="2943"/>
      <c r="AC77" s="2943"/>
    </row>
    <row r="78" spans="1:29" ht="15.75" thickTop="1">
      <c r="A78" s="490"/>
      <c r="B78" s="494" t="s">
        <v>2420</v>
      </c>
      <c r="C78" s="534" t="s">
        <v>2415</v>
      </c>
      <c r="D78" s="534" t="s">
        <v>2416</v>
      </c>
      <c r="E78" s="534" t="s">
        <v>2417</v>
      </c>
      <c r="F78" s="534" t="s">
        <v>2418</v>
      </c>
      <c r="G78" s="534" t="s">
        <v>2419</v>
      </c>
      <c r="H78" s="495"/>
      <c r="I78" s="495"/>
      <c r="J78" s="495"/>
      <c r="K78" s="496"/>
      <c r="L78" s="497"/>
      <c r="M78" s="498"/>
      <c r="N78" s="2971"/>
      <c r="O78" s="2971"/>
      <c r="P78" s="2962"/>
      <c r="Q78" s="2957"/>
      <c r="R78" s="2943"/>
      <c r="S78" s="2943"/>
      <c r="T78" s="2943"/>
      <c r="U78" s="2943"/>
      <c r="V78" s="2943"/>
      <c r="W78" s="2943"/>
      <c r="X78" s="2943"/>
      <c r="Y78" s="2943"/>
      <c r="Z78" s="2943"/>
      <c r="AA78" s="2943"/>
      <c r="AB78" s="2943"/>
      <c r="AC78" s="294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2"/>
      <c r="O79" s="2972"/>
      <c r="P79" s="2962"/>
      <c r="Q79" s="2957"/>
      <c r="R79" s="2943"/>
      <c r="S79" s="2943"/>
      <c r="T79" s="2943"/>
      <c r="U79" s="2943"/>
      <c r="V79" s="2943"/>
      <c r="W79" s="2943"/>
      <c r="X79" s="2943"/>
      <c r="Y79" s="2943"/>
      <c r="Z79" s="2943"/>
      <c r="AA79" s="2943"/>
      <c r="AB79" s="2943"/>
      <c r="AC79" s="2943"/>
    </row>
    <row r="80" spans="1:29" ht="15.75" thickTop="1">
      <c r="A80" s="490"/>
      <c r="B80" s="494" t="s">
        <v>2421</v>
      </c>
      <c r="C80" s="534" t="s">
        <v>2415</v>
      </c>
      <c r="D80" s="534" t="s">
        <v>2416</v>
      </c>
      <c r="E80" s="534" t="s">
        <v>2417</v>
      </c>
      <c r="F80" s="534" t="s">
        <v>2418</v>
      </c>
      <c r="G80" s="534" t="s">
        <v>2419</v>
      </c>
      <c r="H80" s="495"/>
      <c r="I80" s="495"/>
      <c r="J80" s="495"/>
      <c r="K80" s="496"/>
      <c r="L80" s="497"/>
      <c r="M80" s="498"/>
      <c r="N80" s="2971"/>
      <c r="O80" s="2971"/>
      <c r="P80" s="2962"/>
      <c r="Q80" s="2957"/>
      <c r="R80" s="2943"/>
      <c r="S80" s="2943"/>
      <c r="T80" s="2943"/>
      <c r="U80" s="2943"/>
      <c r="V80" s="2943"/>
      <c r="W80" s="2943"/>
      <c r="X80" s="2943"/>
      <c r="Y80" s="2943"/>
      <c r="Z80" s="2943"/>
      <c r="AA80" s="2943"/>
      <c r="AB80" s="2943"/>
      <c r="AC80" s="294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2"/>
      <c r="O81" s="2972"/>
      <c r="P81" s="2962"/>
      <c r="Q81" s="2957"/>
      <c r="R81" s="2943"/>
      <c r="S81" s="2943"/>
      <c r="T81" s="2943"/>
      <c r="U81" s="2943"/>
      <c r="V81" s="2943"/>
      <c r="W81" s="2943"/>
      <c r="X81" s="2943"/>
      <c r="Y81" s="2943"/>
      <c r="Z81" s="2943"/>
      <c r="AA81" s="2943"/>
      <c r="AB81" s="2943"/>
      <c r="AC81" s="2943"/>
    </row>
    <row r="82" spans="1:29" ht="15.75" thickTop="1">
      <c r="A82" s="490"/>
      <c r="B82" s="502" t="s">
        <v>2473</v>
      </c>
      <c r="C82" s="615" t="s">
        <v>2493</v>
      </c>
      <c r="D82" s="615" t="s">
        <v>2494</v>
      </c>
      <c r="E82" s="615" t="s">
        <v>2495</v>
      </c>
      <c r="F82" s="615" t="s">
        <v>2496</v>
      </c>
      <c r="G82" s="615" t="s">
        <v>2497</v>
      </c>
      <c r="H82" s="495"/>
      <c r="I82" s="495"/>
      <c r="J82" s="495"/>
      <c r="K82" s="495"/>
      <c r="L82" s="495"/>
      <c r="M82" s="1289"/>
      <c r="N82" s="2972"/>
      <c r="O82" s="2972"/>
      <c r="P82" s="2962"/>
      <c r="Q82" s="2957"/>
      <c r="R82" s="2943"/>
      <c r="S82" s="2943"/>
      <c r="T82" s="2943"/>
      <c r="U82" s="2943"/>
      <c r="V82" s="2943"/>
      <c r="W82" s="2943"/>
      <c r="X82" s="2943"/>
      <c r="Y82" s="2943"/>
      <c r="Z82" s="2943"/>
      <c r="AA82" s="2943"/>
      <c r="AB82" s="2943"/>
      <c r="AC82" s="294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2"/>
      <c r="O83" s="2972"/>
      <c r="P83" s="2962"/>
      <c r="Q83" s="2957"/>
      <c r="R83" s="2943"/>
      <c r="S83" s="2943"/>
      <c r="T83" s="2943"/>
      <c r="U83" s="2943"/>
      <c r="V83" s="2943"/>
      <c r="W83" s="2943"/>
      <c r="X83" s="2943"/>
      <c r="Y83" s="2943"/>
      <c r="Z83" s="2943"/>
      <c r="AA83" s="2943"/>
      <c r="AB83" s="2943"/>
      <c r="AC83" s="2943"/>
    </row>
    <row r="84" spans="1:29" ht="15.75" thickTop="1">
      <c r="A84" s="490"/>
      <c r="B84" s="494" t="s">
        <v>2427</v>
      </c>
      <c r="C84" s="534" t="s">
        <v>2415</v>
      </c>
      <c r="D84" s="534" t="s">
        <v>2416</v>
      </c>
      <c r="E84" s="534" t="s">
        <v>2417</v>
      </c>
      <c r="F84" s="534" t="s">
        <v>2418</v>
      </c>
      <c r="G84" s="534" t="s">
        <v>2419</v>
      </c>
      <c r="H84" s="495"/>
      <c r="I84" s="495"/>
      <c r="J84" s="495"/>
      <c r="K84" s="496"/>
      <c r="L84" s="497"/>
      <c r="M84" s="498"/>
      <c r="N84" s="2971"/>
      <c r="O84" s="2971"/>
      <c r="P84" s="2962"/>
      <c r="Q84" s="2957"/>
      <c r="R84" s="2943"/>
      <c r="S84" s="2943"/>
      <c r="T84" s="2943"/>
      <c r="U84" s="2943"/>
      <c r="V84" s="2943"/>
      <c r="W84" s="2943"/>
      <c r="X84" s="2943"/>
      <c r="Y84" s="2943"/>
      <c r="Z84" s="2943"/>
      <c r="AA84" s="2943"/>
      <c r="AB84" s="2943"/>
      <c r="AC84" s="294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2"/>
      <c r="O85" s="2972"/>
      <c r="P85" s="2962"/>
      <c r="Q85" s="2957"/>
      <c r="R85" s="2943"/>
      <c r="S85" s="2943"/>
      <c r="T85" s="2943"/>
      <c r="U85" s="2943"/>
      <c r="V85" s="2943"/>
      <c r="W85" s="2943"/>
      <c r="X85" s="2943"/>
      <c r="Y85" s="2943"/>
      <c r="Z85" s="2943"/>
      <c r="AA85" s="2943"/>
      <c r="AB85" s="2943"/>
      <c r="AC85" s="2943"/>
    </row>
    <row r="86" spans="1:29" s="113" customFormat="1" ht="15.75" thickTop="1">
      <c r="A86" s="535"/>
      <c r="B86" s="494" t="s">
        <v>2498</v>
      </c>
      <c r="C86" s="510"/>
      <c r="D86" s="510"/>
      <c r="E86" s="510"/>
      <c r="F86" s="510"/>
      <c r="G86" s="510"/>
      <c r="H86" s="510"/>
      <c r="I86" s="510"/>
      <c r="J86" s="510"/>
      <c r="K86" s="510"/>
      <c r="L86" s="536"/>
      <c r="M86" s="537"/>
      <c r="N86" s="2970"/>
      <c r="O86" s="2970"/>
      <c r="P86" s="2962"/>
      <c r="Q86" s="2957"/>
      <c r="R86" s="2878"/>
      <c r="S86" s="2878"/>
      <c r="T86" s="2878"/>
      <c r="U86" s="2878"/>
      <c r="V86" s="2878"/>
      <c r="W86" s="2878"/>
      <c r="X86" s="2878"/>
      <c r="Y86" s="2878"/>
      <c r="Z86" s="2878"/>
      <c r="AA86" s="2878"/>
      <c r="AB86" s="2878"/>
      <c r="AC86" s="287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5"/>
      <c r="B88" s="494" t="str">
        <f>B26</f>
        <v>平面位置/可视性</v>
      </c>
      <c r="C88" s="510"/>
      <c r="D88" s="510"/>
      <c r="E88" s="510"/>
      <c r="F88" s="2107"/>
      <c r="G88" s="510"/>
      <c r="H88" s="510"/>
      <c r="I88" s="510"/>
      <c r="J88" s="510"/>
      <c r="K88" s="510"/>
      <c r="L88" s="510"/>
      <c r="M88" s="537"/>
      <c r="N88" s="2970"/>
      <c r="O88" s="2970"/>
      <c r="P88" s="2962"/>
      <c r="Q88" s="2957"/>
      <c r="R88" s="2878"/>
      <c r="S88" s="2878"/>
      <c r="T88" s="2878"/>
      <c r="U88" s="2878"/>
      <c r="V88" s="2878"/>
      <c r="W88" s="2878"/>
      <c r="X88" s="2878"/>
      <c r="Y88" s="2878"/>
      <c r="Z88" s="2878"/>
      <c r="AA88" s="2878"/>
      <c r="AB88" s="2878"/>
      <c r="AC88" s="2878"/>
    </row>
    <row r="89" spans="1:29" s="113" customFormat="1" ht="15.75" thickBot="1">
      <c r="A89" s="535"/>
      <c r="B89" s="499"/>
      <c r="C89" s="516"/>
      <c r="D89" s="492"/>
      <c r="E89" s="492"/>
      <c r="F89" s="492"/>
      <c r="G89" s="492"/>
      <c r="H89" s="492"/>
      <c r="I89" s="492"/>
      <c r="J89" s="492"/>
      <c r="K89" s="492"/>
      <c r="L89" s="492"/>
      <c r="M89" s="492"/>
      <c r="N89" s="2972"/>
      <c r="O89" s="2972"/>
      <c r="P89" s="2962"/>
      <c r="Q89" s="2957"/>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90"/>
      <c r="B92" s="494" t="str">
        <f>B28</f>
        <v>楼层</v>
      </c>
      <c r="C92" s="510"/>
      <c r="D92" s="510"/>
      <c r="E92" s="510"/>
      <c r="F92" s="510"/>
      <c r="G92" s="510"/>
      <c r="H92" s="510"/>
      <c r="I92" s="510"/>
      <c r="J92" s="510"/>
      <c r="K92" s="510"/>
      <c r="L92" s="536"/>
      <c r="M92" s="537"/>
      <c r="N92" s="2971"/>
      <c r="O92" s="2971"/>
      <c r="P92" s="2962"/>
      <c r="Q92" s="2957"/>
      <c r="R92" s="2943"/>
      <c r="S92" s="2943"/>
      <c r="T92" s="2943"/>
      <c r="U92" s="2943"/>
      <c r="V92" s="2943"/>
      <c r="W92" s="2943"/>
      <c r="X92" s="2943"/>
      <c r="Y92" s="2943"/>
      <c r="Z92" s="2943"/>
      <c r="AA92" s="2943"/>
      <c r="AB92" s="2943"/>
      <c r="AC92" s="2943"/>
    </row>
    <row r="93" spans="1:29" ht="15.75" thickBot="1">
      <c r="A93" s="490"/>
      <c r="B93" s="499"/>
      <c r="C93" s="492"/>
      <c r="D93" s="492"/>
      <c r="E93" s="492"/>
      <c r="F93" s="492"/>
      <c r="G93" s="492"/>
      <c r="H93" s="492"/>
      <c r="I93" s="492"/>
      <c r="J93" s="492"/>
      <c r="K93" s="492"/>
      <c r="L93" s="492"/>
      <c r="M93" s="493"/>
      <c r="N93" s="2972"/>
      <c r="O93" s="2972"/>
      <c r="P93" s="2962"/>
      <c r="Q93" s="2957"/>
      <c r="R93" s="2943"/>
      <c r="S93" s="2943"/>
      <c r="T93" s="2943"/>
      <c r="U93" s="2943"/>
      <c r="V93" s="2943"/>
      <c r="W93" s="2943"/>
      <c r="X93" s="2943"/>
      <c r="Y93" s="2943"/>
      <c r="Z93" s="2943"/>
      <c r="AA93" s="2943"/>
      <c r="AB93" s="2943"/>
      <c r="AC93" s="2943"/>
    </row>
    <row r="94" spans="1:29" ht="15.75" thickTop="1">
      <c r="A94" s="490"/>
      <c r="B94" s="494">
        <f>B29</f>
        <v>111</v>
      </c>
      <c r="C94" s="510"/>
      <c r="D94" s="510"/>
      <c r="E94" s="510"/>
      <c r="F94" s="510"/>
      <c r="G94" s="539"/>
      <c r="H94" s="539"/>
      <c r="I94" s="539"/>
      <c r="J94" s="539"/>
      <c r="K94" s="540"/>
      <c r="L94" s="541"/>
      <c r="M94" s="542"/>
      <c r="N94" s="2971"/>
      <c r="O94" s="2971"/>
      <c r="P94" s="2962"/>
      <c r="Q94" s="2957"/>
      <c r="R94" s="2943"/>
      <c r="S94" s="2943"/>
      <c r="T94" s="2943"/>
      <c r="U94" s="2943"/>
      <c r="V94" s="2943"/>
      <c r="W94" s="2943"/>
      <c r="X94" s="2943"/>
      <c r="Y94" s="2943"/>
      <c r="Z94" s="2943"/>
      <c r="AA94" s="2943"/>
      <c r="AB94" s="2943"/>
      <c r="AC94" s="2943"/>
    </row>
    <row r="95" spans="1:29" ht="15.75" thickBot="1">
      <c r="A95" s="490"/>
      <c r="B95" s="499"/>
      <c r="C95" s="516"/>
      <c r="D95" s="492"/>
      <c r="E95" s="492"/>
      <c r="F95" s="492"/>
      <c r="G95" s="492"/>
      <c r="H95" s="492"/>
      <c r="I95" s="492"/>
      <c r="J95" s="492"/>
      <c r="K95" s="492"/>
      <c r="L95" s="492"/>
      <c r="M95" s="493"/>
      <c r="N95" s="2972"/>
      <c r="O95" s="2972"/>
      <c r="P95" s="2962"/>
      <c r="Q95" s="2957"/>
      <c r="R95" s="2943"/>
      <c r="S95" s="2943"/>
      <c r="T95" s="2943"/>
      <c r="U95" s="2943"/>
      <c r="V95" s="2943"/>
      <c r="W95" s="2943"/>
      <c r="X95" s="2943"/>
      <c r="Y95" s="2943"/>
      <c r="Z95" s="2943"/>
      <c r="AA95" s="2943"/>
      <c r="AB95" s="2943"/>
      <c r="AC95" s="2943"/>
    </row>
    <row r="96" spans="1:29" ht="15.75" thickTop="1">
      <c r="A96" s="490"/>
      <c r="B96" s="494">
        <f>B30</f>
        <v>111</v>
      </c>
      <c r="C96" s="510"/>
      <c r="D96" s="510"/>
      <c r="E96" s="510"/>
      <c r="F96" s="510"/>
      <c r="G96" s="539"/>
      <c r="H96" s="539"/>
      <c r="I96" s="539"/>
      <c r="J96" s="539"/>
      <c r="K96" s="540"/>
      <c r="L96" s="541"/>
      <c r="M96" s="542"/>
      <c r="N96" s="2971"/>
      <c r="O96" s="2971"/>
      <c r="P96" s="2962"/>
      <c r="Q96" s="2957"/>
      <c r="R96" s="2943"/>
      <c r="S96" s="2943"/>
      <c r="T96" s="2943"/>
      <c r="U96" s="2943"/>
      <c r="V96" s="2943"/>
      <c r="W96" s="2943"/>
      <c r="X96" s="2943"/>
      <c r="Y96" s="2943"/>
      <c r="Z96" s="2943"/>
      <c r="AA96" s="2943"/>
      <c r="AB96" s="2943"/>
      <c r="AC96" s="2943"/>
    </row>
    <row r="97" spans="1:29" ht="15.75" thickBot="1">
      <c r="A97" s="490"/>
      <c r="B97" s="499"/>
      <c r="C97" s="516"/>
      <c r="D97" s="492"/>
      <c r="E97" s="492"/>
      <c r="F97" s="492"/>
      <c r="G97" s="492"/>
      <c r="H97" s="492"/>
      <c r="I97" s="492"/>
      <c r="J97" s="492"/>
      <c r="K97" s="492"/>
      <c r="L97" s="492"/>
      <c r="M97" s="493"/>
      <c r="N97" s="2972"/>
      <c r="O97" s="2972"/>
      <c r="P97" s="2962"/>
      <c r="Q97" s="2957"/>
      <c r="R97" s="2943"/>
      <c r="S97" s="2943"/>
      <c r="T97" s="2943"/>
      <c r="U97" s="2943"/>
      <c r="V97" s="2943"/>
      <c r="W97" s="2943"/>
      <c r="X97" s="2943"/>
      <c r="Y97" s="2943"/>
      <c r="Z97" s="2943"/>
      <c r="AA97" s="2943"/>
      <c r="AB97" s="2943"/>
      <c r="AC97" s="2943"/>
    </row>
    <row r="98" spans="1:29" ht="15.75" thickTop="1">
      <c r="A98" s="490"/>
      <c r="B98" s="502">
        <f>B31</f>
        <v>111</v>
      </c>
      <c r="C98" s="510"/>
      <c r="D98" s="510"/>
      <c r="E98" s="510"/>
      <c r="F98" s="510"/>
      <c r="G98" s="543"/>
      <c r="H98" s="543"/>
      <c r="I98" s="543"/>
      <c r="J98" s="543"/>
      <c r="K98" s="544"/>
      <c r="L98" s="545"/>
      <c r="M98" s="546"/>
      <c r="N98" s="2971"/>
      <c r="O98" s="2971"/>
      <c r="P98" s="2962"/>
      <c r="Q98" s="2957"/>
      <c r="R98" s="2943"/>
      <c r="S98" s="2943"/>
      <c r="T98" s="2943"/>
      <c r="U98" s="2943"/>
      <c r="V98" s="2943"/>
      <c r="W98" s="2943"/>
      <c r="X98" s="2943"/>
      <c r="Y98" s="2943"/>
      <c r="Z98" s="2943"/>
      <c r="AA98" s="2943"/>
      <c r="AB98" s="2943"/>
      <c r="AC98" s="2943"/>
    </row>
    <row r="99" spans="1:29" ht="15.75" thickBot="1">
      <c r="A99" s="2108"/>
      <c r="B99" s="525"/>
      <c r="C99" s="526"/>
      <c r="D99" s="526"/>
      <c r="E99" s="526"/>
      <c r="F99" s="526"/>
      <c r="G99" s="547"/>
      <c r="H99" s="547"/>
      <c r="I99" s="547"/>
      <c r="J99" s="547"/>
      <c r="K99" s="547"/>
      <c r="L99" s="547"/>
      <c r="M99" s="548"/>
      <c r="N99" s="2972"/>
      <c r="O99" s="2972"/>
      <c r="P99" s="2962"/>
      <c r="Q99" s="2957"/>
      <c r="R99" s="2943"/>
      <c r="S99" s="2943"/>
      <c r="T99" s="2943"/>
      <c r="U99" s="2943"/>
      <c r="V99" s="2943"/>
      <c r="W99" s="2943"/>
      <c r="X99" s="2943"/>
      <c r="Y99" s="2943"/>
      <c r="Z99" s="2943"/>
      <c r="AA99" s="2943"/>
      <c r="AB99" s="2943"/>
      <c r="AC99" s="2943"/>
    </row>
    <row r="100" spans="1:29">
      <c r="A100" s="483" t="s">
        <v>2381</v>
      </c>
      <c r="B100" s="484" t="s">
        <v>2499</v>
      </c>
      <c r="C100" s="486"/>
      <c r="D100" s="486"/>
      <c r="E100" s="486"/>
      <c r="F100" s="486"/>
      <c r="G100" s="486"/>
      <c r="H100" s="486"/>
      <c r="I100" s="486"/>
      <c r="J100" s="486"/>
      <c r="K100" s="487"/>
      <c r="L100" s="488"/>
      <c r="M100" s="489"/>
      <c r="N100" s="2971"/>
      <c r="O100" s="2971"/>
      <c r="P100" s="2962"/>
      <c r="Q100" s="2957"/>
      <c r="R100" s="2943"/>
      <c r="S100" s="2943"/>
      <c r="T100" s="2943"/>
      <c r="U100" s="2943"/>
      <c r="V100" s="2943"/>
      <c r="W100" s="2943"/>
      <c r="X100" s="2943"/>
      <c r="Y100" s="2943"/>
      <c r="Z100" s="2943"/>
      <c r="AA100" s="2943"/>
      <c r="AB100" s="2943"/>
      <c r="AC100" s="294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9" customFormat="1">
      <c r="A103" s="549"/>
      <c r="B103" s="550"/>
      <c r="C103" s="551"/>
      <c r="D103" s="551"/>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5.75" thickBot="1">
      <c r="A104" s="509"/>
      <c r="B104" s="499"/>
      <c r="C104" s="516"/>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2432</v>
      </c>
      <c r="C105" s="510"/>
      <c r="D105" s="510"/>
      <c r="E105" s="539"/>
      <c r="F105" s="539"/>
      <c r="G105" s="539"/>
      <c r="H105" s="539"/>
      <c r="I105" s="539"/>
      <c r="J105" s="539"/>
      <c r="K105" s="540"/>
      <c r="L105" s="541"/>
      <c r="M105" s="542"/>
      <c r="N105" s="2971"/>
      <c r="O105" s="2971"/>
      <c r="P105" s="2962"/>
      <c r="Q105" s="2957"/>
      <c r="R105" s="2943"/>
      <c r="S105" s="2943"/>
      <c r="T105" s="2943"/>
      <c r="U105" s="2943"/>
      <c r="V105" s="2943"/>
      <c r="W105" s="2943"/>
      <c r="X105" s="2943"/>
      <c r="Y105" s="2943"/>
      <c r="Z105" s="2943"/>
      <c r="AA105" s="2943"/>
      <c r="AB105" s="2943"/>
      <c r="AC105" s="294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5"/>
      <c r="B107" s="494" t="s">
        <v>2434</v>
      </c>
      <c r="C107" s="510"/>
      <c r="D107" s="510"/>
      <c r="E107" s="510"/>
      <c r="F107" s="539"/>
      <c r="G107" s="539"/>
      <c r="H107" s="539"/>
      <c r="I107" s="539"/>
      <c r="J107" s="539"/>
      <c r="K107" s="540"/>
      <c r="L107" s="541"/>
      <c r="M107" s="542"/>
      <c r="N107" s="2971"/>
      <c r="O107" s="2971"/>
      <c r="P107" s="2962"/>
      <c r="Q107" s="2957"/>
      <c r="R107" s="2943"/>
      <c r="S107" s="2943"/>
      <c r="T107" s="2943"/>
      <c r="U107" s="2943"/>
      <c r="V107" s="2943"/>
      <c r="W107" s="2943"/>
      <c r="X107" s="2943"/>
      <c r="Y107" s="2943"/>
      <c r="Z107" s="2943"/>
      <c r="AA107" s="2943"/>
      <c r="AB107" s="2943"/>
      <c r="AC107" s="294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7"/>
      <c r="R109" s="2943"/>
      <c r="S109" s="2943"/>
      <c r="T109" s="2943"/>
      <c r="U109" s="2943"/>
      <c r="V109" s="2943"/>
      <c r="W109" s="2943"/>
      <c r="X109" s="2943"/>
      <c r="Y109" s="2943"/>
      <c r="Z109" s="2943"/>
      <c r="AA109" s="2943"/>
      <c r="AB109" s="2943"/>
      <c r="AC109" s="2943"/>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2"/>
      <c r="O111" s="2972"/>
      <c r="P111" s="2962"/>
      <c r="Q111" s="2957"/>
      <c r="R111" s="2943"/>
      <c r="S111" s="2943"/>
      <c r="T111" s="2943"/>
      <c r="U111" s="2943"/>
      <c r="V111" s="2943"/>
      <c r="W111" s="2943"/>
      <c r="X111" s="2943"/>
      <c r="Y111" s="2943"/>
      <c r="Z111" s="2943"/>
      <c r="AA111" s="2943"/>
      <c r="AB111" s="2943"/>
      <c r="AC111" s="2943"/>
    </row>
    <row r="112" spans="1:29" s="429" customFormat="1" ht="15" thickTop="1">
      <c r="A112" s="549"/>
      <c r="B112" s="494" t="s">
        <v>2436</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2500</v>
      </c>
      <c r="C114" s="510"/>
      <c r="D114" s="510"/>
      <c r="E114" s="539"/>
      <c r="F114" s="539"/>
      <c r="G114" s="539"/>
      <c r="H114" s="539"/>
      <c r="I114" s="539"/>
      <c r="J114" s="539"/>
      <c r="K114" s="540"/>
      <c r="L114" s="541"/>
      <c r="M114" s="542"/>
      <c r="N114" s="2971"/>
      <c r="O114" s="2971"/>
      <c r="P114" s="2962"/>
      <c r="Q114" s="2957"/>
      <c r="R114" s="2943"/>
      <c r="S114" s="2943"/>
      <c r="T114" s="2943"/>
      <c r="U114" s="2943"/>
      <c r="V114" s="2943"/>
      <c r="W114" s="2943"/>
      <c r="X114" s="2943"/>
      <c r="Y114" s="2943"/>
      <c r="Z114" s="2943"/>
      <c r="AA114" s="2943"/>
      <c r="AB114" s="2943"/>
      <c r="AC114" s="294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5"/>
      <c r="B116" s="494" t="s">
        <v>2501</v>
      </c>
      <c r="C116" s="510"/>
      <c r="D116" s="510"/>
      <c r="E116" s="510"/>
      <c r="F116" s="510"/>
      <c r="G116" s="510"/>
      <c r="H116" s="539"/>
      <c r="I116" s="539"/>
      <c r="J116" s="539"/>
      <c r="K116" s="540"/>
      <c r="L116" s="541"/>
      <c r="M116" s="542"/>
      <c r="N116" s="2971"/>
      <c r="O116" s="2971"/>
      <c r="P116" s="2962"/>
      <c r="Q116" s="2957"/>
      <c r="R116" s="2943"/>
      <c r="S116" s="2943"/>
      <c r="T116" s="2943"/>
      <c r="U116" s="2943"/>
      <c r="V116" s="2943"/>
      <c r="W116" s="2943"/>
      <c r="X116" s="2943"/>
      <c r="Y116" s="2943"/>
      <c r="Z116" s="2943"/>
      <c r="AA116" s="2943"/>
      <c r="AB116" s="2943"/>
      <c r="AC116" s="294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2"/>
      <c r="O117" s="2972"/>
      <c r="P117" s="2962"/>
      <c r="Q117" s="2957"/>
      <c r="R117" s="2943"/>
      <c r="S117" s="2943"/>
      <c r="T117" s="2943"/>
      <c r="U117" s="2943"/>
      <c r="V117" s="2943"/>
      <c r="W117" s="2943"/>
      <c r="X117" s="2943"/>
      <c r="Y117" s="2943"/>
      <c r="Z117" s="2943"/>
      <c r="AA117" s="2943"/>
      <c r="AB117" s="2943"/>
      <c r="AC117" s="2943"/>
    </row>
    <row r="118" spans="1:29" ht="15" thickTop="1">
      <c r="A118" s="555"/>
      <c r="B118" s="494" t="s">
        <v>2502</v>
      </c>
      <c r="C118" s="582"/>
      <c r="D118" s="582"/>
      <c r="E118" s="582"/>
      <c r="F118" s="582"/>
      <c r="G118" s="582"/>
      <c r="H118" s="511"/>
      <c r="I118" s="511"/>
      <c r="J118" s="511"/>
      <c r="K118" s="511"/>
      <c r="L118" s="512"/>
      <c r="M118" s="513"/>
      <c r="N118" s="2971"/>
      <c r="O118" s="2971"/>
      <c r="P118" s="2962"/>
      <c r="Q118" s="2957"/>
      <c r="R118" s="2943"/>
      <c r="S118" s="2943"/>
      <c r="T118" s="2943"/>
      <c r="U118" s="2943"/>
      <c r="V118" s="2943"/>
      <c r="W118" s="2943"/>
      <c r="X118" s="2943"/>
      <c r="Y118" s="2943"/>
      <c r="Z118" s="2943"/>
      <c r="AA118" s="2943"/>
      <c r="AB118" s="2943"/>
      <c r="AC118" s="2943"/>
    </row>
    <row r="119" spans="1:29" ht="15.75" thickBot="1">
      <c r="A119" s="490"/>
      <c r="B119" s="499"/>
      <c r="C119" s="516"/>
      <c r="D119" s="492"/>
      <c r="E119" s="492"/>
      <c r="F119" s="492"/>
      <c r="G119" s="492"/>
      <c r="H119" s="492"/>
      <c r="I119" s="492"/>
      <c r="J119" s="492"/>
      <c r="K119" s="492"/>
      <c r="L119" s="492"/>
      <c r="M119" s="493"/>
      <c r="N119" s="2972"/>
      <c r="O119" s="2972"/>
      <c r="P119" s="2962"/>
      <c r="Q119" s="2957"/>
      <c r="R119" s="2943"/>
      <c r="S119" s="2943"/>
      <c r="T119" s="2943"/>
      <c r="U119" s="2943"/>
      <c r="V119" s="2943"/>
      <c r="W119" s="2943"/>
      <c r="X119" s="2943"/>
      <c r="Y119" s="2943"/>
      <c r="Z119" s="2943"/>
      <c r="AA119" s="2943"/>
      <c r="AB119" s="2943"/>
      <c r="AC119" s="2943"/>
    </row>
    <row r="120" spans="1:29" s="429" customFormat="1" ht="15" thickTop="1">
      <c r="A120" s="549"/>
      <c r="B120" s="494" t="s">
        <v>2503</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2438</v>
      </c>
      <c r="C122" s="510"/>
      <c r="D122" s="510"/>
      <c r="E122" s="510"/>
      <c r="F122" s="539"/>
      <c r="G122" s="539"/>
      <c r="H122" s="539"/>
      <c r="I122" s="539"/>
      <c r="J122" s="539"/>
      <c r="K122" s="540"/>
      <c r="L122" s="541"/>
      <c r="M122" s="542"/>
      <c r="N122" s="2971"/>
      <c r="O122" s="2971"/>
      <c r="P122" s="2962"/>
      <c r="Q122" s="2957"/>
      <c r="R122" s="2943"/>
      <c r="S122" s="2943"/>
      <c r="T122" s="2943"/>
      <c r="U122" s="2943"/>
      <c r="V122" s="2943"/>
      <c r="W122" s="2943"/>
      <c r="X122" s="2943"/>
      <c r="Y122" s="2943"/>
      <c r="Z122" s="2943"/>
      <c r="AA122" s="2943"/>
      <c r="AB122" s="2943"/>
      <c r="AC122" s="294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1"/>
      <c r="O124" s="2971"/>
      <c r="P124" s="2963"/>
      <c r="Q124" s="2957"/>
      <c r="R124" s="2943"/>
      <c r="S124" s="2943"/>
      <c r="T124" s="2943"/>
      <c r="U124" s="2943"/>
      <c r="V124" s="2943"/>
      <c r="W124" s="2943"/>
      <c r="X124" s="2943"/>
      <c r="Y124" s="2943"/>
      <c r="Z124" s="2943"/>
      <c r="AA124" s="2943"/>
      <c r="AB124" s="2943"/>
      <c r="AC124" s="294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2"/>
      <c r="O125" s="2972"/>
      <c r="P125" s="2962"/>
      <c r="Q125" s="2957"/>
      <c r="R125" s="2943"/>
      <c r="S125" s="2943"/>
      <c r="T125" s="2943"/>
      <c r="U125" s="2943"/>
      <c r="V125" s="2943"/>
      <c r="W125" s="2943"/>
      <c r="X125" s="2943"/>
      <c r="Y125" s="2943"/>
      <c r="Z125" s="2943"/>
      <c r="AA125" s="2943"/>
      <c r="AB125" s="2943"/>
      <c r="AC125" s="2943"/>
    </row>
    <row r="126" spans="1:29" s="429" customFormat="1" ht="15"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5.75"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5" thickTop="1">
      <c r="A128" s="555"/>
      <c r="B128" s="494">
        <f>B45</f>
        <v>111</v>
      </c>
      <c r="C128" s="510"/>
      <c r="D128" s="510"/>
      <c r="E128" s="510"/>
      <c r="F128" s="510"/>
      <c r="G128" s="539"/>
      <c r="H128" s="539"/>
      <c r="I128" s="539"/>
      <c r="J128" s="539"/>
      <c r="K128" s="540"/>
      <c r="L128" s="541"/>
      <c r="M128" s="542"/>
      <c r="N128" s="2971"/>
      <c r="O128" s="2971"/>
      <c r="P128" s="2962"/>
      <c r="Q128" s="2957"/>
      <c r="R128" s="2943"/>
      <c r="S128" s="2943"/>
      <c r="T128" s="2943"/>
      <c r="U128" s="2943"/>
      <c r="V128" s="2943"/>
      <c r="W128" s="2943"/>
      <c r="X128" s="2943"/>
      <c r="Y128" s="2943"/>
      <c r="Z128" s="2943"/>
      <c r="AA128" s="2943"/>
      <c r="AB128" s="2943"/>
      <c r="AC128" s="2943"/>
    </row>
    <row r="129" spans="1:29" ht="15.75" thickBot="1">
      <c r="A129" s="490"/>
      <c r="B129" s="499"/>
      <c r="C129" s="516"/>
      <c r="D129" s="492"/>
      <c r="E129" s="492"/>
      <c r="F129" s="492"/>
      <c r="G129" s="492"/>
      <c r="H129" s="492"/>
      <c r="I129" s="492"/>
      <c r="J129" s="492"/>
      <c r="K129" s="492"/>
      <c r="L129" s="492"/>
      <c r="M129" s="493"/>
      <c r="N129" s="2972"/>
      <c r="O129" s="2972"/>
      <c r="P129" s="2962"/>
      <c r="Q129" s="2957"/>
      <c r="R129" s="2943"/>
      <c r="S129" s="2943"/>
      <c r="T129" s="2943"/>
      <c r="U129" s="2943"/>
      <c r="V129" s="2943"/>
      <c r="W129" s="2943"/>
      <c r="X129" s="2943"/>
      <c r="Y129" s="2943"/>
      <c r="Z129" s="2943"/>
      <c r="AA129" s="2943"/>
      <c r="AB129" s="2943"/>
      <c r="AC129" s="2943"/>
    </row>
    <row r="130" spans="1:29" ht="15" thickTop="1">
      <c r="A130" s="555"/>
      <c r="B130" s="502">
        <f>B46</f>
        <v>111</v>
      </c>
      <c r="C130" s="510"/>
      <c r="D130" s="510"/>
      <c r="E130" s="510"/>
      <c r="F130" s="510"/>
      <c r="G130" s="543"/>
      <c r="H130" s="543"/>
      <c r="I130" s="543"/>
      <c r="J130" s="543"/>
      <c r="K130" s="479"/>
      <c r="L130" s="480"/>
      <c r="M130" s="546"/>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5"/>
      <c r="C131" s="526"/>
      <c r="D131" s="526"/>
      <c r="E131" s="526"/>
      <c r="F131" s="526"/>
      <c r="G131" s="547"/>
      <c r="H131" s="547"/>
      <c r="I131" s="547"/>
      <c r="J131" s="547"/>
      <c r="K131" s="547"/>
      <c r="L131" s="547"/>
      <c r="M131" s="548"/>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2504</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54761.34</v>
      </c>
      <c r="E3" s="2134"/>
      <c r="F3" s="1038"/>
      <c r="G3" s="1037"/>
      <c r="H3" s="1037"/>
      <c r="I3" s="1037"/>
      <c r="J3" s="1037"/>
      <c r="K3" s="1039"/>
      <c r="L3" s="2952"/>
      <c r="M3" s="2953"/>
      <c r="N3" s="2953"/>
      <c r="O3" s="2953"/>
      <c r="P3" s="707"/>
      <c r="Q3" s="707"/>
      <c r="R3" s="707"/>
      <c r="S3" s="707"/>
      <c r="T3" s="707"/>
      <c r="U3" s="707"/>
      <c r="V3" s="707"/>
      <c r="W3" s="707"/>
      <c r="X3" s="707"/>
      <c r="Y3" s="707"/>
      <c r="Z3" s="707"/>
      <c r="AA3" s="707"/>
      <c r="AB3" s="707"/>
      <c r="AC3" s="708"/>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431" t="s">
        <v>2469</v>
      </c>
      <c r="Q4" s="3432"/>
      <c r="R4" s="3435" t="s">
        <v>2465</v>
      </c>
      <c r="S4" s="3436"/>
      <c r="T4" s="3435" t="s">
        <v>2466</v>
      </c>
      <c r="U4" s="3436"/>
      <c r="V4" s="3437" t="s">
        <v>2467</v>
      </c>
      <c r="W4" s="3437"/>
      <c r="X4" s="2138"/>
      <c r="Y4" s="3435" t="s">
        <v>2469</v>
      </c>
      <c r="Z4" s="3436"/>
      <c r="AA4" s="3439" t="s">
        <v>2465</v>
      </c>
      <c r="AB4" s="3439" t="s">
        <v>2466</v>
      </c>
      <c r="AC4" s="3428" t="s">
        <v>2467</v>
      </c>
    </row>
    <row r="5" spans="1:29" ht="15">
      <c r="A5" s="363"/>
      <c r="B5" s="364"/>
      <c r="C5" s="3423" t="s">
        <v>2360</v>
      </c>
      <c r="D5" s="3415"/>
      <c r="E5" s="3424" t="s">
        <v>2361</v>
      </c>
      <c r="F5" s="3422"/>
      <c r="G5" s="3423" t="s">
        <v>2362</v>
      </c>
      <c r="H5" s="3415"/>
      <c r="I5" s="3423" t="s">
        <v>2363</v>
      </c>
      <c r="J5" s="3415"/>
      <c r="K5" s="566"/>
      <c r="L5" s="2933"/>
      <c r="M5" s="2934"/>
      <c r="N5" s="2934"/>
      <c r="O5" s="2934"/>
      <c r="P5" s="3433"/>
      <c r="Q5" s="3402"/>
      <c r="R5" s="3407"/>
      <c r="S5" s="3408"/>
      <c r="T5" s="3407"/>
      <c r="U5" s="3408"/>
      <c r="V5" s="3411"/>
      <c r="W5" s="3411"/>
      <c r="X5" s="1538"/>
      <c r="Y5" s="3407"/>
      <c r="Z5" s="3408"/>
      <c r="AA5" s="3393"/>
      <c r="AB5" s="3393"/>
      <c r="AC5" s="3429"/>
    </row>
    <row r="6" spans="1:29" ht="15.75" thickBot="1">
      <c r="A6" s="365"/>
      <c r="B6" s="366"/>
      <c r="C6" s="3412" t="s">
        <v>2364</v>
      </c>
      <c r="D6" s="3413"/>
      <c r="E6" s="3419" t="s">
        <v>2364</v>
      </c>
      <c r="F6" s="3420"/>
      <c r="G6" s="3412" t="s">
        <v>2364</v>
      </c>
      <c r="H6" s="3413"/>
      <c r="I6" s="3412" t="s">
        <v>2364</v>
      </c>
      <c r="J6" s="3413"/>
      <c r="K6" s="566" t="s">
        <v>2365</v>
      </c>
      <c r="L6" s="2933"/>
      <c r="M6" s="2934"/>
      <c r="N6" s="2934"/>
      <c r="O6" s="2934"/>
      <c r="P6" s="3434"/>
      <c r="Q6" s="3404"/>
      <c r="R6" s="3407"/>
      <c r="S6" s="3408"/>
      <c r="T6" s="3409"/>
      <c r="U6" s="3410"/>
      <c r="V6" s="3411"/>
      <c r="W6" s="3411"/>
      <c r="X6" s="1538"/>
      <c r="Y6" s="3409"/>
      <c r="Z6" s="3410"/>
      <c r="AA6" s="3394"/>
      <c r="AB6" s="3394"/>
      <c r="AC6" s="3430"/>
    </row>
    <row r="7" spans="1:29" s="113" customFormat="1" ht="15.75" thickBot="1">
      <c r="A7" s="367" t="s">
        <v>2366</v>
      </c>
      <c r="B7" s="368"/>
      <c r="C7" s="369">
        <f>'数据-取费表'!B2</f>
        <v>44259</v>
      </c>
      <c r="D7" s="370">
        <v>100</v>
      </c>
      <c r="E7" s="371"/>
      <c r="F7" s="372">
        <f>SUMIF(59:59,YEAR(E7)&amp;"-"&amp;MONTH(E7),60:60)</f>
        <v>0</v>
      </c>
      <c r="G7" s="371"/>
      <c r="H7" s="370">
        <f>SUMIF(59:59,YEAR(G7)&amp;"-"&amp;MONTH(G7),60:60)</f>
        <v>0</v>
      </c>
      <c r="I7" s="371"/>
      <c r="J7" s="370">
        <f>SUMIF(59:59,YEAR(I7)&amp;"-"&amp;MONTH(I7),60:60)</f>
        <v>0</v>
      </c>
      <c r="K7" s="567"/>
      <c r="L7" s="2935"/>
      <c r="M7" s="2936"/>
      <c r="N7" s="2936"/>
      <c r="O7" s="2936"/>
      <c r="P7" s="3438" t="s">
        <v>2367</v>
      </c>
      <c r="Q7" s="3418"/>
      <c r="R7" s="709" t="s">
        <v>17</v>
      </c>
      <c r="S7" s="710">
        <f t="shared" ref="S7:S15" si="0">F7</f>
        <v>0</v>
      </c>
      <c r="T7" s="709" t="s">
        <v>17</v>
      </c>
      <c r="U7" s="710">
        <f t="shared" ref="U7:U15" si="1">H7</f>
        <v>0</v>
      </c>
      <c r="V7" s="709" t="s">
        <v>17</v>
      </c>
      <c r="W7" s="710">
        <f t="shared" ref="W7:W15" si="2">J7</f>
        <v>0</v>
      </c>
      <c r="X7" s="711"/>
      <c r="Y7" s="3416" t="s">
        <v>2367</v>
      </c>
      <c r="Z7" s="3417"/>
      <c r="AA7" s="712" t="e">
        <f>D7/F7</f>
        <v>#DIV/0!</v>
      </c>
      <c r="AB7" s="712" t="e">
        <f>D7/H7</f>
        <v>#DIV/0!</v>
      </c>
      <c r="AC7" s="2139"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5"/>
      <c r="M8" s="2936"/>
      <c r="N8" s="2936"/>
      <c r="O8" s="2936"/>
      <c r="P8" s="3438" t="s">
        <v>2370</v>
      </c>
      <c r="Q8" s="3417"/>
      <c r="R8" s="709" t="s">
        <v>17</v>
      </c>
      <c r="S8" s="710">
        <f t="shared" si="0"/>
        <v>0</v>
      </c>
      <c r="T8" s="709" t="s">
        <v>17</v>
      </c>
      <c r="U8" s="710">
        <f t="shared" si="1"/>
        <v>0</v>
      </c>
      <c r="V8" s="709" t="s">
        <v>17</v>
      </c>
      <c r="W8" s="710">
        <f t="shared" si="2"/>
        <v>0</v>
      </c>
      <c r="X8" s="711"/>
      <c r="Y8" s="3416" t="s">
        <v>2370</v>
      </c>
      <c r="Z8" s="3417"/>
      <c r="AA8" s="712" t="e">
        <f t="shared" ref="AA8:AA47" si="3">D8/F8</f>
        <v>#DIV/0!</v>
      </c>
      <c r="AB8" s="712" t="e">
        <f t="shared" ref="AB8:AB47" si="4">D8/H8</f>
        <v>#DIV/0!</v>
      </c>
      <c r="AC8" s="2139"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5"/>
      <c r="M9" s="2936"/>
      <c r="N9" s="2936"/>
      <c r="O9" s="2936"/>
      <c r="P9" s="3391"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2139">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7"/>
      <c r="M10" s="2938"/>
      <c r="N10" s="2938"/>
      <c r="O10" s="2938"/>
      <c r="P10" s="3391"/>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2139">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9"/>
      <c r="M11" s="2934"/>
      <c r="N11" s="2934"/>
      <c r="O11" s="2934"/>
      <c r="P11" s="3391"/>
      <c r="Q11" s="1526"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2139" t="e">
        <f t="shared" si="5"/>
        <v>#N/A</v>
      </c>
    </row>
    <row r="12" spans="1:29" s="113" customFormat="1" ht="15">
      <c r="A12" s="389"/>
      <c r="B12" s="2075">
        <v>111</v>
      </c>
      <c r="C12" s="390"/>
      <c r="D12" s="391">
        <v>100</v>
      </c>
      <c r="E12" s="390"/>
      <c r="F12" s="131">
        <f>SUMIF(71:71,E12,72:72)-SUMIF(71:71,C12,72:72)+100</f>
        <v>100</v>
      </c>
      <c r="G12" s="2140"/>
      <c r="H12" s="131">
        <f>SUMIF(71:71,G12,72:72)-SUMIF(71:71,C12,72:72)+100</f>
        <v>100</v>
      </c>
      <c r="I12" s="390"/>
      <c r="J12" s="131">
        <f>SUMIF(71:71,I12,72:72)-SUMIF(71:71,C12,72:72)+100</f>
        <v>100</v>
      </c>
      <c r="K12" s="569"/>
      <c r="L12" s="2935"/>
      <c r="M12" s="2936"/>
      <c r="N12" s="2936"/>
      <c r="O12" s="2936"/>
      <c r="P12" s="3391"/>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2139">
        <f>D12/J12</f>
        <v>1</v>
      </c>
    </row>
    <row r="13" spans="1:29" ht="15">
      <c r="A13" s="386"/>
      <c r="B13" s="2075">
        <v>111</v>
      </c>
      <c r="C13" s="392"/>
      <c r="D13" s="393">
        <v>100</v>
      </c>
      <c r="E13" s="390"/>
      <c r="F13" s="131">
        <f>SUMIF(73:73,E13,74:74)-SUMIF(73:73,C13,74:74)+100</f>
        <v>100</v>
      </c>
      <c r="G13" s="2140"/>
      <c r="H13" s="393">
        <f>SUMIF(73:73,G13,74:74)-SUMIF(73:73,C13,74:74)+100</f>
        <v>100</v>
      </c>
      <c r="I13" s="390"/>
      <c r="J13" s="393">
        <f>SUMIF(73:73,I13,74:74)-SUMIF(73:73,C13,74:74)+100</f>
        <v>100</v>
      </c>
      <c r="K13" s="569"/>
      <c r="L13" s="2940"/>
      <c r="M13" s="2934"/>
      <c r="N13" s="2934"/>
      <c r="O13" s="2934"/>
      <c r="P13" s="3391"/>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2139">
        <f t="shared" si="5"/>
        <v>1</v>
      </c>
    </row>
    <row r="14" spans="1:29" ht="15.75" thickBot="1">
      <c r="A14" s="394"/>
      <c r="B14" s="2077">
        <v>111</v>
      </c>
      <c r="C14" s="395"/>
      <c r="D14" s="396">
        <v>100</v>
      </c>
      <c r="E14" s="583"/>
      <c r="F14" s="396">
        <f>SUMIF(75:75,E14,76:76)-SUMIF(75:75,C14,76:76)+100</f>
        <v>100</v>
      </c>
      <c r="G14" s="2140"/>
      <c r="H14" s="396">
        <f>SUMIF(75:75,G14,76:76)-SUMIF(75:75,C14,76:76)+100</f>
        <v>100</v>
      </c>
      <c r="I14" s="390"/>
      <c r="J14" s="396">
        <f>SUMIF(75:75,I14,76:76)-SUMIF(75:75,C14,76:76)+100</f>
        <v>100</v>
      </c>
      <c r="K14" s="569"/>
      <c r="L14" s="2940"/>
      <c r="M14" s="2934"/>
      <c r="N14" s="2934"/>
      <c r="O14" s="2934"/>
      <c r="P14" s="3391"/>
      <c r="Q14" s="1526">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2139">
        <f t="shared" si="5"/>
        <v>1</v>
      </c>
    </row>
    <row r="15" spans="1:29" ht="71.25">
      <c r="A15" s="398" t="s">
        <v>2377</v>
      </c>
      <c r="B15" s="584" t="s">
        <v>2505</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0"/>
      <c r="M15" s="2934"/>
      <c r="N15" s="2934"/>
      <c r="O15" s="2934"/>
      <c r="P15" s="3389" t="s">
        <v>2378</v>
      </c>
      <c r="Q15" s="1535" t="str">
        <f t="shared" si="6"/>
        <v>办公集聚程度</v>
      </c>
      <c r="R15" s="713" t="s">
        <v>17</v>
      </c>
      <c r="S15" s="714">
        <f t="shared" si="0"/>
        <v>100</v>
      </c>
      <c r="T15" s="713" t="s">
        <v>17</v>
      </c>
      <c r="U15" s="714">
        <f t="shared" si="1"/>
        <v>100</v>
      </c>
      <c r="V15" s="713" t="s">
        <v>17</v>
      </c>
      <c r="W15" s="714">
        <f t="shared" si="2"/>
        <v>100</v>
      </c>
      <c r="X15" s="1538"/>
      <c r="Y15" s="3382" t="s">
        <v>2378</v>
      </c>
      <c r="Z15" s="1539" t="str">
        <f t="shared" si="7"/>
        <v>办公集聚程度</v>
      </c>
      <c r="AA15" s="1536">
        <f t="shared" si="3"/>
        <v>1</v>
      </c>
      <c r="AB15" s="1536">
        <f t="shared" si="4"/>
        <v>1</v>
      </c>
      <c r="AC15" s="2142">
        <f t="shared" si="5"/>
        <v>1</v>
      </c>
    </row>
    <row r="16" spans="1:29" ht="15">
      <c r="A16" s="386"/>
      <c r="B16" s="585"/>
      <c r="C16" s="2086"/>
      <c r="D16" s="406"/>
      <c r="E16" s="405"/>
      <c r="F16" s="406"/>
      <c r="G16" s="2086"/>
      <c r="H16" s="408"/>
      <c r="I16" s="405"/>
      <c r="J16" s="406"/>
      <c r="K16" s="571"/>
      <c r="L16" s="2940"/>
      <c r="M16" s="2934"/>
      <c r="N16" s="2934"/>
      <c r="O16" s="2934"/>
      <c r="P16" s="3390"/>
      <c r="Q16" s="1535"/>
      <c r="R16" s="713"/>
      <c r="S16" s="714"/>
      <c r="T16" s="713"/>
      <c r="U16" s="714"/>
      <c r="V16" s="713"/>
      <c r="W16" s="714"/>
      <c r="X16" s="1538"/>
      <c r="Y16" s="3383"/>
      <c r="Z16" s="1539"/>
      <c r="AA16" s="1536">
        <v>1</v>
      </c>
      <c r="AB16" s="1536">
        <v>1</v>
      </c>
      <c r="AC16" s="2142">
        <v>1</v>
      </c>
    </row>
    <row r="17" spans="1:29" ht="71.25">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0"/>
      <c r="M17" s="2934"/>
      <c r="N17" s="2934"/>
      <c r="O17" s="2934"/>
      <c r="P17" s="3390"/>
      <c r="Q17" s="1535" t="str">
        <f>B17</f>
        <v>交通便捷度</v>
      </c>
      <c r="R17" s="713" t="s">
        <v>17</v>
      </c>
      <c r="S17" s="714">
        <f>F17</f>
        <v>100</v>
      </c>
      <c r="T17" s="713" t="s">
        <v>17</v>
      </c>
      <c r="U17" s="714">
        <f>H17</f>
        <v>100</v>
      </c>
      <c r="V17" s="713" t="s">
        <v>17</v>
      </c>
      <c r="W17" s="714">
        <f>J17</f>
        <v>100</v>
      </c>
      <c r="X17" s="1538"/>
      <c r="Y17" s="3383"/>
      <c r="Z17" s="1539" t="str">
        <f>Q17</f>
        <v>交通便捷度</v>
      </c>
      <c r="AA17" s="1536">
        <f t="shared" si="3"/>
        <v>1</v>
      </c>
      <c r="AB17" s="1536">
        <f t="shared" si="4"/>
        <v>1</v>
      </c>
      <c r="AC17" s="2142">
        <f t="shared" si="5"/>
        <v>1</v>
      </c>
    </row>
    <row r="18" spans="1:29" ht="15">
      <c r="A18" s="386"/>
      <c r="B18" s="587"/>
      <c r="C18" s="2144"/>
      <c r="D18" s="408"/>
      <c r="E18" s="2084"/>
      <c r="F18" s="408"/>
      <c r="G18" s="2085"/>
      <c r="H18" s="406"/>
      <c r="I18" s="2085"/>
      <c r="J18" s="406"/>
      <c r="K18" s="571"/>
      <c r="L18" s="2940"/>
      <c r="M18" s="2934"/>
      <c r="N18" s="2934"/>
      <c r="O18" s="2934"/>
      <c r="P18" s="3390"/>
      <c r="Q18" s="1535"/>
      <c r="R18" s="713"/>
      <c r="S18" s="714"/>
      <c r="T18" s="713"/>
      <c r="U18" s="714"/>
      <c r="V18" s="713"/>
      <c r="W18" s="714"/>
      <c r="X18" s="1538"/>
      <c r="Y18" s="3383"/>
      <c r="Z18" s="1539"/>
      <c r="AA18" s="1536">
        <v>1</v>
      </c>
      <c r="AB18" s="1536">
        <v>1</v>
      </c>
      <c r="AC18" s="2142">
        <v>1</v>
      </c>
    </row>
    <row r="19" spans="1:29" ht="42.75">
      <c r="A19" s="386"/>
      <c r="B19" s="586" t="s">
        <v>2506</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0"/>
      <c r="M19" s="2934"/>
      <c r="N19" s="2934"/>
      <c r="O19" s="2934"/>
      <c r="P19" s="3390"/>
      <c r="Q19" s="1535" t="str">
        <f>B19</f>
        <v>公共配套设施</v>
      </c>
      <c r="R19" s="713" t="s">
        <v>17</v>
      </c>
      <c r="S19" s="714">
        <f>F19</f>
        <v>100</v>
      </c>
      <c r="T19" s="713" t="s">
        <v>17</v>
      </c>
      <c r="U19" s="714">
        <f>H19</f>
        <v>100</v>
      </c>
      <c r="V19" s="713" t="s">
        <v>17</v>
      </c>
      <c r="W19" s="714">
        <f>J19</f>
        <v>100</v>
      </c>
      <c r="X19" s="1538"/>
      <c r="Y19" s="3383"/>
      <c r="Z19" s="1539" t="str">
        <f>Q19</f>
        <v>公共配套设施</v>
      </c>
      <c r="AA19" s="1536">
        <f t="shared" si="3"/>
        <v>1</v>
      </c>
      <c r="AB19" s="1536">
        <f t="shared" si="4"/>
        <v>1</v>
      </c>
      <c r="AC19" s="2142">
        <f t="shared" si="5"/>
        <v>1</v>
      </c>
    </row>
    <row r="20" spans="1:29" ht="15">
      <c r="A20" s="386"/>
      <c r="B20" s="587"/>
      <c r="C20" s="2086"/>
      <c r="D20" s="406"/>
      <c r="E20" s="2079"/>
      <c r="F20" s="406"/>
      <c r="G20" s="2080"/>
      <c r="H20" s="406"/>
      <c r="I20" s="2080"/>
      <c r="J20" s="406"/>
      <c r="K20" s="571"/>
      <c r="L20" s="2940"/>
      <c r="M20" s="2934"/>
      <c r="N20" s="2934"/>
      <c r="O20" s="2934"/>
      <c r="P20" s="3390"/>
      <c r="Q20" s="1535"/>
      <c r="R20" s="713"/>
      <c r="S20" s="714"/>
      <c r="T20" s="713"/>
      <c r="U20" s="714"/>
      <c r="V20" s="713"/>
      <c r="W20" s="714"/>
      <c r="X20" s="1538"/>
      <c r="Y20" s="3383"/>
      <c r="Z20" s="1539"/>
      <c r="AA20" s="1536">
        <v>1</v>
      </c>
      <c r="AB20" s="1536">
        <v>1</v>
      </c>
      <c r="AC20" s="2142">
        <v>1</v>
      </c>
    </row>
    <row r="21" spans="1:29" ht="28.5">
      <c r="A21" s="386"/>
      <c r="B21" s="588" t="s">
        <v>2507</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0"/>
      <c r="M21" s="2934"/>
      <c r="N21" s="2934"/>
      <c r="O21" s="2934"/>
      <c r="P21" s="3390"/>
      <c r="Q21" s="1535" t="str">
        <f>B21</f>
        <v>基础设施水平</v>
      </c>
      <c r="R21" s="713" t="s">
        <v>17</v>
      </c>
      <c r="S21" s="714">
        <f>F21</f>
        <v>100</v>
      </c>
      <c r="T21" s="713" t="s">
        <v>17</v>
      </c>
      <c r="U21" s="714">
        <f>H21</f>
        <v>100</v>
      </c>
      <c r="V21" s="713" t="s">
        <v>17</v>
      </c>
      <c r="W21" s="714">
        <f>J21</f>
        <v>100</v>
      </c>
      <c r="X21" s="1538"/>
      <c r="Y21" s="3383"/>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6"/>
      <c r="H22" s="406"/>
      <c r="I22" s="2086"/>
      <c r="J22" s="406"/>
      <c r="K22" s="1290"/>
      <c r="L22" s="2940"/>
      <c r="M22" s="2934"/>
      <c r="N22" s="2934"/>
      <c r="O22" s="2934"/>
      <c r="P22" s="3390"/>
      <c r="Q22" s="1535"/>
      <c r="R22" s="713"/>
      <c r="S22" s="714"/>
      <c r="T22" s="713"/>
      <c r="U22" s="714"/>
      <c r="V22" s="713"/>
      <c r="W22" s="714"/>
      <c r="X22" s="1538"/>
      <c r="Y22" s="3383"/>
      <c r="Z22" s="1539"/>
      <c r="AA22" s="1536">
        <v>1</v>
      </c>
      <c r="AB22" s="1536">
        <v>1</v>
      </c>
      <c r="AC22" s="2142">
        <v>1</v>
      </c>
    </row>
    <row r="23" spans="1:29" ht="42.75">
      <c r="A23" s="386"/>
      <c r="B23" s="586" t="s">
        <v>2508</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0"/>
      <c r="M23" s="2934"/>
      <c r="N23" s="2934"/>
      <c r="O23" s="2934"/>
      <c r="P23" s="3390"/>
      <c r="Q23" s="1535" t="str">
        <f>B23</f>
        <v>环境质量</v>
      </c>
      <c r="R23" s="713" t="s">
        <v>17</v>
      </c>
      <c r="S23" s="714">
        <f>F23</f>
        <v>100</v>
      </c>
      <c r="T23" s="713" t="s">
        <v>17</v>
      </c>
      <c r="U23" s="714">
        <f>H23</f>
        <v>100</v>
      </c>
      <c r="V23" s="713" t="s">
        <v>17</v>
      </c>
      <c r="W23" s="714">
        <f>J23</f>
        <v>100</v>
      </c>
      <c r="X23" s="1538"/>
      <c r="Y23" s="3383"/>
      <c r="Z23" s="1539" t="str">
        <f>Q23</f>
        <v>环境质量</v>
      </c>
      <c r="AA23" s="1536">
        <f t="shared" si="3"/>
        <v>1</v>
      </c>
      <c r="AB23" s="1536">
        <f t="shared" si="4"/>
        <v>1</v>
      </c>
      <c r="AC23" s="2142">
        <f t="shared" si="5"/>
        <v>1</v>
      </c>
    </row>
    <row r="24" spans="1:29" ht="15">
      <c r="A24" s="386"/>
      <c r="B24" s="588"/>
      <c r="C24" s="2086"/>
      <c r="D24" s="406"/>
      <c r="E24" s="2079"/>
      <c r="F24" s="406"/>
      <c r="G24" s="2080"/>
      <c r="H24" s="406"/>
      <c r="I24" s="2080"/>
      <c r="J24" s="406"/>
      <c r="K24" s="571"/>
      <c r="L24" s="2940"/>
      <c r="M24" s="2934"/>
      <c r="N24" s="2934"/>
      <c r="O24" s="2934"/>
      <c r="P24" s="3390"/>
      <c r="Q24" s="1535"/>
      <c r="R24" s="713"/>
      <c r="S24" s="714"/>
      <c r="T24" s="713"/>
      <c r="U24" s="714"/>
      <c r="V24" s="713"/>
      <c r="W24" s="714"/>
      <c r="X24" s="1538"/>
      <c r="Y24" s="3383"/>
      <c r="Z24" s="1539"/>
      <c r="AA24" s="1536">
        <v>1</v>
      </c>
      <c r="AB24" s="1536">
        <v>1</v>
      </c>
      <c r="AC24" s="2142">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0"/>
      <c r="M25" s="2934"/>
      <c r="N25" s="2934"/>
      <c r="O25" s="2934"/>
      <c r="P25" s="3390"/>
      <c r="Q25" s="1535" t="str">
        <f>B25</f>
        <v>毗邻道路的类型与等级</v>
      </c>
      <c r="R25" s="713" t="s">
        <v>17</v>
      </c>
      <c r="S25" s="714">
        <f>F25</f>
        <v>100</v>
      </c>
      <c r="T25" s="713" t="s">
        <v>17</v>
      </c>
      <c r="U25" s="714">
        <f>H25</f>
        <v>100</v>
      </c>
      <c r="V25" s="713" t="s">
        <v>17</v>
      </c>
      <c r="W25" s="714">
        <f>J25</f>
        <v>100</v>
      </c>
      <c r="X25" s="1538"/>
      <c r="Y25" s="3383"/>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0"/>
      <c r="M26" s="2934"/>
      <c r="N26" s="2934"/>
      <c r="O26" s="2934"/>
      <c r="P26" s="3390"/>
      <c r="Q26" s="1535"/>
      <c r="R26" s="713"/>
      <c r="S26" s="714"/>
      <c r="T26" s="713"/>
      <c r="U26" s="714"/>
      <c r="V26" s="713"/>
      <c r="W26" s="714"/>
      <c r="X26" s="1538"/>
      <c r="Y26" s="3383"/>
      <c r="Z26" s="1539"/>
      <c r="AA26" s="1536">
        <v>1</v>
      </c>
      <c r="AB26" s="1536">
        <v>1</v>
      </c>
      <c r="AC26" s="2142">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0"/>
      <c r="M27" s="2934"/>
      <c r="N27" s="2934"/>
      <c r="O27" s="2934"/>
      <c r="P27" s="3390"/>
      <c r="Q27" s="1535" t="str">
        <f t="shared" ref="Q27:Q47" si="11">B27</f>
        <v>楼层</v>
      </c>
      <c r="R27" s="713" t="s">
        <v>17</v>
      </c>
      <c r="S27" s="714">
        <f>F27</f>
        <v>100</v>
      </c>
      <c r="T27" s="713" t="s">
        <v>17</v>
      </c>
      <c r="U27" s="714">
        <f>H27</f>
        <v>100</v>
      </c>
      <c r="V27" s="713" t="s">
        <v>17</v>
      </c>
      <c r="W27" s="714">
        <f>J27</f>
        <v>100</v>
      </c>
      <c r="X27" s="1538"/>
      <c r="Y27" s="3383"/>
      <c r="Z27" s="1539" t="str">
        <f>Q27</f>
        <v>楼层</v>
      </c>
      <c r="AA27" s="1536">
        <f t="shared" si="3"/>
        <v>1</v>
      </c>
      <c r="AB27" s="1536">
        <f t="shared" si="4"/>
        <v>1</v>
      </c>
      <c r="AC27" s="2142">
        <f t="shared" si="5"/>
        <v>1</v>
      </c>
    </row>
    <row r="28" spans="1:29" s="113" customFormat="1" ht="15">
      <c r="A28" s="389"/>
      <c r="B28" s="586" t="s">
        <v>2510</v>
      </c>
      <c r="C28" s="2145"/>
      <c r="D28" s="420">
        <v>100</v>
      </c>
      <c r="E28" s="2136"/>
      <c r="F28" s="420">
        <f>SUMIF(91:91,E28,92:92)-SUMIF(91:91,C28,92:92)+100</f>
        <v>100</v>
      </c>
      <c r="G28" s="2145"/>
      <c r="H28" s="420">
        <f>SUMIF(91:91,G28,92:92)-SUMIF(91:91,C28,92:92)+100</f>
        <v>100</v>
      </c>
      <c r="I28" s="2136"/>
      <c r="J28" s="420">
        <f>SUMIF(91:91,I28,92:92)-SUMIF(91:91,C28,92:92)+100</f>
        <v>100</v>
      </c>
      <c r="K28" s="568"/>
      <c r="L28" s="2935"/>
      <c r="M28" s="2936"/>
      <c r="N28" s="2936"/>
      <c r="O28" s="2936"/>
      <c r="P28" s="3390"/>
      <c r="Q28" s="1526" t="str">
        <f t="shared" si="11"/>
        <v>朝向</v>
      </c>
      <c r="R28" s="709" t="s">
        <v>17</v>
      </c>
      <c r="S28" s="710">
        <f>F28</f>
        <v>100</v>
      </c>
      <c r="T28" s="709" t="s">
        <v>17</v>
      </c>
      <c r="U28" s="710">
        <f>H28</f>
        <v>100</v>
      </c>
      <c r="V28" s="709" t="s">
        <v>17</v>
      </c>
      <c r="W28" s="710">
        <f>J28</f>
        <v>100</v>
      </c>
      <c r="X28" s="711"/>
      <c r="Y28" s="3383"/>
      <c r="Z28" s="55" t="str">
        <f>Q28</f>
        <v>朝向</v>
      </c>
      <c r="AA28" s="1536">
        <f>D28/F28</f>
        <v>1</v>
      </c>
      <c r="AB28" s="1536">
        <f>D28/H28</f>
        <v>1</v>
      </c>
      <c r="AC28" s="2142">
        <f>D28/J28</f>
        <v>1</v>
      </c>
    </row>
    <row r="29" spans="1:29" ht="15">
      <c r="A29" s="386"/>
      <c r="B29" s="2146">
        <v>111</v>
      </c>
      <c r="C29" s="2090"/>
      <c r="D29" s="393">
        <v>100</v>
      </c>
      <c r="E29" s="390"/>
      <c r="F29" s="393">
        <f>SUMIF(93:93,E29,94:94)-SUMIF(93:93,C29,94:94)+100</f>
        <v>100</v>
      </c>
      <c r="G29" s="2140"/>
      <c r="H29" s="393">
        <f>SUMIF(93:93,G29,94:94)-SUMIF(93:93,C29,94:94)+100</f>
        <v>100</v>
      </c>
      <c r="I29" s="390"/>
      <c r="J29" s="393">
        <f>SUMIF(93:93,I29,94:94)-SUMIF(93:93,C29,94:94)+100</f>
        <v>100</v>
      </c>
      <c r="K29" s="569"/>
      <c r="L29" s="2940"/>
      <c r="M29" s="2934"/>
      <c r="N29" s="2934"/>
      <c r="O29" s="2934"/>
      <c r="P29" s="3390"/>
      <c r="Q29" s="1535">
        <f t="shared" si="11"/>
        <v>111</v>
      </c>
      <c r="R29" s="713" t="s">
        <v>17</v>
      </c>
      <c r="S29" s="714">
        <f t="shared" ref="S29:S47" si="12">F29</f>
        <v>100</v>
      </c>
      <c r="T29" s="713" t="s">
        <v>17</v>
      </c>
      <c r="U29" s="714">
        <f t="shared" ref="U29:U47" si="13">H29</f>
        <v>100</v>
      </c>
      <c r="V29" s="713" t="s">
        <v>17</v>
      </c>
      <c r="W29" s="714">
        <f t="shared" ref="W29:W47" si="14">J29</f>
        <v>100</v>
      </c>
      <c r="X29" s="1538"/>
      <c r="Y29" s="3383"/>
      <c r="Z29" s="1539">
        <f t="shared" ref="Z29:Z47" si="15">Q29</f>
        <v>111</v>
      </c>
      <c r="AA29" s="1536">
        <f t="shared" si="3"/>
        <v>1</v>
      </c>
      <c r="AB29" s="1536">
        <f t="shared" si="4"/>
        <v>1</v>
      </c>
      <c r="AC29" s="2142">
        <f t="shared" si="5"/>
        <v>1</v>
      </c>
    </row>
    <row r="30" spans="1:29" ht="15">
      <c r="A30" s="386"/>
      <c r="B30" s="2146">
        <v>111</v>
      </c>
      <c r="C30" s="2090"/>
      <c r="D30" s="393">
        <v>100</v>
      </c>
      <c r="E30" s="390"/>
      <c r="F30" s="393">
        <f>SUMIF(95:95,E30,96:96)-SUMIF(95:95,C30,96:96)+100</f>
        <v>100</v>
      </c>
      <c r="G30" s="2140"/>
      <c r="H30" s="393">
        <f>SUMIF(95:95,G30,96:96)-SUMIF(95:95,C30,96:96)+100</f>
        <v>100</v>
      </c>
      <c r="I30" s="390"/>
      <c r="J30" s="393">
        <f>SUMIF(95:95,I30,96:96)-SUMIF(95:95,C30,96:96)+100</f>
        <v>100</v>
      </c>
      <c r="K30" s="569"/>
      <c r="L30" s="2940"/>
      <c r="M30" s="2934"/>
      <c r="N30" s="2934"/>
      <c r="O30" s="2934"/>
      <c r="P30" s="3390"/>
      <c r="Q30" s="1535">
        <f t="shared" si="11"/>
        <v>111</v>
      </c>
      <c r="R30" s="713" t="s">
        <v>17</v>
      </c>
      <c r="S30" s="714">
        <f t="shared" si="12"/>
        <v>100</v>
      </c>
      <c r="T30" s="713" t="s">
        <v>17</v>
      </c>
      <c r="U30" s="714">
        <f t="shared" si="13"/>
        <v>100</v>
      </c>
      <c r="V30" s="713" t="s">
        <v>17</v>
      </c>
      <c r="W30" s="714">
        <f t="shared" si="14"/>
        <v>100</v>
      </c>
      <c r="X30" s="1538"/>
      <c r="Y30" s="3383"/>
      <c r="Z30" s="1539">
        <f t="shared" si="15"/>
        <v>111</v>
      </c>
      <c r="AA30" s="1536">
        <f t="shared" si="3"/>
        <v>1</v>
      </c>
      <c r="AB30" s="1536">
        <f t="shared" si="4"/>
        <v>1</v>
      </c>
      <c r="AC30" s="2142">
        <f t="shared" si="5"/>
        <v>1</v>
      </c>
    </row>
    <row r="31" spans="1:29" ht="15">
      <c r="A31" s="386"/>
      <c r="B31" s="2146">
        <v>111</v>
      </c>
      <c r="C31" s="2090"/>
      <c r="D31" s="393">
        <v>100</v>
      </c>
      <c r="E31" s="390"/>
      <c r="F31" s="393">
        <f>SUMIF(97:97,E31,98:98)-SUMIF(97:97,C31,98:98)+100</f>
        <v>100</v>
      </c>
      <c r="G31" s="2140"/>
      <c r="H31" s="393">
        <f>SUMIF(97:97,G31,98:98)-SUMIF(97:97,C31,98:98)+100</f>
        <v>100</v>
      </c>
      <c r="I31" s="390"/>
      <c r="J31" s="393">
        <f>SUMIF(97:97,I31,98:98)-SUMIF(97:97,C31,98:98)+100</f>
        <v>100</v>
      </c>
      <c r="K31" s="569"/>
      <c r="L31" s="2940"/>
      <c r="M31" s="2934"/>
      <c r="N31" s="2934"/>
      <c r="O31" s="2934"/>
      <c r="P31" s="3390"/>
      <c r="Q31" s="1535">
        <f t="shared" si="11"/>
        <v>111</v>
      </c>
      <c r="R31" s="713" t="s">
        <v>17</v>
      </c>
      <c r="S31" s="714">
        <f t="shared" si="12"/>
        <v>100</v>
      </c>
      <c r="T31" s="713" t="s">
        <v>17</v>
      </c>
      <c r="U31" s="714">
        <f t="shared" si="13"/>
        <v>100</v>
      </c>
      <c r="V31" s="713" t="s">
        <v>17</v>
      </c>
      <c r="W31" s="714">
        <f t="shared" si="14"/>
        <v>100</v>
      </c>
      <c r="X31" s="1538"/>
      <c r="Y31" s="3383"/>
      <c r="Z31" s="1539">
        <f t="shared" si="15"/>
        <v>111</v>
      </c>
      <c r="AA31" s="1536">
        <f t="shared" si="3"/>
        <v>1</v>
      </c>
      <c r="AB31" s="1536">
        <f t="shared" si="4"/>
        <v>1</v>
      </c>
      <c r="AC31" s="2142">
        <f t="shared" si="5"/>
        <v>1</v>
      </c>
    </row>
    <row r="32" spans="1:29" ht="15.75" thickBot="1">
      <c r="A32" s="394"/>
      <c r="B32" s="590">
        <v>111</v>
      </c>
      <c r="C32" s="2091"/>
      <c r="D32" s="396">
        <v>100</v>
      </c>
      <c r="E32" s="583"/>
      <c r="F32" s="396">
        <f>SUMIF(99:99,E32,100:100)-SUMIF(99:99,C32,100:100)+100</f>
        <v>100</v>
      </c>
      <c r="G32" s="2140"/>
      <c r="H32" s="396">
        <f>SUMIF(99:99,G32,100:100)-SUMIF(99:99,C32,100:100)+100</f>
        <v>100</v>
      </c>
      <c r="I32" s="390"/>
      <c r="J32" s="396">
        <f>SUMIF(99:99,I32,100:100)-SUMIF(99:99,C32,100:100)+100</f>
        <v>100</v>
      </c>
      <c r="K32" s="569"/>
      <c r="L32" s="2940"/>
      <c r="M32" s="2934"/>
      <c r="N32" s="2934"/>
      <c r="O32" s="2934"/>
      <c r="P32" s="3390"/>
      <c r="Q32" s="1535">
        <f t="shared" si="11"/>
        <v>111</v>
      </c>
      <c r="R32" s="713" t="s">
        <v>17</v>
      </c>
      <c r="S32" s="714">
        <f t="shared" si="12"/>
        <v>100</v>
      </c>
      <c r="T32" s="713" t="s">
        <v>17</v>
      </c>
      <c r="U32" s="714">
        <f t="shared" si="13"/>
        <v>100</v>
      </c>
      <c r="V32" s="713" t="s">
        <v>17</v>
      </c>
      <c r="W32" s="714">
        <f t="shared" si="14"/>
        <v>100</v>
      </c>
      <c r="X32" s="1538"/>
      <c r="Y32" s="3383"/>
      <c r="Z32" s="1539">
        <f t="shared" si="15"/>
        <v>111</v>
      </c>
      <c r="AA32" s="1536">
        <f t="shared" si="3"/>
        <v>1</v>
      </c>
      <c r="AB32" s="1536">
        <f t="shared" si="4"/>
        <v>1</v>
      </c>
      <c r="AC32" s="2142">
        <f t="shared" si="5"/>
        <v>1</v>
      </c>
    </row>
    <row r="33" spans="1:29" ht="15">
      <c r="A33" s="398" t="s">
        <v>2381</v>
      </c>
      <c r="B33" s="67" t="s">
        <v>2511</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0"/>
      <c r="M33" s="2934"/>
      <c r="N33" s="2934"/>
      <c r="O33" s="2934"/>
      <c r="P33" s="3384" t="s">
        <v>2383</v>
      </c>
      <c r="Q33" s="1535" t="str">
        <f t="shared" si="11"/>
        <v>建筑类型</v>
      </c>
      <c r="R33" s="713" t="s">
        <v>17</v>
      </c>
      <c r="S33" s="714">
        <f t="shared" si="12"/>
        <v>100</v>
      </c>
      <c r="T33" s="713" t="s">
        <v>17</v>
      </c>
      <c r="U33" s="714">
        <f t="shared" si="13"/>
        <v>100</v>
      </c>
      <c r="V33" s="713" t="s">
        <v>17</v>
      </c>
      <c r="W33" s="714">
        <f t="shared" si="14"/>
        <v>100</v>
      </c>
      <c r="X33" s="1538"/>
      <c r="Y33" s="3387" t="s">
        <v>2383</v>
      </c>
      <c r="Z33" s="1539" t="str">
        <f t="shared" si="15"/>
        <v>建筑类型</v>
      </c>
      <c r="AA33" s="1536">
        <f t="shared" si="3"/>
        <v>1</v>
      </c>
      <c r="AB33" s="1536">
        <f t="shared" si="4"/>
        <v>1</v>
      </c>
      <c r="AC33" s="2142">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9"/>
      <c r="M34" s="2941"/>
      <c r="N34" s="2941"/>
      <c r="O34" s="2941"/>
      <c r="P34" s="3385"/>
      <c r="Q34" s="715" t="str">
        <f t="shared" si="11"/>
        <v>项目建筑规模</v>
      </c>
      <c r="R34" s="716" t="s">
        <v>17</v>
      </c>
      <c r="S34" s="717" t="e">
        <f t="shared" si="12"/>
        <v>#N/A</v>
      </c>
      <c r="T34" s="716" t="s">
        <v>17</v>
      </c>
      <c r="U34" s="717" t="e">
        <f t="shared" si="13"/>
        <v>#N/A</v>
      </c>
      <c r="V34" s="716" t="s">
        <v>17</v>
      </c>
      <c r="W34" s="717" t="e">
        <f t="shared" si="14"/>
        <v>#N/A</v>
      </c>
      <c r="X34" s="718"/>
      <c r="Y34" s="3387"/>
      <c r="Z34" s="719" t="str">
        <f t="shared" si="15"/>
        <v>项目建筑规模</v>
      </c>
      <c r="AA34" s="1536" t="e">
        <f t="shared" si="3"/>
        <v>#N/A</v>
      </c>
      <c r="AB34" s="1536" t="e">
        <f t="shared" si="4"/>
        <v>#N/A</v>
      </c>
      <c r="AC34" s="2142"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0"/>
      <c r="M35" s="2934"/>
      <c r="N35" s="2934"/>
      <c r="O35" s="2934"/>
      <c r="P35" s="3385"/>
      <c r="Q35" s="1535" t="str">
        <f t="shared" si="11"/>
        <v>建筑结构</v>
      </c>
      <c r="R35" s="713" t="s">
        <v>17</v>
      </c>
      <c r="S35" s="714">
        <f t="shared" si="12"/>
        <v>100</v>
      </c>
      <c r="T35" s="713" t="s">
        <v>17</v>
      </c>
      <c r="U35" s="714">
        <f t="shared" si="13"/>
        <v>100</v>
      </c>
      <c r="V35" s="713" t="s">
        <v>17</v>
      </c>
      <c r="W35" s="714">
        <f t="shared" si="14"/>
        <v>100</v>
      </c>
      <c r="X35" s="1538"/>
      <c r="Y35" s="3387"/>
      <c r="Z35" s="1539" t="str">
        <f t="shared" si="15"/>
        <v>建筑结构</v>
      </c>
      <c r="AA35" s="1536">
        <f t="shared" si="3"/>
        <v>1</v>
      </c>
      <c r="AB35" s="1536">
        <f t="shared" si="4"/>
        <v>1</v>
      </c>
      <c r="AC35" s="2142">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0"/>
      <c r="M36" s="2934"/>
      <c r="N36" s="2934"/>
      <c r="O36" s="2934"/>
      <c r="P36" s="3385"/>
      <c r="Q36" s="1535" t="str">
        <f t="shared" si="11"/>
        <v>公共部分装修</v>
      </c>
      <c r="R36" s="713" t="s">
        <v>17</v>
      </c>
      <c r="S36" s="714">
        <f t="shared" si="12"/>
        <v>100</v>
      </c>
      <c r="T36" s="713" t="s">
        <v>17</v>
      </c>
      <c r="U36" s="714">
        <f t="shared" si="13"/>
        <v>100</v>
      </c>
      <c r="V36" s="713" t="s">
        <v>17</v>
      </c>
      <c r="W36" s="714">
        <f t="shared" si="14"/>
        <v>100</v>
      </c>
      <c r="X36" s="1538"/>
      <c r="Y36" s="3387"/>
      <c r="Z36" s="1539" t="str">
        <f t="shared" si="15"/>
        <v>公共部分装修</v>
      </c>
      <c r="AA36" s="1536">
        <f t="shared" si="3"/>
        <v>1</v>
      </c>
      <c r="AB36" s="1536">
        <f t="shared" si="4"/>
        <v>1</v>
      </c>
      <c r="AC36" s="2142">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0"/>
      <c r="M37" s="2934"/>
      <c r="N37" s="2934"/>
      <c r="O37" s="2934"/>
      <c r="P37" s="3385"/>
      <c r="Q37" s="1535" t="str">
        <f t="shared" si="11"/>
        <v>成新度</v>
      </c>
      <c r="R37" s="713" t="s">
        <v>17</v>
      </c>
      <c r="S37" s="714" t="e">
        <f t="shared" si="12"/>
        <v>#N/A</v>
      </c>
      <c r="T37" s="713" t="s">
        <v>17</v>
      </c>
      <c r="U37" s="714" t="e">
        <f t="shared" si="13"/>
        <v>#N/A</v>
      </c>
      <c r="V37" s="713" t="s">
        <v>17</v>
      </c>
      <c r="W37" s="714" t="e">
        <f t="shared" si="14"/>
        <v>#N/A</v>
      </c>
      <c r="X37" s="1538"/>
      <c r="Y37" s="3387"/>
      <c r="Z37" s="1539" t="str">
        <f t="shared" si="15"/>
        <v>成新度</v>
      </c>
      <c r="AA37" s="1536" t="e">
        <f t="shared" si="3"/>
        <v>#N/A</v>
      </c>
      <c r="AB37" s="1536" t="e">
        <f t="shared" si="4"/>
        <v>#N/A</v>
      </c>
      <c r="AC37" s="2142"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5"/>
      <c r="M38" s="2936"/>
      <c r="N38" s="2936"/>
      <c r="O38" s="2936"/>
      <c r="P38" s="3385"/>
      <c r="Q38" s="1526" t="str">
        <f t="shared" si="11"/>
        <v>写字楼等级</v>
      </c>
      <c r="R38" s="709" t="s">
        <v>17</v>
      </c>
      <c r="S38" s="710">
        <f t="shared" si="12"/>
        <v>100</v>
      </c>
      <c r="T38" s="709" t="s">
        <v>17</v>
      </c>
      <c r="U38" s="710">
        <f t="shared" si="13"/>
        <v>100</v>
      </c>
      <c r="V38" s="709" t="s">
        <v>17</v>
      </c>
      <c r="W38" s="710">
        <f t="shared" si="14"/>
        <v>100</v>
      </c>
      <c r="X38" s="711"/>
      <c r="Y38" s="3387"/>
      <c r="Z38" s="55" t="str">
        <f t="shared" si="15"/>
        <v>写字楼等级</v>
      </c>
      <c r="AA38" s="712">
        <f t="shared" si="3"/>
        <v>1</v>
      </c>
      <c r="AB38" s="712">
        <f t="shared" si="4"/>
        <v>1</v>
      </c>
      <c r="AC38" s="2139">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0"/>
      <c r="M39" s="2934"/>
      <c r="N39" s="2934"/>
      <c r="O39" s="2934"/>
      <c r="P39" s="3385" t="s">
        <v>2383</v>
      </c>
      <c r="Q39" s="1535" t="str">
        <f t="shared" si="11"/>
        <v>物业管理</v>
      </c>
      <c r="R39" s="713" t="s">
        <v>17</v>
      </c>
      <c r="S39" s="714">
        <f t="shared" si="12"/>
        <v>100</v>
      </c>
      <c r="T39" s="713" t="s">
        <v>17</v>
      </c>
      <c r="U39" s="714">
        <f t="shared" si="13"/>
        <v>100</v>
      </c>
      <c r="V39" s="713" t="s">
        <v>17</v>
      </c>
      <c r="W39" s="714">
        <f t="shared" si="14"/>
        <v>100</v>
      </c>
      <c r="X39" s="1538"/>
      <c r="Y39" s="3387" t="s">
        <v>2383</v>
      </c>
      <c r="Z39" s="1539" t="str">
        <f t="shared" si="15"/>
        <v>物业管理</v>
      </c>
      <c r="AA39" s="1536">
        <f t="shared" si="3"/>
        <v>1</v>
      </c>
      <c r="AB39" s="1536">
        <f t="shared" si="4"/>
        <v>1</v>
      </c>
      <c r="AC39" s="2142">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0"/>
      <c r="M40" s="2934"/>
      <c r="N40" s="2934"/>
      <c r="O40" s="2934"/>
      <c r="P40" s="3385"/>
      <c r="Q40" s="1535" t="str">
        <f t="shared" si="11"/>
        <v>市政基础设施</v>
      </c>
      <c r="R40" s="713" t="s">
        <v>17</v>
      </c>
      <c r="S40" s="714">
        <f t="shared" si="12"/>
        <v>100</v>
      </c>
      <c r="T40" s="713" t="s">
        <v>17</v>
      </c>
      <c r="U40" s="714">
        <f t="shared" si="13"/>
        <v>100</v>
      </c>
      <c r="V40" s="713" t="s">
        <v>17</v>
      </c>
      <c r="W40" s="714">
        <f t="shared" si="14"/>
        <v>100</v>
      </c>
      <c r="X40" s="1538"/>
      <c r="Y40" s="3387"/>
      <c r="Z40" s="1539" t="str">
        <f t="shared" si="15"/>
        <v>市政基础设施</v>
      </c>
      <c r="AA40" s="1536">
        <f t="shared" si="3"/>
        <v>1</v>
      </c>
      <c r="AB40" s="1536">
        <f t="shared" si="4"/>
        <v>1</v>
      </c>
      <c r="AC40" s="2142">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0"/>
      <c r="M41" s="2934"/>
      <c r="N41" s="2934"/>
      <c r="O41" s="2934"/>
      <c r="P41" s="3385"/>
      <c r="Q41" s="1535" t="str">
        <f t="shared" si="11"/>
        <v>层高</v>
      </c>
      <c r="R41" s="713" t="s">
        <v>17</v>
      </c>
      <c r="S41" s="714">
        <f t="shared" si="12"/>
        <v>100</v>
      </c>
      <c r="T41" s="713" t="s">
        <v>17</v>
      </c>
      <c r="U41" s="714">
        <f t="shared" si="13"/>
        <v>100</v>
      </c>
      <c r="V41" s="713" t="s">
        <v>17</v>
      </c>
      <c r="W41" s="714">
        <f t="shared" si="14"/>
        <v>100</v>
      </c>
      <c r="X41" s="1538"/>
      <c r="Y41" s="3387"/>
      <c r="Z41" s="1539" t="str">
        <f t="shared" si="15"/>
        <v>层高</v>
      </c>
      <c r="AA41" s="1536">
        <f t="shared" si="3"/>
        <v>1</v>
      </c>
      <c r="AB41" s="1536">
        <f t="shared" si="4"/>
        <v>1</v>
      </c>
      <c r="AC41" s="2142">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9"/>
      <c r="M42" s="2941"/>
      <c r="N42" s="2941"/>
      <c r="O42" s="2941"/>
      <c r="P42" s="3385"/>
      <c r="Q42" s="715" t="str">
        <f t="shared" si="11"/>
        <v>单套建筑面积</v>
      </c>
      <c r="R42" s="716" t="s">
        <v>17</v>
      </c>
      <c r="S42" s="717">
        <f t="shared" si="12"/>
        <v>100</v>
      </c>
      <c r="T42" s="716" t="s">
        <v>17</v>
      </c>
      <c r="U42" s="717">
        <f t="shared" si="13"/>
        <v>100</v>
      </c>
      <c r="V42" s="716" t="s">
        <v>17</v>
      </c>
      <c r="W42" s="717">
        <f t="shared" si="14"/>
        <v>100</v>
      </c>
      <c r="X42" s="718"/>
      <c r="Y42" s="3387"/>
      <c r="Z42" s="719" t="str">
        <f t="shared" si="15"/>
        <v>单套建筑面积</v>
      </c>
      <c r="AA42" s="1536">
        <f t="shared" si="3"/>
        <v>1</v>
      </c>
      <c r="AB42" s="1536">
        <f t="shared" si="4"/>
        <v>1</v>
      </c>
      <c r="AC42" s="2142">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0"/>
      <c r="M43" s="2934"/>
      <c r="N43" s="2934"/>
      <c r="O43" s="2934"/>
      <c r="P43" s="3385"/>
      <c r="Q43" s="1535" t="str">
        <f t="shared" si="11"/>
        <v>内部装修</v>
      </c>
      <c r="R43" s="713" t="s">
        <v>17</v>
      </c>
      <c r="S43" s="714">
        <f t="shared" si="12"/>
        <v>100</v>
      </c>
      <c r="T43" s="713" t="s">
        <v>17</v>
      </c>
      <c r="U43" s="714">
        <f t="shared" si="13"/>
        <v>100</v>
      </c>
      <c r="V43" s="713" t="s">
        <v>17</v>
      </c>
      <c r="W43" s="714">
        <f t="shared" si="14"/>
        <v>100</v>
      </c>
      <c r="X43" s="1538"/>
      <c r="Y43" s="3387"/>
      <c r="Z43" s="1539" t="str">
        <f t="shared" si="15"/>
        <v>内部装修</v>
      </c>
      <c r="AA43" s="1536">
        <f t="shared" si="3"/>
        <v>1</v>
      </c>
      <c r="AB43" s="1536">
        <f t="shared" si="4"/>
        <v>1</v>
      </c>
      <c r="AC43" s="2142">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0"/>
      <c r="M44" s="2934"/>
      <c r="N44" s="2934"/>
      <c r="O44" s="2934"/>
      <c r="P44" s="3385"/>
      <c r="Q44" s="1535" t="str">
        <f t="shared" si="11"/>
        <v>内部装修维护情况</v>
      </c>
      <c r="R44" s="713" t="s">
        <v>17</v>
      </c>
      <c r="S44" s="714">
        <f t="shared" si="12"/>
        <v>100</v>
      </c>
      <c r="T44" s="713" t="s">
        <v>17</v>
      </c>
      <c r="U44" s="714">
        <f t="shared" si="13"/>
        <v>100</v>
      </c>
      <c r="V44" s="713" t="s">
        <v>17</v>
      </c>
      <c r="W44" s="714">
        <f t="shared" si="14"/>
        <v>100</v>
      </c>
      <c r="X44" s="1538"/>
      <c r="Y44" s="3387"/>
      <c r="Z44" s="1539" t="str">
        <f t="shared" si="15"/>
        <v>内部装修维护情况</v>
      </c>
      <c r="AA44" s="1536">
        <f t="shared" si="3"/>
        <v>1</v>
      </c>
      <c r="AB44" s="1536">
        <f t="shared" si="4"/>
        <v>1</v>
      </c>
      <c r="AC44" s="2142">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5"/>
      <c r="M45" s="2936"/>
      <c r="N45" s="2936"/>
      <c r="O45" s="2936"/>
      <c r="P45" s="3385"/>
      <c r="Q45" s="1526">
        <f t="shared" si="11"/>
        <v>111</v>
      </c>
      <c r="R45" s="709" t="s">
        <v>17</v>
      </c>
      <c r="S45" s="710">
        <f t="shared" si="12"/>
        <v>100</v>
      </c>
      <c r="T45" s="709" t="s">
        <v>17</v>
      </c>
      <c r="U45" s="710">
        <f t="shared" si="13"/>
        <v>100</v>
      </c>
      <c r="V45" s="709" t="s">
        <v>17</v>
      </c>
      <c r="W45" s="710">
        <f t="shared" si="14"/>
        <v>100</v>
      </c>
      <c r="X45" s="711"/>
      <c r="Y45" s="3387"/>
      <c r="Z45" s="55">
        <f t="shared" si="15"/>
        <v>111</v>
      </c>
      <c r="AA45" s="712">
        <f t="shared" si="3"/>
        <v>1</v>
      </c>
      <c r="AB45" s="712">
        <f t="shared" si="4"/>
        <v>1</v>
      </c>
      <c r="AC45" s="2139">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0"/>
      <c r="M46" s="2934"/>
      <c r="N46" s="2934"/>
      <c r="O46" s="2934"/>
      <c r="P46" s="3385"/>
      <c r="Q46" s="1535">
        <f t="shared" si="11"/>
        <v>111</v>
      </c>
      <c r="R46" s="713" t="s">
        <v>17</v>
      </c>
      <c r="S46" s="714">
        <f t="shared" si="12"/>
        <v>100</v>
      </c>
      <c r="T46" s="713" t="s">
        <v>17</v>
      </c>
      <c r="U46" s="714">
        <f t="shared" si="13"/>
        <v>100</v>
      </c>
      <c r="V46" s="713" t="s">
        <v>17</v>
      </c>
      <c r="W46" s="714">
        <f t="shared" si="14"/>
        <v>100</v>
      </c>
      <c r="X46" s="1538"/>
      <c r="Y46" s="3387"/>
      <c r="Z46" s="1539">
        <f t="shared" si="15"/>
        <v>111</v>
      </c>
      <c r="AA46" s="1536">
        <f t="shared" si="3"/>
        <v>1</v>
      </c>
      <c r="AB46" s="1536">
        <f t="shared" si="4"/>
        <v>1</v>
      </c>
      <c r="AC46" s="2142">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0"/>
      <c r="M47" s="2934"/>
      <c r="N47" s="2934"/>
      <c r="O47" s="2934"/>
      <c r="P47" s="3386"/>
      <c r="Q47" s="1535">
        <f t="shared" si="11"/>
        <v>111</v>
      </c>
      <c r="R47" s="713" t="s">
        <v>17</v>
      </c>
      <c r="S47" s="714">
        <f t="shared" si="12"/>
        <v>100</v>
      </c>
      <c r="T47" s="713" t="s">
        <v>17</v>
      </c>
      <c r="U47" s="714">
        <f t="shared" si="13"/>
        <v>100</v>
      </c>
      <c r="V47" s="713" t="s">
        <v>17</v>
      </c>
      <c r="W47" s="714">
        <f t="shared" si="14"/>
        <v>100</v>
      </c>
      <c r="X47" s="1538"/>
      <c r="Y47" s="3388"/>
      <c r="Z47" s="1539">
        <f t="shared" si="15"/>
        <v>111</v>
      </c>
      <c r="AA47" s="1536">
        <f t="shared" si="3"/>
        <v>1</v>
      </c>
      <c r="AB47" s="1536">
        <f t="shared" si="4"/>
        <v>1</v>
      </c>
      <c r="AC47" s="2142">
        <f t="shared" si="5"/>
        <v>1</v>
      </c>
    </row>
    <row r="48" spans="1:29" ht="15">
      <c r="A48" s="437" t="s">
        <v>2395</v>
      </c>
      <c r="B48" s="438"/>
      <c r="C48" s="1314" t="s">
        <v>1</v>
      </c>
      <c r="D48" s="1315"/>
      <c r="E48" s="1316"/>
      <c r="F48" s="1317"/>
      <c r="G48" s="1318"/>
      <c r="H48" s="1319"/>
      <c r="I48" s="1316"/>
      <c r="J48" s="443"/>
      <c r="K48" s="722"/>
      <c r="L48" s="2942"/>
      <c r="M48" s="2934"/>
      <c r="N48" s="2934"/>
      <c r="O48" s="2934"/>
      <c r="P48" s="3391" t="str">
        <f>A48</f>
        <v>成交单价（元/平方米）</v>
      </c>
      <c r="Q48" s="3380"/>
      <c r="R48" s="3381">
        <f>E48</f>
        <v>0</v>
      </c>
      <c r="S48" s="3381"/>
      <c r="T48" s="3381">
        <f>G48</f>
        <v>0</v>
      </c>
      <c r="U48" s="3381"/>
      <c r="V48" s="3381">
        <f>I48</f>
        <v>0</v>
      </c>
      <c r="W48" s="3381"/>
      <c r="X48" s="404"/>
      <c r="Y48" s="720"/>
      <c r="Z48" s="404"/>
      <c r="AA48" s="404"/>
      <c r="AB48" s="404"/>
      <c r="AC48" s="585"/>
    </row>
    <row r="49" spans="1:29" ht="15.75" thickBot="1">
      <c r="A49" s="444" t="s">
        <v>2487</v>
      </c>
      <c r="B49" s="445"/>
      <c r="C49" s="1320" t="e">
        <f>R50</f>
        <v>#DIV/0!</v>
      </c>
      <c r="D49" s="2532" t="s">
        <v>2877</v>
      </c>
      <c r="E49" s="1321" t="e">
        <f>R49</f>
        <v>#DIV/0!</v>
      </c>
      <c r="F49" s="2533"/>
      <c r="G49" s="1320" t="e">
        <f>T49</f>
        <v>#DIV/0!</v>
      </c>
      <c r="H49" s="2533"/>
      <c r="I49" s="1321" t="e">
        <f>V49</f>
        <v>#DIV/0!</v>
      </c>
      <c r="J49" s="2533"/>
      <c r="K49" s="2535">
        <f>F49+H49+J49</f>
        <v>0</v>
      </c>
      <c r="L49" s="2942"/>
      <c r="M49" s="2934"/>
      <c r="N49" s="2934"/>
      <c r="O49" s="2934"/>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04"/>
      <c r="Y49" s="404"/>
      <c r="Z49" s="404"/>
      <c r="AA49" s="404"/>
      <c r="AB49" s="404"/>
      <c r="AC49" s="585"/>
    </row>
    <row r="50" spans="1:29" ht="15.75" thickBot="1">
      <c r="A50" s="448" t="s">
        <v>2488</v>
      </c>
      <c r="B50" s="449"/>
      <c r="C50" s="1323" t="e">
        <f>R50</f>
        <v>#DIV/0!</v>
      </c>
      <c r="D50" s="1323"/>
      <c r="E50" s="1323"/>
      <c r="F50" s="1323"/>
      <c r="G50" s="1323"/>
      <c r="H50" s="1323"/>
      <c r="I50" s="1323"/>
      <c r="J50" s="450"/>
      <c r="K50" s="723"/>
      <c r="L50" s="2942"/>
      <c r="M50" s="2934"/>
      <c r="N50" s="2934"/>
      <c r="O50" s="2934"/>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8" customFormat="1" ht="13.5" customHeight="1">
      <c r="A55" s="2946"/>
      <c r="B55" s="2946"/>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8"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2" t="s">
        <v>2492</v>
      </c>
      <c r="B58" s="698"/>
      <c r="C58" s="703"/>
      <c r="D58" s="703"/>
      <c r="E58" s="703"/>
      <c r="F58" s="704"/>
      <c r="G58" s="704"/>
      <c r="H58" s="703"/>
      <c r="I58" s="703"/>
      <c r="J58" s="703"/>
      <c r="K58" s="705"/>
      <c r="L58" s="1071"/>
      <c r="M58" s="1069"/>
      <c r="N58" s="2987"/>
      <c r="O58" s="2987"/>
      <c r="P58" s="2976"/>
      <c r="Q58" s="2957"/>
      <c r="R58" s="2943"/>
      <c r="S58" s="2943"/>
      <c r="T58" s="2943"/>
      <c r="U58" s="2943"/>
      <c r="V58" s="2943"/>
      <c r="W58" s="2943"/>
      <c r="X58" s="2943"/>
      <c r="Y58" s="2943"/>
      <c r="Z58" s="2943"/>
      <c r="AA58" s="2943"/>
      <c r="AB58" s="2943"/>
      <c r="AC58" s="2943"/>
    </row>
    <row r="59" spans="1:29" s="464" customFormat="1" ht="15">
      <c r="A59" s="461" t="s">
        <v>2366</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77"/>
      <c r="Q59" s="2959"/>
      <c r="R59" s="2959"/>
      <c r="S59" s="2959"/>
      <c r="T59" s="2959"/>
      <c r="U59" s="2959"/>
      <c r="V59" s="2959"/>
      <c r="W59" s="2959"/>
      <c r="X59" s="2959"/>
      <c r="Y59" s="2959"/>
      <c r="Z59" s="2959"/>
      <c r="AA59" s="2959"/>
      <c r="AB59" s="2959"/>
      <c r="AC59" s="2959"/>
    </row>
    <row r="60" spans="1:29" s="113" customFormat="1" ht="15">
      <c r="A60" s="465"/>
      <c r="B60" s="466"/>
      <c r="C60" s="1343">
        <v>100</v>
      </c>
      <c r="D60" s="468"/>
      <c r="E60" s="468"/>
      <c r="F60" s="468"/>
      <c r="G60" s="468"/>
      <c r="H60" s="468"/>
      <c r="I60" s="468"/>
      <c r="J60" s="468"/>
      <c r="K60" s="468"/>
      <c r="L60" s="468"/>
      <c r="M60" s="469"/>
      <c r="N60" s="468"/>
      <c r="O60" s="469"/>
      <c r="P60" s="2978"/>
      <c r="Q60" s="2878"/>
      <c r="R60" s="2878"/>
      <c r="S60" s="2878"/>
      <c r="T60" s="2878"/>
      <c r="U60" s="2878"/>
      <c r="V60" s="2878"/>
      <c r="W60" s="2878"/>
      <c r="X60" s="2878"/>
      <c r="Y60" s="2878"/>
      <c r="Z60" s="2878"/>
      <c r="AA60" s="2878"/>
      <c r="AB60" s="2878"/>
      <c r="AC60" s="2878"/>
    </row>
    <row r="61" spans="1:29" s="113" customFormat="1" ht="15.75" thickBot="1">
      <c r="A61" s="471" t="s">
        <v>2403</v>
      </c>
      <c r="B61" s="472"/>
      <c r="C61" s="473"/>
      <c r="D61" s="474"/>
      <c r="E61" s="474"/>
      <c r="F61" s="474"/>
      <c r="G61" s="474"/>
      <c r="H61" s="474"/>
      <c r="I61" s="474"/>
      <c r="J61" s="474"/>
      <c r="K61" s="474"/>
      <c r="L61" s="474"/>
      <c r="M61" s="475"/>
      <c r="N61" s="474"/>
      <c r="O61" s="475"/>
      <c r="P61" s="2978"/>
      <c r="Q61" s="2957"/>
      <c r="R61" s="2878"/>
      <c r="S61" s="2878"/>
      <c r="T61" s="2878"/>
      <c r="U61" s="2878"/>
      <c r="V61" s="2878"/>
      <c r="W61" s="2878"/>
      <c r="X61" s="2878"/>
      <c r="Y61" s="2878"/>
      <c r="Z61" s="2878"/>
      <c r="AA61" s="2878"/>
      <c r="AB61" s="2878"/>
      <c r="AC61" s="2878"/>
    </row>
    <row r="62" spans="1:29" s="113" customFormat="1" ht="15">
      <c r="A62" s="477" t="s">
        <v>2368</v>
      </c>
      <c r="B62" s="466"/>
      <c r="C62" s="478" t="s">
        <v>2470</v>
      </c>
      <c r="D62" s="479"/>
      <c r="E62" s="479"/>
      <c r="F62" s="479"/>
      <c r="G62" s="479"/>
      <c r="H62" s="479"/>
      <c r="I62" s="479"/>
      <c r="J62" s="479"/>
      <c r="K62" s="479"/>
      <c r="L62" s="480"/>
      <c r="M62" s="481"/>
      <c r="N62" s="2970"/>
      <c r="O62" s="2970"/>
      <c r="P62" s="2979"/>
      <c r="Q62" s="2957"/>
      <c r="R62" s="2878"/>
      <c r="S62" s="2878"/>
      <c r="T62" s="2878"/>
      <c r="U62" s="2878"/>
      <c r="V62" s="2878"/>
      <c r="W62" s="2878"/>
      <c r="X62" s="2878"/>
      <c r="Y62" s="2878"/>
      <c r="Z62" s="2878"/>
      <c r="AA62" s="2878"/>
      <c r="AB62" s="2878"/>
      <c r="AC62" s="2878"/>
    </row>
    <row r="63" spans="1:29" s="113" customFormat="1" ht="15.75" thickBot="1">
      <c r="A63" s="477"/>
      <c r="B63" s="466"/>
      <c r="C63" s="467">
        <v>100</v>
      </c>
      <c r="D63" s="468"/>
      <c r="E63" s="468"/>
      <c r="F63" s="468"/>
      <c r="G63" s="468"/>
      <c r="H63" s="468"/>
      <c r="I63" s="468"/>
      <c r="J63" s="468"/>
      <c r="K63" s="468"/>
      <c r="L63" s="468"/>
      <c r="M63" s="470"/>
      <c r="N63" s="2970"/>
      <c r="O63" s="2970"/>
      <c r="P63" s="2978"/>
      <c r="Q63" s="2957"/>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1"/>
      <c r="O64" s="2971"/>
      <c r="P64" s="2980"/>
      <c r="Q64" s="2957"/>
      <c r="R64" s="2943"/>
      <c r="S64" s="2943"/>
      <c r="T64" s="2943"/>
      <c r="U64" s="2943"/>
      <c r="V64" s="2943"/>
      <c r="W64" s="2943"/>
      <c r="X64" s="2943"/>
      <c r="Y64" s="2943"/>
      <c r="Z64" s="2943"/>
      <c r="AA64" s="2943"/>
      <c r="AB64" s="2943"/>
      <c r="AC64" s="2943"/>
    </row>
    <row r="65" spans="1:29" ht="15.75" thickBot="1">
      <c r="A65" s="490"/>
      <c r="B65" s="491"/>
      <c r="C65" s="492">
        <v>100</v>
      </c>
      <c r="D65" s="492"/>
      <c r="E65" s="492"/>
      <c r="F65" s="492"/>
      <c r="G65" s="492"/>
      <c r="H65" s="492"/>
      <c r="I65" s="492"/>
      <c r="J65" s="492"/>
      <c r="K65" s="492"/>
      <c r="L65" s="492"/>
      <c r="M65" s="493"/>
      <c r="N65" s="2972"/>
      <c r="O65" s="2972"/>
      <c r="P65" s="2980"/>
      <c r="Q65" s="2957"/>
      <c r="R65" s="2943"/>
      <c r="S65" s="2943"/>
      <c r="T65" s="2943"/>
      <c r="U65" s="2943"/>
      <c r="V65" s="2943"/>
      <c r="W65" s="2943"/>
      <c r="X65" s="2943"/>
      <c r="Y65" s="2943"/>
      <c r="Z65" s="2943"/>
      <c r="AA65" s="2943"/>
      <c r="AB65" s="2943"/>
      <c r="AC65" s="2943"/>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1"/>
      <c r="O66" s="2971"/>
      <c r="P66" s="2980"/>
      <c r="Q66" s="2957"/>
      <c r="R66" s="2943"/>
      <c r="S66" s="2943"/>
      <c r="T66" s="2943"/>
      <c r="U66" s="2943"/>
      <c r="V66" s="2943"/>
      <c r="W66" s="2943"/>
      <c r="X66" s="2943"/>
      <c r="Y66" s="2943"/>
      <c r="Z66" s="2943"/>
      <c r="AA66" s="2943"/>
      <c r="AB66" s="2943"/>
      <c r="AC66" s="294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2"/>
      <c r="O67" s="2972"/>
      <c r="P67" s="2980"/>
      <c r="Q67" s="2957"/>
      <c r="R67" s="2943"/>
      <c r="S67" s="2943"/>
      <c r="T67" s="2943"/>
      <c r="U67" s="2943"/>
      <c r="V67" s="2943"/>
      <c r="W67" s="2943"/>
      <c r="X67" s="2943"/>
      <c r="Y67" s="2943"/>
      <c r="Z67" s="2943"/>
      <c r="AA67" s="2943"/>
      <c r="AB67" s="2943"/>
      <c r="AC67" s="2943"/>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0"/>
      <c r="B69" s="504"/>
      <c r="C69" s="505"/>
      <c r="D69" s="505"/>
      <c r="E69" s="505"/>
      <c r="F69" s="505"/>
      <c r="G69" s="505"/>
      <c r="H69" s="505"/>
      <c r="I69" s="505"/>
      <c r="J69" s="505"/>
      <c r="K69" s="506"/>
      <c r="L69" s="507"/>
      <c r="M69" s="508"/>
      <c r="N69" s="2971"/>
      <c r="O69" s="2971"/>
      <c r="P69" s="2980"/>
      <c r="Q69" s="2957"/>
      <c r="R69" s="2943"/>
      <c r="S69" s="2943"/>
      <c r="T69" s="2943"/>
      <c r="U69" s="2943"/>
      <c r="V69" s="2943"/>
      <c r="W69" s="2943"/>
      <c r="X69" s="2943"/>
      <c r="Y69" s="2943"/>
      <c r="Z69" s="2943"/>
      <c r="AA69" s="2943"/>
      <c r="AB69" s="2943"/>
      <c r="AC69" s="294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7"/>
      <c r="R70" s="2943"/>
      <c r="S70" s="2943"/>
      <c r="T70" s="2943"/>
      <c r="U70" s="2943"/>
      <c r="V70" s="2943"/>
      <c r="W70" s="2943"/>
      <c r="X70" s="2943"/>
      <c r="Y70" s="2943"/>
      <c r="Z70" s="2943"/>
      <c r="AA70" s="2943"/>
      <c r="AB70" s="2943"/>
      <c r="AC70" s="2943"/>
    </row>
    <row r="71" spans="1:29" s="429" customFormat="1" ht="15.75"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5.75"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5.75"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5.75"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5.75"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5.75"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c r="A77" s="483" t="s">
        <v>2377</v>
      </c>
      <c r="B77" s="484" t="s">
        <v>2515</v>
      </c>
      <c r="C77" s="529" t="s">
        <v>2415</v>
      </c>
      <c r="D77" s="529" t="s">
        <v>2416</v>
      </c>
      <c r="E77" s="529" t="s">
        <v>2417</v>
      </c>
      <c r="F77" s="529" t="s">
        <v>2418</v>
      </c>
      <c r="G77" s="529" t="s">
        <v>2419</v>
      </c>
      <c r="H77" s="485"/>
      <c r="I77" s="485"/>
      <c r="J77" s="485"/>
      <c r="K77" s="530"/>
      <c r="L77" s="531"/>
      <c r="M77" s="532"/>
      <c r="N77" s="2971"/>
      <c r="O77" s="2971"/>
      <c r="P77" s="2984"/>
      <c r="Q77" s="2957"/>
      <c r="R77" s="2943"/>
      <c r="S77" s="2943"/>
      <c r="T77" s="2943"/>
      <c r="U77" s="2943"/>
      <c r="V77" s="2943"/>
      <c r="W77" s="2943"/>
      <c r="X77" s="2943"/>
      <c r="Y77" s="2943"/>
      <c r="Z77" s="2943"/>
      <c r="AA77" s="2943"/>
      <c r="AB77" s="2943"/>
      <c r="AC77" s="294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2"/>
      <c r="O78" s="2972"/>
      <c r="P78" s="2980"/>
      <c r="Q78" s="2957"/>
      <c r="R78" s="2943"/>
      <c r="S78" s="2943"/>
      <c r="T78" s="2943"/>
      <c r="U78" s="2943"/>
      <c r="V78" s="2943"/>
      <c r="W78" s="2943"/>
      <c r="X78" s="2943"/>
      <c r="Y78" s="2943"/>
      <c r="Z78" s="2943"/>
      <c r="AA78" s="2943"/>
      <c r="AB78" s="2943"/>
      <c r="AC78" s="2943"/>
    </row>
    <row r="79" spans="1:29" ht="15.75" thickTop="1">
      <c r="A79" s="490"/>
      <c r="B79" s="494" t="s">
        <v>2420</v>
      </c>
      <c r="C79" s="534" t="s">
        <v>2415</v>
      </c>
      <c r="D79" s="534" t="s">
        <v>2416</v>
      </c>
      <c r="E79" s="534" t="s">
        <v>2417</v>
      </c>
      <c r="F79" s="534" t="s">
        <v>2418</v>
      </c>
      <c r="G79" s="534" t="s">
        <v>2419</v>
      </c>
      <c r="H79" s="495"/>
      <c r="I79" s="495"/>
      <c r="J79" s="495"/>
      <c r="K79" s="496"/>
      <c r="L79" s="497"/>
      <c r="M79" s="498"/>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2"/>
      <c r="O80" s="2972"/>
      <c r="P80" s="2980"/>
      <c r="Q80" s="2957"/>
      <c r="R80" s="2943"/>
      <c r="S80" s="2943"/>
      <c r="T80" s="2943"/>
      <c r="U80" s="2943"/>
      <c r="V80" s="2943"/>
      <c r="W80" s="2943"/>
      <c r="X80" s="2943"/>
      <c r="Y80" s="2943"/>
      <c r="Z80" s="2943"/>
      <c r="AA80" s="2943"/>
      <c r="AB80" s="2943"/>
      <c r="AC80" s="2943"/>
    </row>
    <row r="81" spans="1:29" ht="15.75" thickTop="1">
      <c r="A81" s="490"/>
      <c r="B81" s="494" t="s">
        <v>2421</v>
      </c>
      <c r="C81" s="534" t="s">
        <v>2415</v>
      </c>
      <c r="D81" s="534" t="s">
        <v>2416</v>
      </c>
      <c r="E81" s="534" t="s">
        <v>2417</v>
      </c>
      <c r="F81" s="534" t="s">
        <v>2418</v>
      </c>
      <c r="G81" s="534" t="s">
        <v>2419</v>
      </c>
      <c r="H81" s="495"/>
      <c r="I81" s="495"/>
      <c r="J81" s="495"/>
      <c r="K81" s="496"/>
      <c r="L81" s="497"/>
      <c r="M81" s="498"/>
      <c r="N81" s="2971"/>
      <c r="O81" s="2971"/>
      <c r="P81" s="2980"/>
      <c r="Q81" s="2957"/>
      <c r="R81" s="2943"/>
      <c r="S81" s="2943"/>
      <c r="T81" s="2943"/>
      <c r="U81" s="2943"/>
      <c r="V81" s="2943"/>
      <c r="W81" s="2943"/>
      <c r="X81" s="2943"/>
      <c r="Y81" s="2943"/>
      <c r="Z81" s="2943"/>
      <c r="AA81" s="2943"/>
      <c r="AB81" s="2943"/>
      <c r="AC81" s="294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2"/>
      <c r="O82" s="2972"/>
      <c r="P82" s="2980"/>
      <c r="Q82" s="2957"/>
      <c r="R82" s="2943"/>
      <c r="S82" s="2943"/>
      <c r="T82" s="2943"/>
      <c r="U82" s="2943"/>
      <c r="V82" s="2943"/>
      <c r="W82" s="2943"/>
      <c r="X82" s="2943"/>
      <c r="Y82" s="2943"/>
      <c r="Z82" s="2943"/>
      <c r="AA82" s="2943"/>
      <c r="AB82" s="2943"/>
      <c r="AC82" s="2943"/>
    </row>
    <row r="83" spans="1:29" ht="15.75" thickTop="1">
      <c r="A83" s="490"/>
      <c r="B83" s="502" t="s">
        <v>2507</v>
      </c>
      <c r="C83" s="615" t="s">
        <v>2493</v>
      </c>
      <c r="D83" s="615" t="s">
        <v>2494</v>
      </c>
      <c r="E83" s="615" t="s">
        <v>2495</v>
      </c>
      <c r="F83" s="615" t="s">
        <v>2496</v>
      </c>
      <c r="G83" s="615" t="s">
        <v>2497</v>
      </c>
      <c r="H83" s="495"/>
      <c r="I83" s="495"/>
      <c r="J83" s="495"/>
      <c r="K83" s="495"/>
      <c r="L83" s="495"/>
      <c r="M83" s="1289"/>
      <c r="N83" s="2972"/>
      <c r="O83" s="2972"/>
      <c r="P83" s="2980"/>
      <c r="Q83" s="2957"/>
      <c r="R83" s="2943"/>
      <c r="S83" s="2943"/>
      <c r="T83" s="2943"/>
      <c r="U83" s="2943"/>
      <c r="V83" s="2943"/>
      <c r="W83" s="2943"/>
      <c r="X83" s="2943"/>
      <c r="Y83" s="2943"/>
      <c r="Z83" s="2943"/>
      <c r="AA83" s="2943"/>
      <c r="AB83" s="2943"/>
      <c r="AC83" s="294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2"/>
      <c r="O84" s="2972"/>
      <c r="P84" s="2980"/>
      <c r="Q84" s="2957"/>
      <c r="R84" s="2943"/>
      <c r="S84" s="2943"/>
      <c r="T84" s="2943"/>
      <c r="U84" s="2943"/>
      <c r="V84" s="2943"/>
      <c r="W84" s="2943"/>
      <c r="X84" s="2943"/>
      <c r="Y84" s="2943"/>
      <c r="Z84" s="2943"/>
      <c r="AA84" s="2943"/>
      <c r="AB84" s="2943"/>
      <c r="AC84" s="2943"/>
    </row>
    <row r="85" spans="1:29" ht="15.75" thickTop="1">
      <c r="A85" s="490"/>
      <c r="B85" s="494" t="s">
        <v>2516</v>
      </c>
      <c r="C85" s="534" t="s">
        <v>2415</v>
      </c>
      <c r="D85" s="534" t="s">
        <v>2416</v>
      </c>
      <c r="E85" s="534" t="s">
        <v>2417</v>
      </c>
      <c r="F85" s="534" t="s">
        <v>2418</v>
      </c>
      <c r="G85" s="534" t="s">
        <v>2419</v>
      </c>
      <c r="H85" s="495"/>
      <c r="I85" s="495"/>
      <c r="J85" s="495"/>
      <c r="K85" s="496"/>
      <c r="L85" s="497"/>
      <c r="M85" s="498"/>
      <c r="N85" s="2971"/>
      <c r="O85" s="2971"/>
      <c r="P85" s="2980"/>
      <c r="Q85" s="2957"/>
      <c r="R85" s="2943"/>
      <c r="S85" s="2943"/>
      <c r="T85" s="2943"/>
      <c r="U85" s="2943"/>
      <c r="V85" s="2943"/>
      <c r="W85" s="2943"/>
      <c r="X85" s="2943"/>
      <c r="Y85" s="2943"/>
      <c r="Z85" s="2943"/>
      <c r="AA85" s="2943"/>
      <c r="AB85" s="2943"/>
      <c r="AC85" s="294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2"/>
      <c r="O86" s="2972"/>
      <c r="P86" s="2980"/>
      <c r="Q86" s="2957"/>
      <c r="R86" s="2943"/>
      <c r="S86" s="2943"/>
      <c r="T86" s="2943"/>
      <c r="U86" s="2943"/>
      <c r="V86" s="2943"/>
      <c r="W86" s="2943"/>
      <c r="X86" s="2943"/>
      <c r="Y86" s="2943"/>
      <c r="Z86" s="2943"/>
      <c r="AA86" s="2943"/>
      <c r="AB86" s="2943"/>
      <c r="AC86" s="2943"/>
    </row>
    <row r="87" spans="1:29" s="113" customFormat="1" ht="27.75" thickTop="1">
      <c r="A87" s="535"/>
      <c r="B87" s="494" t="s">
        <v>2517</v>
      </c>
      <c r="C87" s="510"/>
      <c r="D87" s="510"/>
      <c r="E87" s="510"/>
      <c r="F87" s="510"/>
      <c r="G87" s="510"/>
      <c r="H87" s="510"/>
      <c r="I87" s="510"/>
      <c r="J87" s="510"/>
      <c r="K87" s="510"/>
      <c r="L87" s="536"/>
      <c r="M87" s="537"/>
      <c r="N87" s="2970"/>
      <c r="O87" s="2970"/>
      <c r="P87" s="2980"/>
      <c r="Q87" s="2957"/>
      <c r="R87" s="2878"/>
      <c r="S87" s="2878"/>
      <c r="T87" s="2878"/>
      <c r="U87" s="2878"/>
      <c r="V87" s="2878"/>
      <c r="W87" s="2878"/>
      <c r="X87" s="2878"/>
      <c r="Y87" s="2878"/>
      <c r="Z87" s="2878"/>
      <c r="AA87" s="2878"/>
      <c r="AB87" s="2878"/>
      <c r="AC87" s="287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5"/>
      <c r="B89" s="494" t="str">
        <f>B27</f>
        <v>楼层</v>
      </c>
      <c r="C89" s="510"/>
      <c r="D89" s="510"/>
      <c r="E89" s="510"/>
      <c r="F89" s="2107"/>
      <c r="G89" s="510"/>
      <c r="H89" s="510"/>
      <c r="I89" s="510"/>
      <c r="J89" s="510"/>
      <c r="K89" s="510"/>
      <c r="L89" s="510"/>
      <c r="M89" s="537"/>
      <c r="N89" s="2970"/>
      <c r="O89" s="2970"/>
      <c r="P89" s="2980"/>
      <c r="Q89" s="2957"/>
      <c r="R89" s="2878"/>
      <c r="S89" s="2878"/>
      <c r="T89" s="2878"/>
      <c r="U89" s="2878"/>
      <c r="V89" s="2878"/>
      <c r="W89" s="2878"/>
      <c r="X89" s="2878"/>
      <c r="Y89" s="2878"/>
      <c r="Z89" s="2878"/>
      <c r="AA89" s="2878"/>
      <c r="AB89" s="2878"/>
      <c r="AC89" s="287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2"/>
      <c r="O90" s="2972"/>
      <c r="P90" s="2980"/>
      <c r="Q90" s="2957"/>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0"/>
      <c r="B93" s="494">
        <f>B29</f>
        <v>111</v>
      </c>
      <c r="C93" s="510"/>
      <c r="D93" s="510"/>
      <c r="E93" s="510"/>
      <c r="F93" s="510"/>
      <c r="G93" s="510"/>
      <c r="H93" s="510"/>
      <c r="I93" s="510"/>
      <c r="J93" s="510"/>
      <c r="K93" s="510"/>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16"/>
      <c r="D94" s="492"/>
      <c r="E94" s="492"/>
      <c r="F94" s="492"/>
      <c r="G94" s="492"/>
      <c r="H94" s="492"/>
      <c r="I94" s="492"/>
      <c r="J94" s="492"/>
      <c r="K94" s="492"/>
      <c r="L94" s="492"/>
      <c r="M94" s="493"/>
      <c r="N94" s="2972"/>
      <c r="O94" s="2972"/>
      <c r="P94" s="2980"/>
      <c r="Q94" s="2957"/>
      <c r="R94" s="2943"/>
      <c r="S94" s="2943"/>
      <c r="T94" s="2943"/>
      <c r="U94" s="2943"/>
      <c r="V94" s="2943"/>
      <c r="W94" s="2943"/>
      <c r="X94" s="2943"/>
      <c r="Y94" s="2943"/>
      <c r="Z94" s="2943"/>
      <c r="AA94" s="2943"/>
      <c r="AB94" s="2943"/>
      <c r="AC94" s="2943"/>
    </row>
    <row r="95" spans="1:29" ht="15.75" thickTop="1">
      <c r="A95" s="490"/>
      <c r="B95" s="494">
        <f>B30</f>
        <v>111</v>
      </c>
      <c r="C95" s="510"/>
      <c r="D95" s="510"/>
      <c r="E95" s="510"/>
      <c r="F95" s="510"/>
      <c r="G95" s="539"/>
      <c r="H95" s="539"/>
      <c r="I95" s="539"/>
      <c r="J95" s="539"/>
      <c r="K95" s="540"/>
      <c r="L95" s="541"/>
      <c r="M95" s="542"/>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16"/>
      <c r="D96" s="516"/>
      <c r="E96" s="516"/>
      <c r="F96" s="516"/>
      <c r="G96" s="492"/>
      <c r="H96" s="492"/>
      <c r="I96" s="492"/>
      <c r="J96" s="492"/>
      <c r="K96" s="492"/>
      <c r="L96" s="492"/>
      <c r="M96" s="493"/>
      <c r="N96" s="2972"/>
      <c r="O96" s="2972"/>
      <c r="P96" s="2980"/>
      <c r="Q96" s="2957"/>
      <c r="R96" s="2943"/>
      <c r="S96" s="2943"/>
      <c r="T96" s="2943"/>
      <c r="U96" s="2943"/>
      <c r="V96" s="2943"/>
      <c r="W96" s="2943"/>
      <c r="X96" s="2943"/>
      <c r="Y96" s="2943"/>
      <c r="Z96" s="2943"/>
      <c r="AA96" s="2943"/>
      <c r="AB96" s="2943"/>
      <c r="AC96" s="2943"/>
    </row>
    <row r="97" spans="1:29" ht="15.75" thickTop="1">
      <c r="A97" s="490"/>
      <c r="B97" s="494">
        <f>B31</f>
        <v>111</v>
      </c>
      <c r="C97" s="510"/>
      <c r="D97" s="510"/>
      <c r="E97" s="510"/>
      <c r="F97" s="510"/>
      <c r="G97" s="539"/>
      <c r="H97" s="539"/>
      <c r="I97" s="539"/>
      <c r="J97" s="539"/>
      <c r="K97" s="540"/>
      <c r="L97" s="541"/>
      <c r="M97" s="542"/>
      <c r="N97" s="2971"/>
      <c r="O97" s="2971"/>
      <c r="P97" s="2980"/>
      <c r="Q97" s="2957"/>
      <c r="R97" s="2943"/>
      <c r="S97" s="2943"/>
      <c r="T97" s="2943"/>
      <c r="U97" s="2943"/>
      <c r="V97" s="2943"/>
      <c r="W97" s="2943"/>
      <c r="X97" s="2943"/>
      <c r="Y97" s="2943"/>
      <c r="Z97" s="2943"/>
      <c r="AA97" s="2943"/>
      <c r="AB97" s="2943"/>
      <c r="AC97" s="2943"/>
    </row>
    <row r="98" spans="1:29" ht="15.75" thickBot="1">
      <c r="A98" s="490"/>
      <c r="B98" s="499"/>
      <c r="C98" s="516"/>
      <c r="D98" s="492"/>
      <c r="E98" s="492"/>
      <c r="F98" s="492"/>
      <c r="G98" s="492"/>
      <c r="H98" s="492"/>
      <c r="I98" s="492"/>
      <c r="J98" s="492"/>
      <c r="K98" s="492"/>
      <c r="L98" s="492"/>
      <c r="M98" s="493"/>
      <c r="N98" s="2972"/>
      <c r="O98" s="2972"/>
      <c r="P98" s="2980"/>
      <c r="Q98" s="2957"/>
      <c r="R98" s="2943"/>
      <c r="S98" s="2943"/>
      <c r="T98" s="2943"/>
      <c r="U98" s="2943"/>
      <c r="V98" s="2943"/>
      <c r="W98" s="2943"/>
      <c r="X98" s="2943"/>
      <c r="Y98" s="2943"/>
      <c r="Z98" s="2943"/>
      <c r="AA98" s="2943"/>
      <c r="AB98" s="2943"/>
      <c r="AC98" s="2943"/>
    </row>
    <row r="99" spans="1:29" ht="15.75" thickTop="1">
      <c r="A99" s="490"/>
      <c r="B99" s="502">
        <f>B32</f>
        <v>111</v>
      </c>
      <c r="C99" s="479"/>
      <c r="D99" s="479"/>
      <c r="E99" s="479"/>
      <c r="F99" s="479"/>
      <c r="G99" s="543"/>
      <c r="H99" s="543"/>
      <c r="I99" s="543"/>
      <c r="J99" s="543"/>
      <c r="K99" s="544"/>
      <c r="L99" s="545"/>
      <c r="M99" s="546"/>
      <c r="N99" s="2971"/>
      <c r="O99" s="2971"/>
      <c r="P99" s="2980"/>
      <c r="Q99" s="2957"/>
      <c r="R99" s="2943"/>
      <c r="S99" s="2943"/>
      <c r="T99" s="2943"/>
      <c r="U99" s="2943"/>
      <c r="V99" s="2943"/>
      <c r="W99" s="2943"/>
      <c r="X99" s="2943"/>
      <c r="Y99" s="2943"/>
      <c r="Z99" s="2943"/>
      <c r="AA99" s="2943"/>
      <c r="AB99" s="2943"/>
      <c r="AC99" s="2943"/>
    </row>
    <row r="100" spans="1:29" ht="15.75" thickBot="1">
      <c r="A100" s="2108"/>
      <c r="B100" s="525"/>
      <c r="C100" s="526"/>
      <c r="D100" s="526"/>
      <c r="E100" s="526"/>
      <c r="F100" s="526"/>
      <c r="G100" s="547"/>
      <c r="H100" s="547"/>
      <c r="I100" s="547"/>
      <c r="J100" s="547"/>
      <c r="K100" s="547"/>
      <c r="L100" s="547"/>
      <c r="M100" s="548"/>
      <c r="N100" s="2972"/>
      <c r="O100" s="2972"/>
      <c r="P100" s="2980"/>
      <c r="Q100" s="2957"/>
      <c r="R100" s="2943"/>
      <c r="S100" s="2943"/>
      <c r="T100" s="2943"/>
      <c r="U100" s="2943"/>
      <c r="V100" s="2943"/>
      <c r="W100" s="2943"/>
      <c r="X100" s="2943"/>
      <c r="Y100" s="2943"/>
      <c r="Z100" s="2943"/>
      <c r="AA100" s="2943"/>
      <c r="AB100" s="2943"/>
      <c r="AC100" s="2943"/>
    </row>
    <row r="101" spans="1:29">
      <c r="A101" s="483" t="s">
        <v>2381</v>
      </c>
      <c r="B101" s="484" t="s">
        <v>2430</v>
      </c>
      <c r="C101" s="486"/>
      <c r="D101" s="486"/>
      <c r="E101" s="486"/>
      <c r="F101" s="486"/>
      <c r="G101" s="486"/>
      <c r="H101" s="486"/>
      <c r="I101" s="486"/>
      <c r="J101" s="486"/>
      <c r="K101" s="487"/>
      <c r="L101" s="488"/>
      <c r="M101" s="489"/>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9" customFormat="1">
      <c r="A104" s="549"/>
      <c r="B104" s="550"/>
      <c r="C104" s="551"/>
      <c r="D104" s="551"/>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5.75" thickBot="1">
      <c r="A105" s="509"/>
      <c r="B105" s="499"/>
      <c r="C105" s="516"/>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2432</v>
      </c>
      <c r="C106" s="510"/>
      <c r="D106" s="510"/>
      <c r="E106" s="539"/>
      <c r="F106" s="539"/>
      <c r="G106" s="539"/>
      <c r="H106" s="539"/>
      <c r="I106" s="539"/>
      <c r="J106" s="539"/>
      <c r="K106" s="540"/>
      <c r="L106" s="541"/>
      <c r="M106" s="542"/>
      <c r="N106" s="2971"/>
      <c r="O106" s="2971"/>
      <c r="P106" s="2980"/>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5"/>
      <c r="B108" s="494" t="s">
        <v>2434</v>
      </c>
      <c r="C108" s="510"/>
      <c r="D108" s="510"/>
      <c r="E108" s="510"/>
      <c r="F108" s="539"/>
      <c r="G108" s="539"/>
      <c r="H108" s="539"/>
      <c r="I108" s="539"/>
      <c r="J108" s="539"/>
      <c r="K108" s="540"/>
      <c r="L108" s="541"/>
      <c r="M108" s="542"/>
      <c r="N108" s="2971"/>
      <c r="O108" s="2971"/>
      <c r="P108" s="2980"/>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7"/>
      <c r="R110" s="2943"/>
      <c r="S110" s="2943"/>
      <c r="T110" s="2943"/>
      <c r="U110" s="2943"/>
      <c r="V110" s="2943"/>
      <c r="W110" s="2943"/>
      <c r="X110" s="2943"/>
      <c r="Y110" s="2943"/>
      <c r="Z110" s="2943"/>
      <c r="AA110" s="2943"/>
      <c r="AB110" s="2943"/>
      <c r="AC110" s="2943"/>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2"/>
      <c r="O112" s="2972"/>
      <c r="P112" s="2980"/>
      <c r="Q112" s="2957"/>
      <c r="R112" s="2943"/>
      <c r="S112" s="2943"/>
      <c r="T112" s="2943"/>
      <c r="U112" s="2943"/>
      <c r="V112" s="2943"/>
      <c r="W112" s="2943"/>
      <c r="X112" s="2943"/>
      <c r="Y112" s="2943"/>
      <c r="Z112" s="2943"/>
      <c r="AA112" s="2943"/>
      <c r="AB112" s="2943"/>
      <c r="AC112" s="2943"/>
    </row>
    <row r="113" spans="1:29" s="429" customFormat="1" ht="15" thickTop="1">
      <c r="A113" s="549"/>
      <c r="B113" s="494" t="s">
        <v>2518</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2435</v>
      </c>
      <c r="C115" s="510"/>
      <c r="D115" s="510"/>
      <c r="E115" s="539"/>
      <c r="F115" s="539"/>
      <c r="G115" s="539"/>
      <c r="H115" s="539"/>
      <c r="I115" s="539"/>
      <c r="J115" s="539"/>
      <c r="K115" s="540"/>
      <c r="L115" s="541"/>
      <c r="M115" s="542"/>
      <c r="N115" s="2971"/>
      <c r="O115" s="2971"/>
      <c r="P115" s="2980"/>
      <c r="Q115" s="2957"/>
      <c r="R115" s="2943"/>
      <c r="S115" s="2943"/>
      <c r="T115" s="2943"/>
      <c r="U115" s="2943"/>
      <c r="V115" s="2943"/>
      <c r="W115" s="2943"/>
      <c r="X115" s="2943"/>
      <c r="Y115" s="2943"/>
      <c r="Z115" s="2943"/>
      <c r="AA115" s="2943"/>
      <c r="AB115" s="2943"/>
      <c r="AC115" s="294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5"/>
      <c r="B117" s="494" t="s">
        <v>2436</v>
      </c>
      <c r="C117" s="510"/>
      <c r="D117" s="510"/>
      <c r="E117" s="510"/>
      <c r="F117" s="510"/>
      <c r="G117" s="510"/>
      <c r="H117" s="539"/>
      <c r="I117" s="539"/>
      <c r="J117" s="539"/>
      <c r="K117" s="540"/>
      <c r="L117" s="541"/>
      <c r="M117" s="542"/>
      <c r="N117" s="2971"/>
      <c r="O117" s="2971"/>
      <c r="P117" s="2980"/>
      <c r="Q117" s="2957"/>
      <c r="R117" s="2943"/>
      <c r="S117" s="2943"/>
      <c r="T117" s="2943"/>
      <c r="U117" s="2943"/>
      <c r="V117" s="2943"/>
      <c r="W117" s="2943"/>
      <c r="X117" s="2943"/>
      <c r="Y117" s="2943"/>
      <c r="Z117" s="2943"/>
      <c r="AA117" s="2943"/>
      <c r="AB117" s="2943"/>
      <c r="AC117" s="294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2"/>
      <c r="O118" s="2972"/>
      <c r="P118" s="2980"/>
      <c r="Q118" s="2957"/>
      <c r="R118" s="2943"/>
      <c r="S118" s="2943"/>
      <c r="T118" s="2943"/>
      <c r="U118" s="2943"/>
      <c r="V118" s="2943"/>
      <c r="W118" s="2943"/>
      <c r="X118" s="2943"/>
      <c r="Y118" s="2943"/>
      <c r="Z118" s="2943"/>
      <c r="AA118" s="2943"/>
      <c r="AB118" s="2943"/>
      <c r="AC118" s="2943"/>
    </row>
    <row r="119" spans="1:29" ht="15" thickTop="1">
      <c r="A119" s="555"/>
      <c r="B119" s="591" t="s">
        <v>2519</v>
      </c>
      <c r="C119" s="539"/>
      <c r="D119" s="539"/>
      <c r="E119" s="539"/>
      <c r="F119" s="539"/>
      <c r="G119" s="539"/>
      <c r="H119" s="539"/>
      <c r="I119" s="539"/>
      <c r="J119" s="539"/>
      <c r="K119" s="539"/>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2"/>
      <c r="O120" s="2972"/>
      <c r="P120" s="2980"/>
      <c r="Q120" s="2957"/>
      <c r="R120" s="2943"/>
      <c r="S120" s="2943"/>
      <c r="T120" s="2943"/>
      <c r="U120" s="2943"/>
      <c r="V120" s="2943"/>
      <c r="W120" s="2943"/>
      <c r="X120" s="2943"/>
      <c r="Y120" s="2943"/>
      <c r="Z120" s="2943"/>
      <c r="AA120" s="2943"/>
      <c r="AB120" s="2943"/>
      <c r="AC120" s="2943"/>
    </row>
    <row r="121" spans="1:29" s="429" customFormat="1" ht="15" thickTop="1">
      <c r="A121" s="549"/>
      <c r="B121" s="494" t="s">
        <v>2502</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5.75"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2438</v>
      </c>
      <c r="C123" s="510"/>
      <c r="D123" s="510"/>
      <c r="E123" s="510"/>
      <c r="F123" s="539"/>
      <c r="G123" s="539"/>
      <c r="H123" s="539"/>
      <c r="I123" s="539"/>
      <c r="J123" s="539"/>
      <c r="K123" s="540"/>
      <c r="L123" s="541"/>
      <c r="M123" s="542"/>
      <c r="N123" s="2971"/>
      <c r="O123" s="2971"/>
      <c r="P123" s="2980"/>
      <c r="Q123" s="2957"/>
      <c r="R123" s="2943"/>
      <c r="S123" s="2943"/>
      <c r="T123" s="2943"/>
      <c r="U123" s="2943"/>
      <c r="V123" s="2943"/>
      <c r="W123" s="2943"/>
      <c r="X123" s="2943"/>
      <c r="Y123" s="2943"/>
      <c r="Z123" s="2943"/>
      <c r="AA123" s="2943"/>
      <c r="AB123" s="2943"/>
      <c r="AC123" s="294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1"/>
      <c r="O125" s="2971"/>
      <c r="P125" s="2981"/>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2"/>
      <c r="O126" s="2972"/>
      <c r="P126" s="2980"/>
      <c r="Q126" s="2957"/>
      <c r="R126" s="2943"/>
      <c r="S126" s="2943"/>
      <c r="T126" s="2943"/>
      <c r="U126" s="2943"/>
      <c r="V126" s="2943"/>
      <c r="W126" s="2943"/>
      <c r="X126" s="2943"/>
      <c r="Y126" s="2943"/>
      <c r="Z126" s="2943"/>
      <c r="AA126" s="2943"/>
      <c r="AB126" s="2943"/>
      <c r="AC126" s="2943"/>
    </row>
    <row r="127" spans="1:29" s="429" customFormat="1" ht="15"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5.75"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5" thickTop="1">
      <c r="A129" s="555"/>
      <c r="B129" s="494">
        <f>B46</f>
        <v>111</v>
      </c>
      <c r="C129" s="510"/>
      <c r="D129" s="510"/>
      <c r="E129" s="510"/>
      <c r="F129" s="510"/>
      <c r="G129" s="539"/>
      <c r="H129" s="539"/>
      <c r="I129" s="539"/>
      <c r="J129" s="539"/>
      <c r="K129" s="540"/>
      <c r="L129" s="541"/>
      <c r="M129" s="542"/>
      <c r="N129" s="2971"/>
      <c r="O129" s="2971"/>
      <c r="P129" s="2980"/>
      <c r="Q129" s="2957"/>
      <c r="R129" s="2943"/>
      <c r="S129" s="2943"/>
      <c r="T129" s="2943"/>
      <c r="U129" s="2943"/>
      <c r="V129" s="2943"/>
      <c r="W129" s="2943"/>
      <c r="X129" s="2943"/>
      <c r="Y129" s="2943"/>
      <c r="Z129" s="2943"/>
      <c r="AA129" s="2943"/>
      <c r="AB129" s="2943"/>
      <c r="AC129" s="2943"/>
    </row>
    <row r="130" spans="1:29" ht="15.75" thickBot="1">
      <c r="A130" s="490"/>
      <c r="B130" s="499"/>
      <c r="C130" s="516"/>
      <c r="D130" s="516"/>
      <c r="E130" s="516"/>
      <c r="F130" s="516"/>
      <c r="G130" s="492"/>
      <c r="H130" s="492"/>
      <c r="I130" s="492"/>
      <c r="J130" s="492"/>
      <c r="K130" s="492"/>
      <c r="L130" s="492"/>
      <c r="M130" s="493"/>
      <c r="N130" s="2972"/>
      <c r="O130" s="2972"/>
      <c r="P130" s="2980"/>
      <c r="Q130" s="2957"/>
      <c r="R130" s="2943"/>
      <c r="S130" s="2943"/>
      <c r="T130" s="2943"/>
      <c r="U130" s="2943"/>
      <c r="V130" s="2943"/>
      <c r="W130" s="2943"/>
      <c r="X130" s="2943"/>
      <c r="Y130" s="2943"/>
      <c r="Z130" s="2943"/>
      <c r="AA130" s="2943"/>
      <c r="AB130" s="2943"/>
      <c r="AC130" s="2943"/>
    </row>
    <row r="131" spans="1:29" ht="15" thickTop="1">
      <c r="A131" s="555"/>
      <c r="B131" s="502">
        <f>B47</f>
        <v>111</v>
      </c>
      <c r="C131" s="479"/>
      <c r="D131" s="479"/>
      <c r="E131" s="479"/>
      <c r="F131" s="479"/>
      <c r="G131" s="543"/>
      <c r="H131" s="543"/>
      <c r="I131" s="543"/>
      <c r="J131" s="543"/>
      <c r="K131" s="479"/>
      <c r="L131" s="480"/>
      <c r="M131" s="546"/>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5"/>
      <c r="C132" s="526"/>
      <c r="D132" s="526"/>
      <c r="E132" s="526"/>
      <c r="F132" s="526"/>
      <c r="G132" s="547"/>
      <c r="H132" s="547"/>
      <c r="I132" s="547"/>
      <c r="J132" s="547"/>
      <c r="K132" s="547"/>
      <c r="L132" s="547"/>
      <c r="M132" s="548"/>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2520</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54761.34</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1042"/>
      <c r="M4" s="1043"/>
      <c r="N4" s="1043"/>
      <c r="O4" s="1043"/>
      <c r="P4" s="3399" t="s">
        <v>2469</v>
      </c>
      <c r="Q4" s="3400"/>
      <c r="R4" s="3405" t="s">
        <v>2465</v>
      </c>
      <c r="S4" s="3406"/>
      <c r="T4" s="3405" t="s">
        <v>2466</v>
      </c>
      <c r="U4" s="3406"/>
      <c r="V4" s="3411" t="s">
        <v>2467</v>
      </c>
      <c r="W4" s="3411"/>
      <c r="X4" s="1538"/>
      <c r="Y4" s="3405" t="s">
        <v>2469</v>
      </c>
      <c r="Z4" s="3406"/>
      <c r="AA4" s="3392" t="s">
        <v>2465</v>
      </c>
      <c r="AB4" s="3393" t="s">
        <v>2466</v>
      </c>
      <c r="AC4" s="3392" t="s">
        <v>2467</v>
      </c>
    </row>
    <row r="5" spans="1:29" ht="15">
      <c r="A5" s="363"/>
      <c r="B5" s="364"/>
      <c r="C5" s="3423" t="s">
        <v>2360</v>
      </c>
      <c r="D5" s="3415"/>
      <c r="E5" s="3424" t="s">
        <v>2361</v>
      </c>
      <c r="F5" s="3422"/>
      <c r="G5" s="3423" t="s">
        <v>2362</v>
      </c>
      <c r="H5" s="3415"/>
      <c r="I5" s="3423" t="s">
        <v>2363</v>
      </c>
      <c r="J5" s="3415"/>
      <c r="K5" s="566"/>
      <c r="L5" s="1042"/>
      <c r="M5" s="1043"/>
      <c r="N5" s="1043"/>
      <c r="O5" s="1043"/>
      <c r="P5" s="3401"/>
      <c r="Q5" s="3402"/>
      <c r="R5" s="3407"/>
      <c r="S5" s="3408"/>
      <c r="T5" s="3407"/>
      <c r="U5" s="3408"/>
      <c r="V5" s="3411"/>
      <c r="W5" s="3411"/>
      <c r="X5" s="1538"/>
      <c r="Y5" s="3407"/>
      <c r="Z5" s="3408"/>
      <c r="AA5" s="3393"/>
      <c r="AB5" s="3393"/>
      <c r="AC5" s="3393"/>
    </row>
    <row r="6" spans="1:29" ht="15.75" thickBot="1">
      <c r="A6" s="365"/>
      <c r="B6" s="366"/>
      <c r="C6" s="3412" t="s">
        <v>2364</v>
      </c>
      <c r="D6" s="3413"/>
      <c r="E6" s="3419" t="s">
        <v>2364</v>
      </c>
      <c r="F6" s="3420"/>
      <c r="G6" s="3412" t="s">
        <v>2364</v>
      </c>
      <c r="H6" s="3413"/>
      <c r="I6" s="3412" t="s">
        <v>2364</v>
      </c>
      <c r="J6" s="3413"/>
      <c r="K6" s="566" t="s">
        <v>2365</v>
      </c>
      <c r="L6" s="1042"/>
      <c r="M6" s="1043"/>
      <c r="N6" s="1043"/>
      <c r="O6" s="1043"/>
      <c r="P6" s="3403"/>
      <c r="Q6" s="3404"/>
      <c r="R6" s="3407"/>
      <c r="S6" s="3408"/>
      <c r="T6" s="3409"/>
      <c r="U6" s="3410"/>
      <c r="V6" s="3411"/>
      <c r="W6" s="3411"/>
      <c r="X6" s="1538"/>
      <c r="Y6" s="3409"/>
      <c r="Z6" s="3410"/>
      <c r="AA6" s="3394"/>
      <c r="AB6" s="3394"/>
      <c r="AC6" s="3394"/>
    </row>
    <row r="7" spans="1:29" s="113" customFormat="1" ht="15.75" thickBot="1">
      <c r="A7" s="367" t="s">
        <v>2366</v>
      </c>
      <c r="B7" s="368"/>
      <c r="C7" s="369">
        <f>'数据-取费表'!B2</f>
        <v>44259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16" t="s">
        <v>2367</v>
      </c>
      <c r="Q7" s="3418"/>
      <c r="R7" s="709" t="s">
        <v>17</v>
      </c>
      <c r="S7" s="710">
        <f t="shared" ref="S7:S15" si="0">F7</f>
        <v>0</v>
      </c>
      <c r="T7" s="709" t="s">
        <v>17</v>
      </c>
      <c r="U7" s="710">
        <f t="shared" ref="U7:U15" si="1">H7</f>
        <v>0</v>
      </c>
      <c r="V7" s="709" t="s">
        <v>17</v>
      </c>
      <c r="W7" s="710">
        <f t="shared" ref="W7:W15" si="2">J7</f>
        <v>0</v>
      </c>
      <c r="X7" s="711"/>
      <c r="Y7" s="3416" t="s">
        <v>2367</v>
      </c>
      <c r="Z7" s="3417"/>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16" t="s">
        <v>2370</v>
      </c>
      <c r="Q8" s="3417"/>
      <c r="R8" s="709" t="s">
        <v>17</v>
      </c>
      <c r="S8" s="710">
        <f t="shared" si="0"/>
        <v>0</v>
      </c>
      <c r="T8" s="709" t="s">
        <v>17</v>
      </c>
      <c r="U8" s="710">
        <f t="shared" si="1"/>
        <v>0</v>
      </c>
      <c r="V8" s="709" t="s">
        <v>17</v>
      </c>
      <c r="W8" s="710">
        <f t="shared" si="2"/>
        <v>0</v>
      </c>
      <c r="X8" s="711"/>
      <c r="Y8" s="3416" t="s">
        <v>2370</v>
      </c>
      <c r="Z8" s="3417"/>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80"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80"/>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80"/>
      <c r="Q11" s="1526"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0"/>
      <c r="H12" s="131">
        <f>SUMIF(64:64,G12,65:65)-SUMIF(64:64,C12,65:65)+100</f>
        <v>100</v>
      </c>
      <c r="I12" s="427"/>
      <c r="J12" s="131">
        <f>SUMIF(64:64,I12,65:65)-SUMIF(64:64,C12,65:65)+100</f>
        <v>100</v>
      </c>
      <c r="K12" s="569"/>
      <c r="L12" s="1044"/>
      <c r="M12" s="1045"/>
      <c r="N12" s="1045"/>
      <c r="O12" s="1046"/>
      <c r="P12" s="3380"/>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0"/>
      <c r="H13" s="393">
        <f>SUMIF(66:66,G13,67:67)-SUMIF(66:66,C13,67:67)+100</f>
        <v>100</v>
      </c>
      <c r="I13" s="427"/>
      <c r="J13" s="393">
        <f>SUMIF(66:66,I13,67:67)-SUMIF(66:66,C13,67:67)+100</f>
        <v>100</v>
      </c>
      <c r="K13" s="569"/>
      <c r="L13" s="1052"/>
      <c r="M13" s="1043"/>
      <c r="N13" s="1043"/>
      <c r="O13" s="1051"/>
      <c r="P13" s="3380"/>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0"/>
      <c r="H14" s="396">
        <f>SUMIF(68:68,G14,69:69)-SUMIF(68:68,C14,69:69)+100</f>
        <v>100</v>
      </c>
      <c r="I14" s="427"/>
      <c r="J14" s="396">
        <f>SUMIF(68:68,I14,69:69)-SUMIF(68:68,C14,69:69)+100</f>
        <v>100</v>
      </c>
      <c r="K14" s="569"/>
      <c r="L14" s="1052"/>
      <c r="M14" s="1043"/>
      <c r="N14" s="1043"/>
      <c r="O14" s="1051"/>
      <c r="P14" s="3380"/>
      <c r="Q14" s="1526">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8" t="s">
        <v>2377</v>
      </c>
      <c r="B15" s="65" t="s">
        <v>2521</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82" t="s">
        <v>2378</v>
      </c>
      <c r="Q15" s="1535" t="str">
        <f t="shared" si="6"/>
        <v>产业集聚程度</v>
      </c>
      <c r="R15" s="713" t="s">
        <v>17</v>
      </c>
      <c r="S15" s="714">
        <f t="shared" si="0"/>
        <v>100</v>
      </c>
      <c r="T15" s="713" t="s">
        <v>17</v>
      </c>
      <c r="U15" s="714">
        <f t="shared" si="1"/>
        <v>100</v>
      </c>
      <c r="V15" s="713" t="s">
        <v>17</v>
      </c>
      <c r="W15" s="714">
        <f t="shared" si="2"/>
        <v>100</v>
      </c>
      <c r="X15" s="1538"/>
      <c r="Y15" s="3382"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83"/>
      <c r="Q16" s="1535"/>
      <c r="R16" s="713"/>
      <c r="S16" s="714"/>
      <c r="T16" s="713"/>
      <c r="U16" s="714"/>
      <c r="V16" s="713"/>
      <c r="W16" s="714"/>
      <c r="X16" s="1538"/>
      <c r="Y16" s="3383"/>
      <c r="Z16" s="1539"/>
      <c r="AA16" s="1536">
        <v>1</v>
      </c>
      <c r="AB16" s="1536">
        <v>1</v>
      </c>
      <c r="AC16" s="1536">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83"/>
      <c r="Q17" s="1535" t="str">
        <f>B17</f>
        <v>交通便捷度</v>
      </c>
      <c r="R17" s="713" t="s">
        <v>17</v>
      </c>
      <c r="S17" s="714">
        <f>F17</f>
        <v>100</v>
      </c>
      <c r="T17" s="713" t="s">
        <v>17</v>
      </c>
      <c r="U17" s="714">
        <f>H17</f>
        <v>100</v>
      </c>
      <c r="V17" s="713" t="s">
        <v>17</v>
      </c>
      <c r="W17" s="714">
        <f>J17</f>
        <v>100</v>
      </c>
      <c r="X17" s="1538"/>
      <c r="Y17" s="338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1052"/>
      <c r="M18" s="1043"/>
      <c r="N18" s="1043"/>
      <c r="O18" s="1051"/>
      <c r="P18" s="3383"/>
      <c r="Q18" s="1535"/>
      <c r="R18" s="713"/>
      <c r="S18" s="714"/>
      <c r="T18" s="713"/>
      <c r="U18" s="714"/>
      <c r="V18" s="713"/>
      <c r="W18" s="714"/>
      <c r="X18" s="1538"/>
      <c r="Y18" s="3383"/>
      <c r="Z18" s="1539"/>
      <c r="AA18" s="1536">
        <v>1</v>
      </c>
      <c r="AB18" s="1536">
        <v>1</v>
      </c>
      <c r="AC18" s="1536">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83"/>
      <c r="Q19" s="1535" t="str">
        <f>B19</f>
        <v>公共配套设施</v>
      </c>
      <c r="R19" s="713" t="s">
        <v>17</v>
      </c>
      <c r="S19" s="714">
        <f>F19</f>
        <v>100</v>
      </c>
      <c r="T19" s="713" t="s">
        <v>17</v>
      </c>
      <c r="U19" s="714">
        <f>H19</f>
        <v>100</v>
      </c>
      <c r="V19" s="713" t="s">
        <v>17</v>
      </c>
      <c r="W19" s="714">
        <f>J19</f>
        <v>100</v>
      </c>
      <c r="X19" s="1538"/>
      <c r="Y19" s="338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1052"/>
      <c r="M20" s="1043"/>
      <c r="N20" s="1043"/>
      <c r="O20" s="1051"/>
      <c r="P20" s="3383"/>
      <c r="Q20" s="1535"/>
      <c r="R20" s="713"/>
      <c r="S20" s="714"/>
      <c r="T20" s="713"/>
      <c r="U20" s="714"/>
      <c r="V20" s="713"/>
      <c r="W20" s="714"/>
      <c r="X20" s="1538"/>
      <c r="Y20" s="3383"/>
      <c r="Z20" s="1539"/>
      <c r="AA20" s="1536">
        <v>1</v>
      </c>
      <c r="AB20" s="1536">
        <v>1</v>
      </c>
      <c r="AC20" s="1536">
        <v>1</v>
      </c>
    </row>
    <row r="21" spans="1:29" ht="28.5">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83"/>
      <c r="Q21" s="1535" t="str">
        <f>B21</f>
        <v>基础设施水平</v>
      </c>
      <c r="R21" s="713" t="s">
        <v>17</v>
      </c>
      <c r="S21" s="714">
        <f>F21</f>
        <v>100</v>
      </c>
      <c r="T21" s="713" t="s">
        <v>17</v>
      </c>
      <c r="U21" s="714">
        <f>H21</f>
        <v>100</v>
      </c>
      <c r="V21" s="713" t="s">
        <v>17</v>
      </c>
      <c r="W21" s="714">
        <f>J21</f>
        <v>100</v>
      </c>
      <c r="X21" s="1538"/>
      <c r="Y21" s="338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1052"/>
      <c r="M22" s="1043"/>
      <c r="N22" s="1043"/>
      <c r="O22" s="1051"/>
      <c r="P22" s="3383"/>
      <c r="Q22" s="1535"/>
      <c r="R22" s="713"/>
      <c r="S22" s="714"/>
      <c r="T22" s="713"/>
      <c r="U22" s="714"/>
      <c r="V22" s="713"/>
      <c r="W22" s="714"/>
      <c r="X22" s="1538"/>
      <c r="Y22" s="3383"/>
      <c r="Z22" s="1539"/>
      <c r="AA22" s="1536">
        <v>1</v>
      </c>
      <c r="AB22" s="1536">
        <v>1</v>
      </c>
      <c r="AC22" s="1536">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83"/>
      <c r="Q23" s="1535" t="str">
        <f>B23</f>
        <v>环境质量</v>
      </c>
      <c r="R23" s="713" t="s">
        <v>17</v>
      </c>
      <c r="S23" s="714">
        <f>F23</f>
        <v>100</v>
      </c>
      <c r="T23" s="713" t="s">
        <v>17</v>
      </c>
      <c r="U23" s="714">
        <f>H23</f>
        <v>100</v>
      </c>
      <c r="V23" s="713" t="s">
        <v>17</v>
      </c>
      <c r="W23" s="714">
        <f>J23</f>
        <v>100</v>
      </c>
      <c r="X23" s="1538"/>
      <c r="Y23" s="3383"/>
      <c r="Z23" s="1539" t="str">
        <f>Q23</f>
        <v>环境质量</v>
      </c>
      <c r="AA23" s="1536">
        <f t="shared" si="3"/>
        <v>1</v>
      </c>
      <c r="AB23" s="1536">
        <f t="shared" si="4"/>
        <v>1</v>
      </c>
      <c r="AC23" s="1536">
        <f t="shared" si="5"/>
        <v>1</v>
      </c>
    </row>
    <row r="24" spans="1:29" ht="15">
      <c r="A24" s="386"/>
      <c r="B24" s="1291"/>
      <c r="C24" s="405"/>
      <c r="D24" s="406"/>
      <c r="E24" s="2080"/>
      <c r="F24" s="407"/>
      <c r="G24" s="2079"/>
      <c r="H24" s="406"/>
      <c r="I24" s="2080"/>
      <c r="J24" s="406"/>
      <c r="K24" s="571"/>
      <c r="L24" s="1052"/>
      <c r="M24" s="1043"/>
      <c r="N24" s="1043"/>
      <c r="O24" s="1051"/>
      <c r="P24" s="3383"/>
      <c r="Q24" s="1535"/>
      <c r="R24" s="713"/>
      <c r="S24" s="714"/>
      <c r="T24" s="713"/>
      <c r="U24" s="714"/>
      <c r="V24" s="713"/>
      <c r="W24" s="714"/>
      <c r="X24" s="1538"/>
      <c r="Y24" s="3383"/>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83"/>
      <c r="Q25" s="1535">
        <f>B25</f>
        <v>111</v>
      </c>
      <c r="R25" s="713" t="s">
        <v>17</v>
      </c>
      <c r="S25" s="714">
        <f>F25</f>
        <v>100</v>
      </c>
      <c r="T25" s="713" t="s">
        <v>17</v>
      </c>
      <c r="U25" s="714">
        <f>H25</f>
        <v>100</v>
      </c>
      <c r="V25" s="713" t="s">
        <v>17</v>
      </c>
      <c r="W25" s="714">
        <f>J25</f>
        <v>100</v>
      </c>
      <c r="X25" s="1538"/>
      <c r="Y25" s="3383"/>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83"/>
      <c r="Q26" s="1535">
        <f t="shared" ref="Q26:Q40" si="11">B26</f>
        <v>111</v>
      </c>
      <c r="R26" s="713" t="s">
        <v>17</v>
      </c>
      <c r="S26" s="714">
        <f>F26</f>
        <v>100</v>
      </c>
      <c r="T26" s="713" t="s">
        <v>17</v>
      </c>
      <c r="U26" s="714">
        <f>H26</f>
        <v>100</v>
      </c>
      <c r="V26" s="713" t="s">
        <v>17</v>
      </c>
      <c r="W26" s="714">
        <f>J26</f>
        <v>100</v>
      </c>
      <c r="X26" s="1538"/>
      <c r="Y26" s="3383"/>
      <c r="Z26" s="1539">
        <f>Q26</f>
        <v>111</v>
      </c>
      <c r="AA26" s="1536">
        <f t="shared" si="3"/>
        <v>1</v>
      </c>
      <c r="AB26" s="1536">
        <f t="shared" si="4"/>
        <v>1</v>
      </c>
      <c r="AC26" s="1536">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83"/>
      <c r="Q27" s="1526">
        <f t="shared" si="11"/>
        <v>111</v>
      </c>
      <c r="R27" s="709" t="s">
        <v>17</v>
      </c>
      <c r="S27" s="710">
        <f>F27</f>
        <v>100</v>
      </c>
      <c r="T27" s="709" t="s">
        <v>17</v>
      </c>
      <c r="U27" s="710">
        <f>H27</f>
        <v>100</v>
      </c>
      <c r="V27" s="709" t="s">
        <v>17</v>
      </c>
      <c r="W27" s="710">
        <f>J27</f>
        <v>100</v>
      </c>
      <c r="X27" s="711"/>
      <c r="Y27" s="3383"/>
      <c r="Z27" s="55">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83"/>
      <c r="Q28" s="1535">
        <f t="shared" si="11"/>
        <v>111</v>
      </c>
      <c r="R28" s="713" t="s">
        <v>17</v>
      </c>
      <c r="S28" s="714">
        <f t="shared" ref="S28:S40" si="12">F28</f>
        <v>100</v>
      </c>
      <c r="T28" s="713" t="s">
        <v>17</v>
      </c>
      <c r="U28" s="714">
        <f t="shared" ref="U28:U40" si="13">H28</f>
        <v>100</v>
      </c>
      <c r="V28" s="713" t="s">
        <v>17</v>
      </c>
      <c r="W28" s="714">
        <f t="shared" ref="W28:W40" si="14">J28</f>
        <v>100</v>
      </c>
      <c r="X28" s="1538"/>
      <c r="Y28" s="3383"/>
      <c r="Z28" s="1539">
        <f t="shared" ref="Z28:Z40" si="15">Q28</f>
        <v>111</v>
      </c>
      <c r="AA28" s="1536">
        <f t="shared" si="3"/>
        <v>1</v>
      </c>
      <c r="AB28" s="1536">
        <f t="shared" si="4"/>
        <v>1</v>
      </c>
      <c r="AC28" s="1536">
        <f t="shared" si="5"/>
        <v>1</v>
      </c>
    </row>
    <row r="29" spans="1:29" ht="28.5">
      <c r="A29" s="424" t="s">
        <v>2381</v>
      </c>
      <c r="B29" s="67" t="s">
        <v>2511</v>
      </c>
      <c r="C29" s="2147"/>
      <c r="D29" s="425">
        <v>100</v>
      </c>
      <c r="E29" s="2147"/>
      <c r="F29" s="419">
        <f>SUMIF(88:88,E29,89:89)-SUMIF(88:88,C29,89:89)+100</f>
        <v>100</v>
      </c>
      <c r="G29" s="2147"/>
      <c r="H29" s="393">
        <f>SUMIF(88:88,G29,89:89)-SUMIF(88:88,C29,89:89)+100</f>
        <v>100</v>
      </c>
      <c r="I29" s="2147"/>
      <c r="J29" s="425">
        <f>SUMIF(88:88,I29,89:89)-SUMIF(88:88,C29,89:89)+100</f>
        <v>100</v>
      </c>
      <c r="K29" s="568"/>
      <c r="L29" s="1052"/>
      <c r="M29" s="1043"/>
      <c r="N29" s="1043"/>
      <c r="O29" s="1051"/>
      <c r="P29" s="3440" t="s">
        <v>2383</v>
      </c>
      <c r="Q29" s="1535" t="str">
        <f t="shared" si="11"/>
        <v>建筑类型</v>
      </c>
      <c r="R29" s="713" t="s">
        <v>17</v>
      </c>
      <c r="S29" s="714">
        <f t="shared" si="12"/>
        <v>100</v>
      </c>
      <c r="T29" s="713" t="s">
        <v>17</v>
      </c>
      <c r="U29" s="714">
        <f t="shared" si="13"/>
        <v>100</v>
      </c>
      <c r="V29" s="713" t="s">
        <v>17</v>
      </c>
      <c r="W29" s="714">
        <f t="shared" si="14"/>
        <v>100</v>
      </c>
      <c r="X29" s="1538"/>
      <c r="Y29" s="3387"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7"/>
      <c r="Q30" s="715" t="str">
        <f t="shared" si="11"/>
        <v>项目建筑规模</v>
      </c>
      <c r="R30" s="716" t="s">
        <v>17</v>
      </c>
      <c r="S30" s="717" t="e">
        <f t="shared" si="12"/>
        <v>#N/A</v>
      </c>
      <c r="T30" s="716" t="s">
        <v>17</v>
      </c>
      <c r="U30" s="717" t="e">
        <f t="shared" si="13"/>
        <v>#N/A</v>
      </c>
      <c r="V30" s="716" t="s">
        <v>17</v>
      </c>
      <c r="W30" s="717" t="e">
        <f t="shared" si="14"/>
        <v>#N/A</v>
      </c>
      <c r="X30" s="718"/>
      <c r="Y30" s="3387"/>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7"/>
      <c r="Q31" s="1535" t="str">
        <f t="shared" si="11"/>
        <v>建筑结构</v>
      </c>
      <c r="R31" s="713" t="s">
        <v>17</v>
      </c>
      <c r="S31" s="714">
        <f t="shared" si="12"/>
        <v>100</v>
      </c>
      <c r="T31" s="713" t="s">
        <v>17</v>
      </c>
      <c r="U31" s="714">
        <f t="shared" si="13"/>
        <v>100</v>
      </c>
      <c r="V31" s="713" t="s">
        <v>17</v>
      </c>
      <c r="W31" s="714">
        <f t="shared" si="14"/>
        <v>100</v>
      </c>
      <c r="X31" s="1538"/>
      <c r="Y31" s="3387"/>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7"/>
      <c r="Q32" s="1535" t="str">
        <f t="shared" si="11"/>
        <v>公共部分装修</v>
      </c>
      <c r="R32" s="713" t="s">
        <v>17</v>
      </c>
      <c r="S32" s="714">
        <f t="shared" si="12"/>
        <v>100</v>
      </c>
      <c r="T32" s="713" t="s">
        <v>17</v>
      </c>
      <c r="U32" s="714">
        <f t="shared" si="13"/>
        <v>100</v>
      </c>
      <c r="V32" s="713" t="s">
        <v>17</v>
      </c>
      <c r="W32" s="714">
        <f t="shared" si="14"/>
        <v>100</v>
      </c>
      <c r="X32" s="1538"/>
      <c r="Y32" s="3387"/>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7"/>
      <c r="Q33" s="1535" t="str">
        <f t="shared" si="11"/>
        <v>成新度</v>
      </c>
      <c r="R33" s="713" t="s">
        <v>17</v>
      </c>
      <c r="S33" s="714" t="e">
        <f t="shared" si="12"/>
        <v>#N/A</v>
      </c>
      <c r="T33" s="713" t="s">
        <v>17</v>
      </c>
      <c r="U33" s="714" t="e">
        <f t="shared" si="13"/>
        <v>#N/A</v>
      </c>
      <c r="V33" s="713" t="s">
        <v>17</v>
      </c>
      <c r="W33" s="714" t="e">
        <f t="shared" si="14"/>
        <v>#N/A</v>
      </c>
      <c r="X33" s="1538"/>
      <c r="Y33" s="3387"/>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7"/>
      <c r="Q34" s="1526" t="str">
        <f t="shared" si="11"/>
        <v>物业管理</v>
      </c>
      <c r="R34" s="709" t="s">
        <v>17</v>
      </c>
      <c r="S34" s="710">
        <f t="shared" si="12"/>
        <v>100</v>
      </c>
      <c r="T34" s="709" t="s">
        <v>17</v>
      </c>
      <c r="U34" s="710">
        <f t="shared" si="13"/>
        <v>100</v>
      </c>
      <c r="V34" s="709" t="s">
        <v>17</v>
      </c>
      <c r="W34" s="710">
        <f t="shared" si="14"/>
        <v>100</v>
      </c>
      <c r="X34" s="711"/>
      <c r="Y34" s="3387"/>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7" t="s">
        <v>2383</v>
      </c>
      <c r="Q35" s="1535" t="str">
        <f t="shared" si="11"/>
        <v>市政基础设施</v>
      </c>
      <c r="R35" s="713" t="s">
        <v>17</v>
      </c>
      <c r="S35" s="714">
        <f t="shared" si="12"/>
        <v>100</v>
      </c>
      <c r="T35" s="713" t="s">
        <v>17</v>
      </c>
      <c r="U35" s="714">
        <f t="shared" si="13"/>
        <v>100</v>
      </c>
      <c r="V35" s="713" t="s">
        <v>17</v>
      </c>
      <c r="W35" s="714">
        <f t="shared" si="14"/>
        <v>100</v>
      </c>
      <c r="X35" s="1538"/>
      <c r="Y35" s="3387"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7"/>
      <c r="Q36" s="1535" t="str">
        <f t="shared" si="11"/>
        <v>内部装修</v>
      </c>
      <c r="R36" s="713" t="s">
        <v>17</v>
      </c>
      <c r="S36" s="714">
        <f t="shared" si="12"/>
        <v>100</v>
      </c>
      <c r="T36" s="713" t="s">
        <v>17</v>
      </c>
      <c r="U36" s="714">
        <f t="shared" si="13"/>
        <v>100</v>
      </c>
      <c r="V36" s="713" t="s">
        <v>17</v>
      </c>
      <c r="W36" s="714">
        <f t="shared" si="14"/>
        <v>100</v>
      </c>
      <c r="X36" s="1538"/>
      <c r="Y36" s="3387"/>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7"/>
      <c r="Q37" s="1535" t="str">
        <f t="shared" si="11"/>
        <v>内部装修状况</v>
      </c>
      <c r="R37" s="713" t="s">
        <v>17</v>
      </c>
      <c r="S37" s="714">
        <f t="shared" si="12"/>
        <v>100</v>
      </c>
      <c r="T37" s="713" t="s">
        <v>17</v>
      </c>
      <c r="U37" s="714">
        <f t="shared" si="13"/>
        <v>100</v>
      </c>
      <c r="V37" s="713" t="s">
        <v>17</v>
      </c>
      <c r="W37" s="714">
        <f t="shared" si="14"/>
        <v>100</v>
      </c>
      <c r="X37" s="1538"/>
      <c r="Y37" s="3387"/>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7"/>
      <c r="Q38" s="715">
        <f t="shared" si="11"/>
        <v>111</v>
      </c>
      <c r="R38" s="716" t="s">
        <v>17</v>
      </c>
      <c r="S38" s="717">
        <f t="shared" si="12"/>
        <v>100</v>
      </c>
      <c r="T38" s="716" t="s">
        <v>17</v>
      </c>
      <c r="U38" s="717">
        <f t="shared" si="13"/>
        <v>100</v>
      </c>
      <c r="V38" s="716" t="s">
        <v>17</v>
      </c>
      <c r="W38" s="717">
        <f t="shared" si="14"/>
        <v>100</v>
      </c>
      <c r="X38" s="718"/>
      <c r="Y38" s="3387"/>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7"/>
      <c r="Q39" s="1535">
        <f t="shared" si="11"/>
        <v>111</v>
      </c>
      <c r="R39" s="713" t="s">
        <v>17</v>
      </c>
      <c r="S39" s="714">
        <f t="shared" si="12"/>
        <v>100</v>
      </c>
      <c r="T39" s="713" t="s">
        <v>17</v>
      </c>
      <c r="U39" s="714">
        <f t="shared" si="13"/>
        <v>100</v>
      </c>
      <c r="V39" s="713" t="s">
        <v>17</v>
      </c>
      <c r="W39" s="714">
        <f t="shared" si="14"/>
        <v>100</v>
      </c>
      <c r="X39" s="1538"/>
      <c r="Y39" s="3387"/>
      <c r="Z39" s="1539">
        <f t="shared" si="15"/>
        <v>111</v>
      </c>
      <c r="AA39" s="1536">
        <f t="shared" si="3"/>
        <v>1</v>
      </c>
      <c r="AB39" s="1536">
        <f t="shared" si="4"/>
        <v>1</v>
      </c>
      <c r="AC39" s="1536">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8"/>
      <c r="Q40" s="1535">
        <f t="shared" si="11"/>
        <v>111</v>
      </c>
      <c r="R40" s="713" t="s">
        <v>17</v>
      </c>
      <c r="S40" s="714">
        <f t="shared" si="12"/>
        <v>100</v>
      </c>
      <c r="T40" s="713" t="s">
        <v>17</v>
      </c>
      <c r="U40" s="714">
        <f t="shared" si="13"/>
        <v>100</v>
      </c>
      <c r="V40" s="713" t="s">
        <v>17</v>
      </c>
      <c r="W40" s="714">
        <f t="shared" si="14"/>
        <v>100</v>
      </c>
      <c r="X40" s="1538"/>
      <c r="Y40" s="3388"/>
      <c r="Z40" s="1539">
        <f t="shared" si="15"/>
        <v>111</v>
      </c>
      <c r="AA40" s="1536">
        <f t="shared" si="3"/>
        <v>1</v>
      </c>
      <c r="AB40" s="1536">
        <f t="shared" si="4"/>
        <v>1</v>
      </c>
      <c r="AC40" s="1536">
        <f t="shared" si="5"/>
        <v>1</v>
      </c>
    </row>
    <row r="41" spans="1:29" ht="15">
      <c r="A41" s="437" t="s">
        <v>2395</v>
      </c>
      <c r="B41" s="438"/>
      <c r="C41" s="1314" t="s">
        <v>1</v>
      </c>
      <c r="D41" s="1315"/>
      <c r="E41" s="1316"/>
      <c r="F41" s="1317"/>
      <c r="G41" s="1318"/>
      <c r="H41" s="1319"/>
      <c r="I41" s="1316"/>
      <c r="J41" s="1319"/>
      <c r="K41" s="722"/>
      <c r="L41" s="1055"/>
      <c r="M41" s="1056"/>
      <c r="N41" s="1043"/>
      <c r="O41" s="1056"/>
      <c r="P41" s="3380" t="str">
        <f>A41</f>
        <v>成交单价（元/平方米）</v>
      </c>
      <c r="Q41" s="3380"/>
      <c r="R41" s="3381">
        <f>E41</f>
        <v>0</v>
      </c>
      <c r="S41" s="3381"/>
      <c r="T41" s="3381">
        <f>G41</f>
        <v>0</v>
      </c>
      <c r="U41" s="3381"/>
      <c r="V41" s="3381">
        <f>I41</f>
        <v>0</v>
      </c>
      <c r="W41" s="3381"/>
      <c r="X41" s="698"/>
      <c r="Y41" s="720"/>
      <c r="Z41" s="698"/>
      <c r="AA41" s="698"/>
      <c r="AB41" s="698"/>
      <c r="AC41" s="698"/>
    </row>
    <row r="42" spans="1:29" ht="15.75" thickBot="1">
      <c r="A42" s="444" t="s">
        <v>2487</v>
      </c>
      <c r="B42" s="445"/>
      <c r="C42" s="1320" t="e">
        <f>R43</f>
        <v>#DIV/0!</v>
      </c>
      <c r="D42" s="2532" t="s">
        <v>2877</v>
      </c>
      <c r="E42" s="1321" t="e">
        <f>R42</f>
        <v>#DIV/0!</v>
      </c>
      <c r="F42" s="2533"/>
      <c r="G42" s="1320" t="e">
        <f>T42</f>
        <v>#DIV/0!</v>
      </c>
      <c r="H42" s="2533"/>
      <c r="I42" s="1321" t="e">
        <f>V42</f>
        <v>#DIV/0!</v>
      </c>
      <c r="J42" s="2533"/>
      <c r="K42" s="2535">
        <f>F42+H42+J42</f>
        <v>0</v>
      </c>
      <c r="L42" s="1055"/>
      <c r="M42" s="1056"/>
      <c r="N42" s="1043"/>
      <c r="O42" s="1056"/>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5"/>
      <c r="M43" s="1056"/>
      <c r="N43" s="1056"/>
      <c r="O43" s="1056"/>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698"/>
      <c r="Y43" s="698"/>
      <c r="Z43" s="698"/>
      <c r="AA43" s="698"/>
      <c r="AB43" s="698"/>
      <c r="AC43" s="698"/>
    </row>
    <row r="44" spans="1:29">
      <c r="A44" s="2943"/>
      <c r="B44" s="2943"/>
      <c r="C44" s="2943"/>
      <c r="D44" s="2943"/>
      <c r="E44" s="2943"/>
      <c r="F44" s="2943"/>
      <c r="G44" s="2947"/>
      <c r="H44" s="2943"/>
      <c r="I44" s="2943"/>
      <c r="J44" s="2943"/>
      <c r="K44" s="2948"/>
      <c r="L44" s="1018"/>
      <c r="M44" s="1056"/>
      <c r="N44" s="1056"/>
      <c r="O44" s="1056"/>
    </row>
    <row r="45" spans="1:29">
      <c r="A45" s="2943"/>
      <c r="B45" s="2943"/>
      <c r="C45" s="2943"/>
      <c r="D45" s="2943"/>
      <c r="E45" s="2943"/>
      <c r="F45" s="2943"/>
      <c r="G45" s="2943"/>
      <c r="H45" s="2943"/>
      <c r="I45" s="2943"/>
      <c r="J45" s="2943"/>
      <c r="K45" s="2948"/>
      <c r="L45" s="1018"/>
      <c r="M45" s="1056"/>
      <c r="N45" s="1056"/>
      <c r="O45" s="1056"/>
    </row>
    <row r="46" spans="1:29"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1018"/>
      <c r="M46" s="1056"/>
      <c r="N46" s="1056"/>
      <c r="O46" s="1056"/>
    </row>
    <row r="47" spans="1:29"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1018"/>
      <c r="M47" s="1056"/>
      <c r="N47" s="1056"/>
      <c r="O47" s="1056"/>
    </row>
    <row r="48" spans="1:29"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1059"/>
      <c r="M48" s="1057"/>
      <c r="N48" s="1057"/>
      <c r="O48" s="1057"/>
    </row>
    <row r="49" spans="1:17" s="458" customFormat="1">
      <c r="A49" s="2946"/>
      <c r="B49" s="2949"/>
      <c r="C49" s="2950"/>
      <c r="D49" s="2946"/>
      <c r="E49" s="2946"/>
      <c r="F49" s="2946"/>
      <c r="G49" s="2946"/>
      <c r="H49" s="2946"/>
      <c r="I49" s="2946"/>
      <c r="J49" s="2946"/>
      <c r="K49" s="2951"/>
      <c r="L49" s="1059"/>
      <c r="M49" s="1057"/>
      <c r="N49" s="1057"/>
      <c r="O49" s="1057"/>
    </row>
    <row r="50" spans="1:17">
      <c r="A50" s="2943"/>
      <c r="B50" s="2949"/>
      <c r="C50" s="2950"/>
      <c r="D50" s="2943"/>
      <c r="E50" s="2943"/>
      <c r="F50" s="2943"/>
      <c r="G50" s="2943"/>
      <c r="H50" s="2943"/>
      <c r="I50" s="2943"/>
      <c r="J50" s="2943"/>
      <c r="K50" s="2948"/>
      <c r="L50" s="1018"/>
      <c r="M50" s="1056"/>
      <c r="N50" s="1056"/>
      <c r="O50" s="1056"/>
    </row>
    <row r="51" spans="1:17" ht="21.75" thickBot="1">
      <c r="A51" s="702" t="s">
        <v>2492</v>
      </c>
      <c r="B51" s="698"/>
      <c r="C51" s="703"/>
      <c r="D51" s="703"/>
      <c r="E51" s="703"/>
      <c r="F51" s="704"/>
      <c r="G51" s="704"/>
      <c r="H51" s="703"/>
      <c r="I51" s="703"/>
      <c r="J51" s="703"/>
      <c r="K51" s="1070"/>
      <c r="L51" s="1071"/>
      <c r="M51" s="1069"/>
      <c r="N51" s="1069"/>
      <c r="O51" s="1069"/>
      <c r="P51" s="459"/>
      <c r="Q51" s="460"/>
    </row>
    <row r="52" spans="1:17" s="464" customFormat="1" ht="15">
      <c r="A52" s="461" t="s">
        <v>2366</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88"/>
      <c r="O54" s="2989"/>
      <c r="P54" s="460"/>
      <c r="Q54" s="460"/>
    </row>
    <row r="55" spans="1:17" s="113" customFormat="1" ht="15">
      <c r="A55" s="477" t="s">
        <v>2368</v>
      </c>
      <c r="B55" s="466"/>
      <c r="C55" s="478" t="s">
        <v>2470</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2406</v>
      </c>
      <c r="B57" s="484" t="s">
        <v>2372</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08"/>
      <c r="B87" s="525"/>
      <c r="C87" s="526"/>
      <c r="D87" s="526"/>
      <c r="E87" s="526"/>
      <c r="F87" s="526"/>
      <c r="G87" s="547"/>
      <c r="H87" s="547"/>
      <c r="I87" s="547"/>
      <c r="J87" s="547"/>
      <c r="K87" s="547"/>
      <c r="L87" s="547"/>
      <c r="M87" s="548"/>
      <c r="N87" s="1063"/>
      <c r="O87" s="1063"/>
      <c r="P87" s="45"/>
      <c r="Q87" s="460"/>
    </row>
    <row r="88" spans="1:17">
      <c r="A88" s="483" t="s">
        <v>2381</v>
      </c>
      <c r="B88" s="484" t="s">
        <v>2430</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08"/>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受贵公司委托，我公司对天津海河教育园区瑞明路与雅馨路交口西南侧房地产抵押价值进行了预评估。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海河教育园区瑞明路与雅馨路交口西南侧房地产，为天津瑞光房地产开发有限公司所有。根据《不动产权证书》[津（2019）天津海河教育园区不动产权第1005461号]，估价对象（分摊）出让国有建设用地使用权面积为30643.66平方米，建筑面积为54761.34平方米。</v>
      </c>
    </row>
    <row r="8" spans="1:1" ht="57.75">
      <c r="A8" s="1667" t="s">
        <v>1579</v>
      </c>
    </row>
    <row r="9" spans="1:1" ht="18.75">
      <c r="A9" s="1666" t="s">
        <v>1580</v>
      </c>
    </row>
    <row r="10" spans="1:1" ht="90">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30643.66平方米，规划建筑面积为54761.34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本次评估采用的主估价方法为假设开发法和成本法。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0" zoomScaleNormal="60" zoomScaleSheetLayoutView="80" workbookViewId="0">
      <selection activeCell="E38" sqref="E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t="s">
        <v>3108</v>
      </c>
      <c r="C1" s="1390" t="s">
        <v>2348</v>
      </c>
      <c r="D1" s="1391" t="s">
        <v>48</v>
      </c>
      <c r="E1" s="1392"/>
      <c r="F1" s="2062" t="s">
        <v>3305</v>
      </c>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f>IF(C2="——",IF(B37="元/平方米",ROUND(C39*D3/10000,0),ROUND(F3*C39/10000,0)),IF(B37="元/平方米",ROUND(C39*D3/10000,0),ROUND(F3*C39/10000,0))-D2)</f>
        <v>11275</v>
      </c>
      <c r="C2" s="2064" t="s">
        <v>70</v>
      </c>
      <c r="D2" s="1036" t="e">
        <f ca="1">SUMIF(INDIRECT("'"&amp;F2&amp;"'"&amp;"!A:A"),"承租人权益价值",INDIRECT("'"&amp;F2&amp;"'"&amp;"!c:c"))</f>
        <v>#REF!</v>
      </c>
      <c r="E2" s="2065" t="s">
        <v>2149</v>
      </c>
      <c r="F2" s="2066"/>
      <c r="G2" s="1037"/>
      <c r="H2" s="1037"/>
      <c r="I2" s="1037"/>
      <c r="J2" s="1037"/>
      <c r="K2" s="1039"/>
      <c r="L2" s="2952"/>
      <c r="M2" s="2953"/>
      <c r="N2" s="2953"/>
      <c r="O2" s="2953"/>
      <c r="P2" s="1325"/>
      <c r="Q2" s="707"/>
      <c r="R2" s="707"/>
      <c r="S2" s="707"/>
      <c r="T2" s="707"/>
      <c r="U2" s="707"/>
      <c r="V2" s="707"/>
      <c r="W2" s="707"/>
      <c r="X2" s="707"/>
      <c r="Y2" s="707"/>
      <c r="Z2" s="707"/>
      <c r="AA2" s="707"/>
      <c r="AB2" s="707"/>
      <c r="AC2" s="708"/>
    </row>
    <row r="3" spans="1:29" s="357" customFormat="1" ht="28.5" customHeight="1" thickBot="1">
      <c r="A3" s="208" t="s">
        <v>2150</v>
      </c>
      <c r="B3" s="565" t="e">
        <f>IF(AND(C2="——",B37="元/平方米"),C39,ROUND(B2*10000/D3,0))</f>
        <v>#DIV/0!</v>
      </c>
      <c r="C3" s="359" t="s">
        <v>2462</v>
      </c>
      <c r="D3" s="358">
        <f>SUMIF('数据-汇总表'!$C19:$C33,D1,'数据-汇总表'!$E19:$E33)</f>
        <v>0</v>
      </c>
      <c r="E3" s="359" t="s">
        <v>2526</v>
      </c>
      <c r="F3" s="358">
        <f>SUMIF('数据-取费表'!A5:A15,D1,'数据-取费表'!AH5:AH15)</f>
        <v>1025</v>
      </c>
      <c r="G3" s="1037"/>
      <c r="H3" s="1037"/>
      <c r="I3" s="1037"/>
      <c r="J3" s="1037"/>
      <c r="K3" s="1039"/>
      <c r="L3" s="2952"/>
      <c r="M3" s="2953"/>
      <c r="N3" s="2953"/>
      <c r="O3" s="2953"/>
      <c r="P3" s="1325"/>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405" t="s">
        <v>2465</v>
      </c>
      <c r="S4" s="3406"/>
      <c r="T4" s="3405" t="s">
        <v>2466</v>
      </c>
      <c r="U4" s="3406"/>
      <c r="V4" s="3411" t="s">
        <v>2467</v>
      </c>
      <c r="W4" s="3411"/>
      <c r="X4" s="1538"/>
      <c r="Y4" s="3405" t="s">
        <v>2469</v>
      </c>
      <c r="Z4" s="3406"/>
      <c r="AA4" s="3392" t="s">
        <v>2465</v>
      </c>
      <c r="AB4" s="3393" t="s">
        <v>2466</v>
      </c>
      <c r="AC4" s="3392" t="s">
        <v>2467</v>
      </c>
    </row>
    <row r="5" spans="1:29" ht="15">
      <c r="A5" s="363"/>
      <c r="B5" s="364"/>
      <c r="C5" s="3423" t="s">
        <v>2360</v>
      </c>
      <c r="D5" s="3415"/>
      <c r="E5" s="3424" t="s">
        <v>2361</v>
      </c>
      <c r="F5" s="3422"/>
      <c r="G5" s="3423" t="s">
        <v>2362</v>
      </c>
      <c r="H5" s="3415"/>
      <c r="I5" s="3423" t="s">
        <v>2363</v>
      </c>
      <c r="J5" s="3415"/>
      <c r="K5" s="566"/>
      <c r="L5" s="2933"/>
      <c r="M5" s="2934"/>
      <c r="N5" s="2934"/>
      <c r="O5" s="2934"/>
      <c r="P5" s="3401"/>
      <c r="Q5" s="3402"/>
      <c r="R5" s="3407"/>
      <c r="S5" s="3408"/>
      <c r="T5" s="3407"/>
      <c r="U5" s="3408"/>
      <c r="V5" s="3411"/>
      <c r="W5" s="3411"/>
      <c r="X5" s="1538"/>
      <c r="Y5" s="3407"/>
      <c r="Z5" s="3408"/>
      <c r="AA5" s="3393"/>
      <c r="AB5" s="3393"/>
      <c r="AC5" s="3393"/>
    </row>
    <row r="6" spans="1:29" ht="15.75" thickBot="1">
      <c r="A6" s="365"/>
      <c r="B6" s="366"/>
      <c r="C6" s="3412" t="s">
        <v>2364</v>
      </c>
      <c r="D6" s="3413"/>
      <c r="E6" s="3419" t="s">
        <v>2364</v>
      </c>
      <c r="F6" s="3420"/>
      <c r="G6" s="3412" t="s">
        <v>2364</v>
      </c>
      <c r="H6" s="3413"/>
      <c r="I6" s="3412" t="s">
        <v>2364</v>
      </c>
      <c r="J6" s="3413"/>
      <c r="K6" s="566" t="s">
        <v>2365</v>
      </c>
      <c r="L6" s="2933"/>
      <c r="M6" s="2934"/>
      <c r="N6" s="2934"/>
      <c r="O6" s="2934"/>
      <c r="P6" s="3403"/>
      <c r="Q6" s="3404"/>
      <c r="R6" s="3407"/>
      <c r="S6" s="3408"/>
      <c r="T6" s="3409"/>
      <c r="U6" s="3410"/>
      <c r="V6" s="3411"/>
      <c r="W6" s="3411"/>
      <c r="X6" s="1538"/>
      <c r="Y6" s="3409"/>
      <c r="Z6" s="3410"/>
      <c r="AA6" s="3394"/>
      <c r="AB6" s="3394"/>
      <c r="AC6" s="3394"/>
    </row>
    <row r="7" spans="1:29" s="113" customFormat="1" ht="15.75" thickBot="1">
      <c r="A7" s="367" t="s">
        <v>2366</v>
      </c>
      <c r="B7" s="368"/>
      <c r="C7" s="369">
        <f>'数据-取费表'!B2</f>
        <v>44259</v>
      </c>
      <c r="D7" s="370">
        <v>100</v>
      </c>
      <c r="E7" s="371">
        <v>44228</v>
      </c>
      <c r="F7" s="372">
        <f>SUMIF(48:48,YEAR(E7)&amp;"-"&amp;MONTH(E7),49:49)</f>
        <v>100</v>
      </c>
      <c r="G7" s="371">
        <v>44228</v>
      </c>
      <c r="H7" s="370">
        <f>SUMIF(48:48,YEAR(G7)&amp;"-"&amp;MONTH(G7),49:49)</f>
        <v>100</v>
      </c>
      <c r="I7" s="371">
        <v>44228</v>
      </c>
      <c r="J7" s="370">
        <f>SUMIF(48:48,YEAR(I7)&amp;"-"&amp;MONTH(I7),49:49)</f>
        <v>100</v>
      </c>
      <c r="K7" s="567"/>
      <c r="L7" s="2935"/>
      <c r="M7" s="2936"/>
      <c r="N7" s="2936"/>
      <c r="O7" s="2936"/>
      <c r="P7" s="3416" t="s">
        <v>2367</v>
      </c>
      <c r="Q7" s="3418"/>
      <c r="R7" s="709" t="s">
        <v>17</v>
      </c>
      <c r="S7" s="710">
        <f t="shared" ref="S7:S14" si="0">F7</f>
        <v>100</v>
      </c>
      <c r="T7" s="709" t="s">
        <v>17</v>
      </c>
      <c r="U7" s="710">
        <f t="shared" ref="U7:U14" si="1">H7</f>
        <v>100</v>
      </c>
      <c r="V7" s="709" t="s">
        <v>17</v>
      </c>
      <c r="W7" s="710">
        <f t="shared" ref="W7:W14" si="2">J7</f>
        <v>100</v>
      </c>
      <c r="X7" s="711"/>
      <c r="Y7" s="3416" t="s">
        <v>2367</v>
      </c>
      <c r="Z7" s="3417"/>
      <c r="AA7" s="712">
        <f>D7/F7</f>
        <v>1</v>
      </c>
      <c r="AB7" s="712">
        <f>D7/H7</f>
        <v>1</v>
      </c>
      <c r="AC7" s="712">
        <f>D7/J7</f>
        <v>1</v>
      </c>
    </row>
    <row r="8" spans="1:29" s="113" customFormat="1" ht="15.75" thickBot="1">
      <c r="A8" s="367" t="s">
        <v>2368</v>
      </c>
      <c r="B8" s="368"/>
      <c r="C8" s="373" t="s">
        <v>2470</v>
      </c>
      <c r="D8" s="370">
        <v>100</v>
      </c>
      <c r="E8" s="373" t="s">
        <v>2405</v>
      </c>
      <c r="F8" s="372">
        <f>SUMIF(51:51,E8,52:52)-SUMIF(51:51,C8,52:52)+100</f>
        <v>100</v>
      </c>
      <c r="G8" s="373" t="s">
        <v>2405</v>
      </c>
      <c r="H8" s="370">
        <f>SUMIF(51:51,G8,52:52)-SUMIF(51:51,C8,52:52)+100</f>
        <v>100</v>
      </c>
      <c r="I8" s="373" t="s">
        <v>2405</v>
      </c>
      <c r="J8" s="370">
        <f>SUMIF(51:51,I8,52:52)-SUMIF(51:51,C8,52:52)+100</f>
        <v>100</v>
      </c>
      <c r="K8" s="567"/>
      <c r="L8" s="2935"/>
      <c r="M8" s="2936"/>
      <c r="N8" s="2936"/>
      <c r="O8" s="2936"/>
      <c r="P8" s="3416" t="s">
        <v>2370</v>
      </c>
      <c r="Q8" s="3417"/>
      <c r="R8" s="709" t="s">
        <v>17</v>
      </c>
      <c r="S8" s="710">
        <f t="shared" si="0"/>
        <v>100</v>
      </c>
      <c r="T8" s="709" t="s">
        <v>17</v>
      </c>
      <c r="U8" s="710">
        <f t="shared" si="1"/>
        <v>100</v>
      </c>
      <c r="V8" s="709" t="s">
        <v>17</v>
      </c>
      <c r="W8" s="710">
        <f t="shared" si="2"/>
        <v>100</v>
      </c>
      <c r="X8" s="711"/>
      <c r="Y8" s="3416" t="s">
        <v>2370</v>
      </c>
      <c r="Z8" s="3417"/>
      <c r="AA8" s="712">
        <f t="shared" ref="AA8:AA36" si="3">D8/F8</f>
        <v>1</v>
      </c>
      <c r="AB8" s="712">
        <f t="shared" ref="AB8:AB36" si="4">D8/H8</f>
        <v>1</v>
      </c>
      <c r="AC8" s="712">
        <f t="shared" ref="AC8:AC36" si="5">D8/J8</f>
        <v>1</v>
      </c>
    </row>
    <row r="9" spans="1:29" s="113" customFormat="1">
      <c r="A9" s="64" t="s">
        <v>2371</v>
      </c>
      <c r="B9" s="595" t="s">
        <v>2372</v>
      </c>
      <c r="C9" s="3144" t="s">
        <v>3307</v>
      </c>
      <c r="D9" s="130">
        <v>100</v>
      </c>
      <c r="E9" s="378" t="s">
        <v>3306</v>
      </c>
      <c r="F9" s="130">
        <f>SUMIF(53:53,E9,54:54)-SUMIF(53:53,C9,54:54)+100</f>
        <v>100</v>
      </c>
      <c r="G9" s="376" t="s">
        <v>3306</v>
      </c>
      <c r="H9" s="130">
        <f>SUMIF(53:53,G9,54:54)-SUMIF(53:53,C9,54:54)+100</f>
        <v>100</v>
      </c>
      <c r="I9" s="376" t="s">
        <v>3306</v>
      </c>
      <c r="J9" s="130">
        <f>SUMIF(53:53,I9,54:54)-SUMIF(53:53,C9,54:54)+100</f>
        <v>100</v>
      </c>
      <c r="K9" s="567"/>
      <c r="L9" s="2935"/>
      <c r="M9" s="2936"/>
      <c r="N9" s="2936"/>
      <c r="O9" s="2936"/>
      <c r="P9" s="3380" t="s">
        <v>2373</v>
      </c>
      <c r="Q9" s="1526" t="str">
        <f t="shared" ref="Q9:Q14" si="6">B9</f>
        <v>用途</v>
      </c>
      <c r="R9" s="709" t="s">
        <v>17</v>
      </c>
      <c r="S9" s="710">
        <f t="shared" si="0"/>
        <v>100</v>
      </c>
      <c r="T9" s="709" t="s">
        <v>17</v>
      </c>
      <c r="U9" s="710">
        <f t="shared" si="1"/>
        <v>100</v>
      </c>
      <c r="V9" s="709" t="s">
        <v>17</v>
      </c>
      <c r="W9" s="710">
        <f t="shared" si="2"/>
        <v>100</v>
      </c>
      <c r="X9" s="711"/>
      <c r="Y9" s="3250"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7"/>
      <c r="M10" s="2938"/>
      <c r="N10" s="2938"/>
      <c r="O10" s="2938"/>
      <c r="P10" s="3380"/>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9"/>
      <c r="M11" s="2934"/>
      <c r="N11" s="2934"/>
      <c r="O11" s="2934"/>
      <c r="P11" s="3380"/>
      <c r="Q11" s="1526">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5"/>
      <c r="M12" s="2936"/>
      <c r="N12" s="2936"/>
      <c r="O12" s="2936"/>
      <c r="P12" s="3380"/>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0"/>
      <c r="M13" s="2934"/>
      <c r="N13" s="2934"/>
      <c r="O13" s="2934"/>
      <c r="P13" s="3380"/>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60" t="s">
        <v>2377</v>
      </c>
      <c r="B14" s="584" t="s">
        <v>2527</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0"/>
      <c r="M14" s="2934"/>
      <c r="N14" s="2934"/>
      <c r="O14" s="2934"/>
      <c r="P14" s="3382" t="s">
        <v>2378</v>
      </c>
      <c r="Q14" s="1535" t="str">
        <f t="shared" si="6"/>
        <v>交通便捷度</v>
      </c>
      <c r="R14" s="713" t="s">
        <v>17</v>
      </c>
      <c r="S14" s="714">
        <f t="shared" si="0"/>
        <v>100</v>
      </c>
      <c r="T14" s="713" t="s">
        <v>17</v>
      </c>
      <c r="U14" s="714">
        <f t="shared" si="1"/>
        <v>100</v>
      </c>
      <c r="V14" s="713" t="s">
        <v>17</v>
      </c>
      <c r="W14" s="714">
        <f t="shared" si="2"/>
        <v>100</v>
      </c>
      <c r="X14" s="1538"/>
      <c r="Y14" s="3382"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0"/>
      <c r="M15" s="2934"/>
      <c r="N15" s="2934"/>
      <c r="O15" s="2934"/>
      <c r="P15" s="3383"/>
      <c r="Q15" s="1535"/>
      <c r="R15" s="713"/>
      <c r="S15" s="714"/>
      <c r="T15" s="713"/>
      <c r="U15" s="714"/>
      <c r="V15" s="713"/>
      <c r="W15" s="714"/>
      <c r="X15" s="1538"/>
      <c r="Y15" s="3383"/>
      <c r="Z15" s="1539"/>
      <c r="AA15" s="1536">
        <v>1</v>
      </c>
      <c r="AB15" s="1536">
        <v>1</v>
      </c>
      <c r="AC15" s="1536">
        <v>1</v>
      </c>
    </row>
    <row r="16" spans="1:29" ht="42.75">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0"/>
      <c r="M16" s="2934"/>
      <c r="N16" s="2934"/>
      <c r="O16" s="2934"/>
      <c r="P16" s="3383"/>
      <c r="Q16" s="1535" t="str">
        <f>B16</f>
        <v>公共配套设施</v>
      </c>
      <c r="R16" s="713" t="s">
        <v>17</v>
      </c>
      <c r="S16" s="714">
        <f>F16</f>
        <v>100</v>
      </c>
      <c r="T16" s="713" t="s">
        <v>17</v>
      </c>
      <c r="U16" s="714">
        <f>H16</f>
        <v>100</v>
      </c>
      <c r="V16" s="713" t="s">
        <v>17</v>
      </c>
      <c r="W16" s="714">
        <f>J16</f>
        <v>100</v>
      </c>
      <c r="X16" s="1538"/>
      <c r="Y16" s="3383"/>
      <c r="Z16" s="1539" t="str">
        <f>Q16</f>
        <v>公共配套设施</v>
      </c>
      <c r="AA16" s="1536">
        <f t="shared" si="3"/>
        <v>1</v>
      </c>
      <c r="AB16" s="1536">
        <f t="shared" si="4"/>
        <v>1</v>
      </c>
      <c r="AC16" s="1536">
        <f t="shared" si="5"/>
        <v>1</v>
      </c>
    </row>
    <row r="17" spans="1:29" ht="15">
      <c r="A17" s="363"/>
      <c r="B17" s="587"/>
      <c r="C17" s="2083"/>
      <c r="D17" s="406"/>
      <c r="E17" s="405"/>
      <c r="F17" s="407"/>
      <c r="G17" s="405"/>
      <c r="H17" s="406"/>
      <c r="I17" s="405"/>
      <c r="J17" s="406"/>
      <c r="K17" s="571"/>
      <c r="L17" s="2940"/>
      <c r="M17" s="2934"/>
      <c r="N17" s="2934"/>
      <c r="O17" s="2934"/>
      <c r="P17" s="3383"/>
      <c r="Q17" s="1535"/>
      <c r="R17" s="713"/>
      <c r="S17" s="714"/>
      <c r="T17" s="713"/>
      <c r="U17" s="714"/>
      <c r="V17" s="713"/>
      <c r="W17" s="714"/>
      <c r="X17" s="1538"/>
      <c r="Y17" s="3383"/>
      <c r="Z17" s="1539"/>
      <c r="AA17" s="1536">
        <v>1</v>
      </c>
      <c r="AB17" s="1536">
        <v>1</v>
      </c>
      <c r="AC17" s="1536">
        <v>1</v>
      </c>
    </row>
    <row r="18" spans="1:29" ht="28.5">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0"/>
      <c r="M18" s="2934"/>
      <c r="N18" s="2934"/>
      <c r="O18" s="2934"/>
      <c r="P18" s="3383"/>
      <c r="Q18" s="1535" t="str">
        <f>B18</f>
        <v>基础设施水平</v>
      </c>
      <c r="R18" s="713" t="s">
        <v>17</v>
      </c>
      <c r="S18" s="714">
        <f>F18</f>
        <v>100</v>
      </c>
      <c r="T18" s="713" t="s">
        <v>17</v>
      </c>
      <c r="U18" s="714">
        <f>H18</f>
        <v>100</v>
      </c>
      <c r="V18" s="713" t="s">
        <v>17</v>
      </c>
      <c r="W18" s="714">
        <f>J18</f>
        <v>100</v>
      </c>
      <c r="X18" s="1538"/>
      <c r="Y18" s="3383"/>
      <c r="Z18" s="1539" t="str">
        <f>Q18</f>
        <v>基础设施水平</v>
      </c>
      <c r="AA18" s="1536">
        <f t="shared" ref="AA18" si="8">D18/F18</f>
        <v>1</v>
      </c>
      <c r="AB18" s="1536">
        <f t="shared" ref="AB18" si="9">D18/H18</f>
        <v>1</v>
      </c>
      <c r="AC18" s="1536">
        <f t="shared" ref="AC18" si="10">D18/J18</f>
        <v>1</v>
      </c>
    </row>
    <row r="19" spans="1:29" ht="15">
      <c r="A19" s="363"/>
      <c r="B19" s="588"/>
      <c r="C19" s="2083"/>
      <c r="D19" s="408"/>
      <c r="E19" s="2083"/>
      <c r="F19" s="411"/>
      <c r="G19" s="2083"/>
      <c r="H19" s="406"/>
      <c r="I19" s="405"/>
      <c r="J19" s="406"/>
      <c r="K19" s="1290"/>
      <c r="L19" s="2940"/>
      <c r="M19" s="2934"/>
      <c r="N19" s="2934"/>
      <c r="O19" s="2934"/>
      <c r="P19" s="3383"/>
      <c r="Q19" s="1535"/>
      <c r="R19" s="713"/>
      <c r="S19" s="714"/>
      <c r="T19" s="713"/>
      <c r="U19" s="714"/>
      <c r="V19" s="713"/>
      <c r="W19" s="714"/>
      <c r="X19" s="1538"/>
      <c r="Y19" s="3383"/>
      <c r="Z19" s="1539"/>
      <c r="AA19" s="1536">
        <v>1</v>
      </c>
      <c r="AB19" s="1536">
        <v>1</v>
      </c>
      <c r="AC19" s="1536">
        <v>1</v>
      </c>
    </row>
    <row r="20" spans="1:29" ht="57">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0"/>
      <c r="M20" s="2934"/>
      <c r="N20" s="2934"/>
      <c r="O20" s="2934"/>
      <c r="P20" s="3383"/>
      <c r="Q20" s="1535" t="str">
        <f>B20</f>
        <v>自然及人文环境</v>
      </c>
      <c r="R20" s="713" t="s">
        <v>17</v>
      </c>
      <c r="S20" s="714">
        <f>F20</f>
        <v>100</v>
      </c>
      <c r="T20" s="713" t="s">
        <v>17</v>
      </c>
      <c r="U20" s="714">
        <f>H20</f>
        <v>100</v>
      </c>
      <c r="V20" s="713" t="s">
        <v>17</v>
      </c>
      <c r="W20" s="714">
        <f>J20</f>
        <v>100</v>
      </c>
      <c r="X20" s="1538"/>
      <c r="Y20" s="3383"/>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0"/>
      <c r="M21" s="2934"/>
      <c r="N21" s="2934"/>
      <c r="O21" s="2934"/>
      <c r="P21" s="3383"/>
      <c r="Q21" s="1535"/>
      <c r="R21" s="713"/>
      <c r="S21" s="714"/>
      <c r="T21" s="713"/>
      <c r="U21" s="714"/>
      <c r="V21" s="713"/>
      <c r="W21" s="714"/>
      <c r="X21" s="1538"/>
      <c r="Y21" s="3383"/>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0"/>
      <c r="M22" s="2934"/>
      <c r="N22" s="2934"/>
      <c r="O22" s="2934"/>
      <c r="P22" s="3383"/>
      <c r="Q22" s="1535" t="str">
        <f>B22</f>
        <v>楼层</v>
      </c>
      <c r="R22" s="713" t="s">
        <v>17</v>
      </c>
      <c r="S22" s="714">
        <f>F22</f>
        <v>100</v>
      </c>
      <c r="T22" s="713" t="s">
        <v>17</v>
      </c>
      <c r="U22" s="714">
        <f>H22</f>
        <v>100</v>
      </c>
      <c r="V22" s="713" t="s">
        <v>17</v>
      </c>
      <c r="W22" s="714">
        <f>J22</f>
        <v>100</v>
      </c>
      <c r="X22" s="1538"/>
      <c r="Y22" s="3383"/>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0"/>
      <c r="M23" s="2934"/>
      <c r="N23" s="2934"/>
      <c r="O23" s="2934"/>
      <c r="P23" s="3383"/>
      <c r="Q23" s="1535">
        <f>B23</f>
        <v>111</v>
      </c>
      <c r="R23" s="713" t="s">
        <v>17</v>
      </c>
      <c r="S23" s="714">
        <f>F23</f>
        <v>100</v>
      </c>
      <c r="T23" s="713" t="s">
        <v>17</v>
      </c>
      <c r="U23" s="714">
        <f>H23</f>
        <v>100</v>
      </c>
      <c r="V23" s="713" t="s">
        <v>17</v>
      </c>
      <c r="W23" s="714">
        <f>J23</f>
        <v>100</v>
      </c>
      <c r="X23" s="1538"/>
      <c r="Y23" s="3383"/>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0"/>
      <c r="M24" s="2934"/>
      <c r="N24" s="2934"/>
      <c r="O24" s="2934"/>
      <c r="P24" s="3383"/>
      <c r="Q24" s="1535">
        <f t="shared" ref="Q24:Q36" si="11">B24</f>
        <v>111</v>
      </c>
      <c r="R24" s="713" t="s">
        <v>17</v>
      </c>
      <c r="S24" s="714">
        <f>F24</f>
        <v>100</v>
      </c>
      <c r="T24" s="713" t="s">
        <v>17</v>
      </c>
      <c r="U24" s="714">
        <f>H24</f>
        <v>100</v>
      </c>
      <c r="V24" s="713" t="s">
        <v>17</v>
      </c>
      <c r="W24" s="714">
        <f>J24</f>
        <v>100</v>
      </c>
      <c r="X24" s="1538"/>
      <c r="Y24" s="3383"/>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5"/>
      <c r="M25" s="2936"/>
      <c r="N25" s="2936"/>
      <c r="O25" s="2936"/>
      <c r="P25" s="3383"/>
      <c r="Q25" s="1526">
        <f t="shared" si="11"/>
        <v>111</v>
      </c>
      <c r="R25" s="709" t="s">
        <v>17</v>
      </c>
      <c r="S25" s="710">
        <f>F25</f>
        <v>100</v>
      </c>
      <c r="T25" s="709" t="s">
        <v>17</v>
      </c>
      <c r="U25" s="710">
        <f>H25</f>
        <v>100</v>
      </c>
      <c r="V25" s="709" t="s">
        <v>17</v>
      </c>
      <c r="W25" s="710">
        <f>J25</f>
        <v>100</v>
      </c>
      <c r="X25" s="711"/>
      <c r="Y25" s="3383"/>
      <c r="Z25" s="55">
        <f>Q25</f>
        <v>111</v>
      </c>
      <c r="AA25" s="1536">
        <f>D25/F25</f>
        <v>1</v>
      </c>
      <c r="AB25" s="1536">
        <f>D25/H25</f>
        <v>1</v>
      </c>
      <c r="AC25" s="1536">
        <f>D25/J25</f>
        <v>1</v>
      </c>
    </row>
    <row r="26" spans="1:29" ht="28.5">
      <c r="A26" s="607" t="s">
        <v>2381</v>
      </c>
      <c r="B26" s="66" t="s">
        <v>2530</v>
      </c>
      <c r="C26" s="2152" t="str">
        <f>B1</f>
        <v>车库</v>
      </c>
      <c r="D26" s="406">
        <v>100</v>
      </c>
      <c r="E26" s="405" t="s">
        <v>3108</v>
      </c>
      <c r="F26" s="407">
        <f>SUMIF(79:79,E26,80:80)-SUMIF(79:79,C26,80:80)+100</f>
        <v>100</v>
      </c>
      <c r="G26" s="405" t="s">
        <v>3108</v>
      </c>
      <c r="H26" s="406">
        <f>SUMIF(79:79,G26,80:80)-SUMIF(79:79,C26,80:80)+100</f>
        <v>100</v>
      </c>
      <c r="I26" s="405" t="s">
        <v>3108</v>
      </c>
      <c r="J26" s="406">
        <f>SUMIF(79:79,I26,80:80)-SUMIF(79:79,C26,80:80)+100</f>
        <v>100</v>
      </c>
      <c r="K26" s="568"/>
      <c r="L26" s="2940"/>
      <c r="M26" s="2934"/>
      <c r="N26" s="2934"/>
      <c r="O26" s="2934"/>
      <c r="P26" s="344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87"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39"/>
      <c r="M27" s="2941"/>
      <c r="N27" s="2941"/>
      <c r="O27" s="2941"/>
      <c r="P27" s="3387"/>
      <c r="Q27" s="715" t="str">
        <f t="shared" si="11"/>
        <v>项目停车位配比</v>
      </c>
      <c r="R27" s="716" t="s">
        <v>17</v>
      </c>
      <c r="S27" s="717">
        <f t="shared" si="12"/>
        <v>100</v>
      </c>
      <c r="T27" s="716" t="s">
        <v>17</v>
      </c>
      <c r="U27" s="717">
        <f t="shared" si="13"/>
        <v>100</v>
      </c>
      <c r="V27" s="716" t="s">
        <v>17</v>
      </c>
      <c r="W27" s="717">
        <f t="shared" si="14"/>
        <v>100</v>
      </c>
      <c r="X27" s="718"/>
      <c r="Y27" s="3387"/>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0"/>
      <c r="M28" s="2934"/>
      <c r="N28" s="2934"/>
      <c r="O28" s="2934"/>
      <c r="P28" s="3387"/>
      <c r="Q28" s="1535" t="str">
        <f t="shared" si="11"/>
        <v>公共部分装修</v>
      </c>
      <c r="R28" s="713" t="s">
        <v>17</v>
      </c>
      <c r="S28" s="714">
        <f t="shared" si="12"/>
        <v>100</v>
      </c>
      <c r="T28" s="713" t="s">
        <v>17</v>
      </c>
      <c r="U28" s="714">
        <f t="shared" si="13"/>
        <v>100</v>
      </c>
      <c r="V28" s="713" t="s">
        <v>17</v>
      </c>
      <c r="W28" s="714">
        <f t="shared" si="14"/>
        <v>100</v>
      </c>
      <c r="X28" s="1538"/>
      <c r="Y28" s="3387"/>
      <c r="Z28" s="1539" t="str">
        <f t="shared" si="15"/>
        <v>公共部分装修</v>
      </c>
      <c r="AA28" s="1536">
        <f t="shared" si="3"/>
        <v>1</v>
      </c>
      <c r="AB28" s="1536">
        <f t="shared" si="4"/>
        <v>1</v>
      </c>
      <c r="AC28" s="1536">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0"/>
      <c r="M29" s="2934"/>
      <c r="N29" s="2934"/>
      <c r="O29" s="2934"/>
      <c r="P29" s="3387"/>
      <c r="Q29" s="1535" t="str">
        <f t="shared" si="11"/>
        <v>成新率</v>
      </c>
      <c r="R29" s="713" t="s">
        <v>17</v>
      </c>
      <c r="S29" s="714">
        <f t="shared" si="12"/>
        <v>100</v>
      </c>
      <c r="T29" s="713" t="s">
        <v>17</v>
      </c>
      <c r="U29" s="714">
        <f t="shared" si="13"/>
        <v>100</v>
      </c>
      <c r="V29" s="713" t="s">
        <v>17</v>
      </c>
      <c r="W29" s="714">
        <f t="shared" si="14"/>
        <v>100</v>
      </c>
      <c r="X29" s="1538"/>
      <c r="Y29" s="3387"/>
      <c r="Z29" s="1539" t="str">
        <f t="shared" si="15"/>
        <v>成新率</v>
      </c>
      <c r="AA29" s="1536">
        <f t="shared" si="3"/>
        <v>1</v>
      </c>
      <c r="AB29" s="1536">
        <f t="shared" si="4"/>
        <v>1</v>
      </c>
      <c r="AC29" s="1536">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0"/>
      <c r="M30" s="2934"/>
      <c r="N30" s="2934"/>
      <c r="O30" s="2934"/>
      <c r="P30" s="3387"/>
      <c r="Q30" s="1535" t="str">
        <f t="shared" si="11"/>
        <v>物业等级</v>
      </c>
      <c r="R30" s="713" t="s">
        <v>17</v>
      </c>
      <c r="S30" s="714">
        <f t="shared" si="12"/>
        <v>100</v>
      </c>
      <c r="T30" s="713" t="s">
        <v>17</v>
      </c>
      <c r="U30" s="714">
        <f t="shared" si="13"/>
        <v>100</v>
      </c>
      <c r="V30" s="713" t="s">
        <v>17</v>
      </c>
      <c r="W30" s="714">
        <f t="shared" si="14"/>
        <v>100</v>
      </c>
      <c r="X30" s="1538"/>
      <c r="Y30" s="3387"/>
      <c r="Z30" s="1539" t="str">
        <f t="shared" si="15"/>
        <v>物业等级</v>
      </c>
      <c r="AA30" s="1536">
        <f t="shared" si="3"/>
        <v>1</v>
      </c>
      <c r="AB30" s="1536">
        <f t="shared" si="4"/>
        <v>1</v>
      </c>
      <c r="AC30" s="1536">
        <f t="shared" si="5"/>
        <v>1</v>
      </c>
    </row>
    <row r="31" spans="1:29" s="113" customFormat="1" ht="15">
      <c r="A31" s="613"/>
      <c r="B31" s="609" t="s">
        <v>2535</v>
      </c>
      <c r="C31" s="427">
        <v>30</v>
      </c>
      <c r="D31" s="131">
        <v>100</v>
      </c>
      <c r="E31" s="427">
        <v>30</v>
      </c>
      <c r="F31" s="419">
        <f>LOOKUP(E31,91:91,92:92)-LOOKUP(C31,91:91,92:92)+100</f>
        <v>100</v>
      </c>
      <c r="G31" s="427">
        <v>30</v>
      </c>
      <c r="H31" s="393">
        <f>LOOKUP(G31,91:91,92:92)-LOOKUP(C31,91:91,92:92)+100</f>
        <v>100</v>
      </c>
      <c r="I31" s="427">
        <v>30</v>
      </c>
      <c r="J31" s="393">
        <f>LOOKUP(I31,91:91,92:92)-LOOKUP(C31,91:91,92:92)+100</f>
        <v>100</v>
      </c>
      <c r="K31" s="568">
        <v>2</v>
      </c>
      <c r="L31" s="2935"/>
      <c r="M31" s="2936"/>
      <c r="N31" s="2936"/>
      <c r="O31" s="2936"/>
      <c r="P31" s="3387"/>
      <c r="Q31" s="1526" t="str">
        <f t="shared" si="11"/>
        <v>停车位面积</v>
      </c>
      <c r="R31" s="709" t="s">
        <v>17</v>
      </c>
      <c r="S31" s="710">
        <f t="shared" si="12"/>
        <v>100</v>
      </c>
      <c r="T31" s="709" t="s">
        <v>17</v>
      </c>
      <c r="U31" s="710">
        <f t="shared" si="13"/>
        <v>100</v>
      </c>
      <c r="V31" s="709" t="s">
        <v>17</v>
      </c>
      <c r="W31" s="710">
        <f t="shared" si="14"/>
        <v>100</v>
      </c>
      <c r="X31" s="711"/>
      <c r="Y31" s="3387"/>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0"/>
      <c r="M32" s="2934"/>
      <c r="N32" s="2934"/>
      <c r="O32" s="2934"/>
      <c r="P32" s="3387" t="s">
        <v>2383</v>
      </c>
      <c r="Q32" s="1535" t="str">
        <f t="shared" si="11"/>
        <v>车位类型</v>
      </c>
      <c r="R32" s="713" t="s">
        <v>17</v>
      </c>
      <c r="S32" s="714">
        <f t="shared" si="12"/>
        <v>100</v>
      </c>
      <c r="T32" s="713" t="s">
        <v>17</v>
      </c>
      <c r="U32" s="714">
        <f t="shared" si="13"/>
        <v>100</v>
      </c>
      <c r="V32" s="713" t="s">
        <v>17</v>
      </c>
      <c r="W32" s="714">
        <f t="shared" si="14"/>
        <v>100</v>
      </c>
      <c r="X32" s="1538"/>
      <c r="Y32" s="3387"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0"/>
      <c r="M33" s="2934"/>
      <c r="N33" s="2934"/>
      <c r="O33" s="2934"/>
      <c r="P33" s="3387"/>
      <c r="Q33" s="1535" t="str">
        <f t="shared" si="11"/>
        <v>是否直接入户</v>
      </c>
      <c r="R33" s="713" t="s">
        <v>17</v>
      </c>
      <c r="S33" s="714">
        <f t="shared" si="12"/>
        <v>100</v>
      </c>
      <c r="T33" s="713" t="s">
        <v>17</v>
      </c>
      <c r="U33" s="714">
        <f t="shared" si="13"/>
        <v>100</v>
      </c>
      <c r="V33" s="713" t="s">
        <v>17</v>
      </c>
      <c r="W33" s="714">
        <f t="shared" si="14"/>
        <v>100</v>
      </c>
      <c r="X33" s="1538"/>
      <c r="Y33" s="3387"/>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0"/>
      <c r="M34" s="2934"/>
      <c r="N34" s="2934"/>
      <c r="O34" s="2934"/>
      <c r="P34" s="3387"/>
      <c r="Q34" s="1535">
        <f t="shared" si="11"/>
        <v>111</v>
      </c>
      <c r="R34" s="713" t="s">
        <v>17</v>
      </c>
      <c r="S34" s="714">
        <f t="shared" si="12"/>
        <v>100</v>
      </c>
      <c r="T34" s="713" t="s">
        <v>17</v>
      </c>
      <c r="U34" s="714">
        <f t="shared" si="13"/>
        <v>100</v>
      </c>
      <c r="V34" s="713" t="s">
        <v>17</v>
      </c>
      <c r="W34" s="714">
        <f t="shared" si="14"/>
        <v>100</v>
      </c>
      <c r="X34" s="1538"/>
      <c r="Y34" s="3387"/>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9"/>
      <c r="M35" s="2941"/>
      <c r="N35" s="2941"/>
      <c r="O35" s="2941"/>
      <c r="P35" s="3387"/>
      <c r="Q35" s="715">
        <f t="shared" si="11"/>
        <v>111</v>
      </c>
      <c r="R35" s="716" t="s">
        <v>17</v>
      </c>
      <c r="S35" s="717">
        <f t="shared" si="12"/>
        <v>100</v>
      </c>
      <c r="T35" s="716" t="s">
        <v>17</v>
      </c>
      <c r="U35" s="717">
        <f t="shared" si="13"/>
        <v>100</v>
      </c>
      <c r="V35" s="716" t="s">
        <v>17</v>
      </c>
      <c r="W35" s="717">
        <f t="shared" si="14"/>
        <v>100</v>
      </c>
      <c r="X35" s="718"/>
      <c r="Y35" s="3387"/>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0"/>
      <c r="M36" s="2934"/>
      <c r="N36" s="2934"/>
      <c r="O36" s="2934"/>
      <c r="P36" s="3387"/>
      <c r="Q36" s="1535">
        <f t="shared" si="11"/>
        <v>111</v>
      </c>
      <c r="R36" s="713" t="s">
        <v>17</v>
      </c>
      <c r="S36" s="714">
        <f t="shared" si="12"/>
        <v>100</v>
      </c>
      <c r="T36" s="713" t="s">
        <v>17</v>
      </c>
      <c r="U36" s="714">
        <f t="shared" si="13"/>
        <v>100</v>
      </c>
      <c r="V36" s="713" t="s">
        <v>17</v>
      </c>
      <c r="W36" s="714">
        <f t="shared" si="14"/>
        <v>100</v>
      </c>
      <c r="X36" s="1538"/>
      <c r="Y36" s="3387"/>
      <c r="Z36" s="1539">
        <f t="shared" si="15"/>
        <v>111</v>
      </c>
      <c r="AA36" s="1536">
        <f t="shared" si="3"/>
        <v>1</v>
      </c>
      <c r="AB36" s="1536">
        <f t="shared" si="4"/>
        <v>1</v>
      </c>
      <c r="AC36" s="1536">
        <f t="shared" si="5"/>
        <v>1</v>
      </c>
    </row>
    <row r="37" spans="1:29" ht="15">
      <c r="A37" s="437" t="s">
        <v>2538</v>
      </c>
      <c r="B37" s="2153" t="s">
        <v>2539</v>
      </c>
      <c r="C37" s="1314" t="s">
        <v>1</v>
      </c>
      <c r="D37" s="1315"/>
      <c r="E37" s="1316">
        <v>110000</v>
      </c>
      <c r="F37" s="1317"/>
      <c r="G37" s="1318">
        <v>100000</v>
      </c>
      <c r="H37" s="1319"/>
      <c r="I37" s="1316">
        <v>120000</v>
      </c>
      <c r="J37" s="1319"/>
      <c r="K37" s="575"/>
      <c r="L37" s="2942"/>
      <c r="M37" s="2943"/>
      <c r="N37" s="2934"/>
      <c r="O37" s="2943"/>
      <c r="P37" s="3380" t="str">
        <f>A37</f>
        <v>成交单价</v>
      </c>
      <c r="Q37" s="3380"/>
      <c r="R37" s="3381">
        <f>E37</f>
        <v>110000</v>
      </c>
      <c r="S37" s="3381"/>
      <c r="T37" s="3381">
        <f>G37</f>
        <v>100000</v>
      </c>
      <c r="U37" s="3381"/>
      <c r="V37" s="3381">
        <f>I37</f>
        <v>120000</v>
      </c>
      <c r="W37" s="3381"/>
      <c r="X37" s="698"/>
      <c r="Y37" s="720"/>
      <c r="Z37" s="698"/>
      <c r="AA37" s="698"/>
      <c r="AB37" s="698"/>
      <c r="AC37" s="698"/>
    </row>
    <row r="38" spans="1:29" ht="15.75" thickBot="1">
      <c r="A38" s="444" t="s">
        <v>2540</v>
      </c>
      <c r="B38" s="445" t="str">
        <f>B37</f>
        <v>元/车位</v>
      </c>
      <c r="C38" s="1320">
        <f>R39</f>
        <v>110000</v>
      </c>
      <c r="D38" s="2532" t="s">
        <v>2877</v>
      </c>
      <c r="E38" s="1321">
        <f>R38</f>
        <v>110000</v>
      </c>
      <c r="F38" s="2533"/>
      <c r="G38" s="1320">
        <f>T38</f>
        <v>100000</v>
      </c>
      <c r="H38" s="2533"/>
      <c r="I38" s="1321">
        <f>V38</f>
        <v>120000</v>
      </c>
      <c r="J38" s="2533"/>
      <c r="K38" s="2535">
        <f>F38+H38+J38</f>
        <v>0</v>
      </c>
      <c r="L38" s="2942"/>
      <c r="M38" s="2943"/>
      <c r="N38" s="2943"/>
      <c r="O38" s="2943"/>
      <c r="P38" s="3380" t="str">
        <f>A38</f>
        <v>比较价值（元/平方米）</v>
      </c>
      <c r="Q38" s="3380"/>
      <c r="R38" s="3381">
        <f>IF(F1="售价",ROUND(PRODUCT(R37,AA7:AA36),0),ROUND(PRODUCT(R37,AA7:AA36),1))</f>
        <v>110000</v>
      </c>
      <c r="S38" s="3381"/>
      <c r="T38" s="3381">
        <f>IF(F1="售价",ROUND(PRODUCT(T37,AB7:AB36),0),ROUND(PRODUCT(T37,AB7:AB36),1))</f>
        <v>100000</v>
      </c>
      <c r="U38" s="3381"/>
      <c r="V38" s="3381">
        <f>IF(F1="售价",ROUND(PRODUCT(V37,AC7:AC36),0),ROUND(PRODUCT(V37,AC7:AC36),1))</f>
        <v>120000</v>
      </c>
      <c r="W38" s="3381"/>
      <c r="X38" s="698"/>
      <c r="Y38" s="698"/>
      <c r="Z38" s="698"/>
      <c r="AA38" s="698"/>
      <c r="AB38" s="698"/>
      <c r="AC38" s="698"/>
    </row>
    <row r="39" spans="1:29" ht="15.75" thickBot="1">
      <c r="A39" s="448" t="s">
        <v>2541</v>
      </c>
      <c r="B39" s="449"/>
      <c r="C39" s="1323">
        <f>R39</f>
        <v>110000</v>
      </c>
      <c r="D39" s="1323"/>
      <c r="E39" s="1323"/>
      <c r="F39" s="1323"/>
      <c r="G39" s="1323"/>
      <c r="H39" s="1323"/>
      <c r="I39" s="1323"/>
      <c r="J39" s="1323"/>
      <c r="K39" s="576"/>
      <c r="L39" s="2942"/>
      <c r="M39" s="2943"/>
      <c r="N39" s="2943"/>
      <c r="O39" s="2943"/>
      <c r="P39" s="3377" t="str">
        <f>A39</f>
        <v>估价对象XX用房的比较价值（楼面单价，元/平方米）</v>
      </c>
      <c r="Q39" s="3378"/>
      <c r="R39" s="3441">
        <f>IF(F1="售价",ROUND(IF(D38="简单平均",AVERAGE(R38:W38),R38*F38+T38*H38+V38*J38),0),ROUND(IF(D38="简单平均",AVERAGE(R38:V38),R38*F38+T38*H38+V38*J38),1))</f>
        <v>110000</v>
      </c>
      <c r="S39" s="3441"/>
      <c r="T39" s="3441"/>
      <c r="U39" s="3441"/>
      <c r="V39" s="3441"/>
      <c r="W39" s="3441"/>
      <c r="X39" s="698"/>
      <c r="Y39" s="698"/>
      <c r="Z39" s="698"/>
      <c r="AA39" s="698"/>
      <c r="AB39" s="698"/>
      <c r="AC39" s="698"/>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3" t="s">
        <v>2542</v>
      </c>
      <c r="D42" s="454"/>
      <c r="E42" s="455">
        <f>IF(E37&lt;E38,E38/E37-1,E37/E38-1)</f>
        <v>0</v>
      </c>
      <c r="F42" s="456" t="str">
        <f>IF(OR(E42&gt;=0.3,E42&lt;=-0.3),"超过30%","")</f>
        <v/>
      </c>
      <c r="G42" s="455">
        <f>IF(G37&lt;G38,G38/G37-1,G37/G38-1)</f>
        <v>0</v>
      </c>
      <c r="H42" s="456" t="str">
        <f>IF(OR(G42&gt;=0.3,G42&lt;=-0.3),"超过30%","")</f>
        <v/>
      </c>
      <c r="I42" s="455">
        <f>IF(I37&lt;I38,I38/I37-1,I37/I38-1)</f>
        <v>0</v>
      </c>
      <c r="J42" s="456"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3" t="s">
        <v>2543</v>
      </c>
      <c r="D43" s="457"/>
      <c r="E43" s="455">
        <f>IF(E38&lt;G38,G38/E38-1,E38/G38-1)</f>
        <v>0.10000000000000009</v>
      </c>
      <c r="F43" s="456" t="str">
        <f>IF(OR(E43&gt;=0.2,E43&lt;=-0.2),"超过20%","")</f>
        <v/>
      </c>
      <c r="G43" s="455">
        <f>IF(G38&lt;I38,I38/G38-1,G38/I38-1)</f>
        <v>0.19999999999999996</v>
      </c>
      <c r="H43" s="456" t="str">
        <f>IF(OR(G43&gt;=0.2,G43&lt;=-0.2),"超过20%","")</f>
        <v>超过20%</v>
      </c>
      <c r="I43" s="455">
        <f>IF(I38&lt;E38,E38/I38-1,I38/E38-1)</f>
        <v>9.0909090909090828E-2</v>
      </c>
      <c r="J43" s="456"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8" customFormat="1" ht="13.5" customHeight="1">
      <c r="A44" s="2946"/>
      <c r="B44" s="2946"/>
      <c r="C44" s="453" t="s">
        <v>2544</v>
      </c>
      <c r="D44" s="457"/>
      <c r="E44" s="455">
        <f>IF(E37&lt;G37,G37/E37-1,E37/G37-1)</f>
        <v>0.10000000000000009</v>
      </c>
      <c r="F44" s="456" t="str">
        <f>IF(OR(E44&gt;=0.3,E44&lt;=-0.3),"超过30%","")</f>
        <v/>
      </c>
      <c r="G44" s="455">
        <f>IF(G37&lt;I37,I37/G37-1,G37/I37-1)</f>
        <v>0.19999999999999996</v>
      </c>
      <c r="H44" s="456" t="str">
        <f>IF(OR(G44&gt;=0.3,G44&lt;=-0.3),"超过30%","")</f>
        <v/>
      </c>
      <c r="I44" s="455">
        <f>IF(I37&lt;E37,E37/I37-1,I37/E37-1)</f>
        <v>9.0909090909090828E-2</v>
      </c>
      <c r="J44" s="456"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8"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6" t="s">
        <v>2545</v>
      </c>
      <c r="B47" s="1056"/>
      <c r="C47" s="1069"/>
      <c r="D47" s="1069"/>
      <c r="E47" s="1069"/>
      <c r="F47" s="1327"/>
      <c r="G47" s="1327"/>
      <c r="H47" s="1069"/>
      <c r="I47" s="1069"/>
      <c r="J47" s="1069"/>
      <c r="K47" s="1070"/>
      <c r="L47" s="1071"/>
      <c r="M47" s="1069"/>
      <c r="N47" s="2987"/>
      <c r="O47" s="2987"/>
      <c r="P47" s="2976"/>
      <c r="Q47" s="2957"/>
      <c r="R47" s="2943"/>
      <c r="S47" s="2943"/>
      <c r="T47" s="2943"/>
      <c r="U47" s="2943"/>
      <c r="V47" s="2943"/>
      <c r="W47" s="2943"/>
      <c r="X47" s="2943"/>
      <c r="Y47" s="2943"/>
      <c r="Z47" s="2943"/>
      <c r="AA47" s="2943"/>
      <c r="AB47" s="2943"/>
      <c r="AC47" s="2943"/>
    </row>
    <row r="48" spans="1:29" s="464" customFormat="1" ht="15">
      <c r="A48" s="461" t="s">
        <v>2546</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77"/>
      <c r="Q48" s="2959"/>
      <c r="R48" s="2959"/>
      <c r="S48" s="2959"/>
      <c r="T48" s="2959"/>
      <c r="U48" s="2959"/>
      <c r="V48" s="2959"/>
      <c r="W48" s="2959"/>
      <c r="X48" s="2959"/>
      <c r="Y48" s="2959"/>
      <c r="Z48" s="2959"/>
      <c r="AA48" s="2959"/>
      <c r="AB48" s="2959"/>
      <c r="AC48" s="2959"/>
    </row>
    <row r="49" spans="1:29" s="113" customFormat="1" ht="15">
      <c r="A49" s="465"/>
      <c r="B49" s="466"/>
      <c r="C49" s="1337">
        <v>100</v>
      </c>
      <c r="D49" s="468">
        <v>100</v>
      </c>
      <c r="E49" s="468"/>
      <c r="F49" s="468"/>
      <c r="G49" s="468"/>
      <c r="H49" s="468"/>
      <c r="I49" s="468"/>
      <c r="J49" s="468"/>
      <c r="K49" s="468"/>
      <c r="L49" s="468"/>
      <c r="M49" s="469"/>
      <c r="N49" s="468"/>
      <c r="O49" s="469"/>
      <c r="P49" s="2978"/>
      <c r="Q49" s="2878"/>
      <c r="R49" s="2878"/>
      <c r="S49" s="2878"/>
      <c r="T49" s="2878"/>
      <c r="U49" s="2878"/>
      <c r="V49" s="2878"/>
      <c r="W49" s="2878"/>
      <c r="X49" s="2878"/>
      <c r="Y49" s="2878"/>
      <c r="Z49" s="2878"/>
      <c r="AA49" s="2878"/>
      <c r="AB49" s="2878"/>
      <c r="AC49" s="2878"/>
    </row>
    <row r="50" spans="1:29" s="113" customFormat="1" ht="15.75" thickBot="1">
      <c r="A50" s="471" t="s">
        <v>2403</v>
      </c>
      <c r="B50" s="472"/>
      <c r="C50" s="473"/>
      <c r="D50" s="474"/>
      <c r="E50" s="474"/>
      <c r="F50" s="474"/>
      <c r="G50" s="474"/>
      <c r="H50" s="474"/>
      <c r="I50" s="474"/>
      <c r="J50" s="474"/>
      <c r="K50" s="474"/>
      <c r="L50" s="474"/>
      <c r="M50" s="475"/>
      <c r="N50" s="474"/>
      <c r="O50" s="475"/>
      <c r="P50" s="2978"/>
      <c r="Q50" s="2957"/>
      <c r="R50" s="2878"/>
      <c r="S50" s="2878"/>
      <c r="T50" s="2878"/>
      <c r="U50" s="2878"/>
      <c r="V50" s="2878"/>
      <c r="W50" s="2878"/>
      <c r="X50" s="2878"/>
      <c r="Y50" s="2878"/>
      <c r="Z50" s="2878"/>
      <c r="AA50" s="2878"/>
      <c r="AB50" s="2878"/>
      <c r="AC50" s="2878"/>
    </row>
    <row r="51" spans="1:29" s="113" customFormat="1" ht="15">
      <c r="A51" s="477" t="s">
        <v>2368</v>
      </c>
      <c r="B51" s="466"/>
      <c r="C51" s="478" t="s">
        <v>2470</v>
      </c>
      <c r="D51" s="479"/>
      <c r="E51" s="479"/>
      <c r="F51" s="479"/>
      <c r="G51" s="479"/>
      <c r="H51" s="479"/>
      <c r="I51" s="479"/>
      <c r="J51" s="479"/>
      <c r="K51" s="479"/>
      <c r="L51" s="480"/>
      <c r="M51" s="481"/>
      <c r="N51" s="2970"/>
      <c r="O51" s="2970"/>
      <c r="P51" s="2979"/>
      <c r="Q51" s="2957"/>
      <c r="R51" s="2878"/>
      <c r="S51" s="2878"/>
      <c r="T51" s="2878"/>
      <c r="U51" s="2878"/>
      <c r="V51" s="2878"/>
      <c r="W51" s="2878"/>
      <c r="X51" s="2878"/>
      <c r="Y51" s="2878"/>
      <c r="Z51" s="2878"/>
      <c r="AA51" s="2878"/>
      <c r="AB51" s="2878"/>
      <c r="AC51" s="2878"/>
    </row>
    <row r="52" spans="1:29" s="113" customFormat="1" ht="15.75" thickBot="1">
      <c r="A52" s="477"/>
      <c r="B52" s="466"/>
      <c r="C52" s="594">
        <v>100</v>
      </c>
      <c r="D52" s="468"/>
      <c r="E52" s="468"/>
      <c r="F52" s="468"/>
      <c r="G52" s="468"/>
      <c r="H52" s="468"/>
      <c r="I52" s="468"/>
      <c r="J52" s="468"/>
      <c r="K52" s="468"/>
      <c r="L52" s="468"/>
      <c r="M52" s="470"/>
      <c r="N52" s="2970"/>
      <c r="O52" s="2970"/>
      <c r="P52" s="2978"/>
      <c r="Q52" s="2957"/>
      <c r="R52" s="2878"/>
      <c r="S52" s="2878"/>
      <c r="T52" s="2878"/>
      <c r="U52" s="2878"/>
      <c r="V52" s="2878"/>
      <c r="W52" s="2878"/>
      <c r="X52" s="2878"/>
      <c r="Y52" s="2878"/>
      <c r="Z52" s="2878"/>
      <c r="AA52" s="2878"/>
      <c r="AB52" s="2878"/>
      <c r="AC52" s="2878"/>
    </row>
    <row r="53" spans="1:29">
      <c r="A53" s="483" t="s">
        <v>2406</v>
      </c>
      <c r="B53" s="484" t="s">
        <v>2372</v>
      </c>
      <c r="C53" s="485" t="str">
        <f>C9</f>
        <v>车位</v>
      </c>
      <c r="D53" s="486"/>
      <c r="E53" s="486"/>
      <c r="F53" s="486"/>
      <c r="G53" s="486"/>
      <c r="H53" s="486"/>
      <c r="I53" s="486"/>
      <c r="J53" s="486"/>
      <c r="K53" s="487"/>
      <c r="L53" s="488"/>
      <c r="M53" s="489"/>
      <c r="N53" s="2971"/>
      <c r="O53" s="2971"/>
      <c r="P53" s="2980"/>
      <c r="Q53" s="2957"/>
      <c r="R53" s="2943"/>
      <c r="S53" s="2943"/>
      <c r="T53" s="2943"/>
      <c r="U53" s="2943"/>
      <c r="V53" s="2943"/>
      <c r="W53" s="2943"/>
      <c r="X53" s="2943"/>
      <c r="Y53" s="2943"/>
      <c r="Z53" s="2943"/>
      <c r="AA53" s="2943"/>
      <c r="AB53" s="2943"/>
      <c r="AC53" s="2943"/>
    </row>
    <row r="54" spans="1:29" ht="15.75" thickBot="1">
      <c r="A54" s="490"/>
      <c r="B54" s="491"/>
      <c r="C54" s="492">
        <v>100</v>
      </c>
      <c r="D54" s="492"/>
      <c r="E54" s="492"/>
      <c r="F54" s="492"/>
      <c r="G54" s="492"/>
      <c r="H54" s="492"/>
      <c r="I54" s="492"/>
      <c r="J54" s="492"/>
      <c r="K54" s="492"/>
      <c r="L54" s="492"/>
      <c r="M54" s="493"/>
      <c r="N54" s="2972"/>
      <c r="O54" s="2972"/>
      <c r="P54" s="2980"/>
      <c r="Q54" s="2957"/>
      <c r="R54" s="2943"/>
      <c r="S54" s="2943"/>
      <c r="T54" s="2943"/>
      <c r="U54" s="2943"/>
      <c r="V54" s="2943"/>
      <c r="W54" s="2943"/>
      <c r="X54" s="2943"/>
      <c r="Y54" s="2943"/>
      <c r="Z54" s="2943"/>
      <c r="AA54" s="2943"/>
      <c r="AB54" s="2943"/>
      <c r="AC54" s="2943"/>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1"/>
      <c r="O55" s="2971"/>
      <c r="P55" s="2980"/>
      <c r="Q55" s="2957"/>
      <c r="R55" s="2943"/>
      <c r="S55" s="2943"/>
      <c r="T55" s="2943"/>
      <c r="U55" s="2943"/>
      <c r="V55" s="2943"/>
      <c r="W55" s="2943"/>
      <c r="X55" s="2943"/>
      <c r="Y55" s="2943"/>
      <c r="Z55" s="2943"/>
      <c r="AA55" s="2943"/>
      <c r="AB55" s="2943"/>
      <c r="AC55" s="294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2"/>
      <c r="O56" s="2972"/>
      <c r="P56" s="2980"/>
      <c r="Q56" s="2957"/>
      <c r="R56" s="2943"/>
      <c r="S56" s="2943"/>
      <c r="T56" s="2943"/>
      <c r="U56" s="2943"/>
      <c r="V56" s="2943"/>
      <c r="W56" s="2943"/>
      <c r="X56" s="2943"/>
      <c r="Y56" s="2943"/>
      <c r="Z56" s="2943"/>
      <c r="AA56" s="2943"/>
      <c r="AB56" s="2943"/>
      <c r="AC56" s="2943"/>
    </row>
    <row r="57" spans="1:29" ht="15.75" thickTop="1">
      <c r="A57" s="490"/>
      <c r="B57" s="615">
        <f>B11</f>
        <v>111</v>
      </c>
      <c r="C57" s="505"/>
      <c r="D57" s="505"/>
      <c r="E57" s="505"/>
      <c r="F57" s="505"/>
      <c r="G57" s="505"/>
      <c r="H57" s="505"/>
      <c r="I57" s="505"/>
      <c r="J57" s="505"/>
      <c r="K57" s="506"/>
      <c r="L57" s="507"/>
      <c r="M57" s="508"/>
      <c r="N57" s="2971"/>
      <c r="O57" s="2971"/>
      <c r="P57" s="2980"/>
      <c r="Q57" s="2957"/>
      <c r="R57" s="2943"/>
      <c r="S57" s="2943"/>
      <c r="T57" s="2943"/>
      <c r="U57" s="2943"/>
      <c r="V57" s="2943"/>
      <c r="W57" s="2943"/>
      <c r="X57" s="2943"/>
      <c r="Y57" s="2943"/>
      <c r="Z57" s="2943"/>
      <c r="AA57" s="2943"/>
      <c r="AB57" s="2943"/>
      <c r="AC57" s="2943"/>
    </row>
    <row r="58" spans="1:29" ht="15.75" thickBot="1">
      <c r="A58" s="490"/>
      <c r="B58" s="491"/>
      <c r="C58" s="516"/>
      <c r="D58" s="492"/>
      <c r="E58" s="492"/>
      <c r="F58" s="492"/>
      <c r="G58" s="492"/>
      <c r="H58" s="492"/>
      <c r="I58" s="492"/>
      <c r="J58" s="492"/>
      <c r="K58" s="492"/>
      <c r="L58" s="492"/>
      <c r="M58" s="493"/>
      <c r="N58" s="2972"/>
      <c r="O58" s="2972"/>
      <c r="P58" s="2980"/>
      <c r="Q58" s="2957"/>
      <c r="R58" s="2943"/>
      <c r="S58" s="2943"/>
      <c r="T58" s="2943"/>
      <c r="U58" s="2943"/>
      <c r="V58" s="2943"/>
      <c r="W58" s="2943"/>
      <c r="X58" s="2943"/>
      <c r="Y58" s="2943"/>
      <c r="Z58" s="2943"/>
      <c r="AA58" s="2943"/>
      <c r="AB58" s="2943"/>
      <c r="AC58" s="2943"/>
    </row>
    <row r="59" spans="1:29" s="429" customFormat="1" ht="15.75"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5.75"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5.75"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5.75"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1"/>
      <c r="O63" s="2971"/>
      <c r="P63" s="2984"/>
      <c r="Q63" s="2957"/>
      <c r="R63" s="2943"/>
      <c r="S63" s="2943"/>
      <c r="T63" s="2943"/>
      <c r="U63" s="2943"/>
      <c r="V63" s="2943"/>
      <c r="W63" s="2943"/>
      <c r="X63" s="2943"/>
      <c r="Y63" s="2943"/>
      <c r="Z63" s="2943"/>
      <c r="AA63" s="2943"/>
      <c r="AB63" s="2943"/>
      <c r="AC63" s="294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2"/>
      <c r="O64" s="2972"/>
      <c r="P64" s="2980"/>
      <c r="Q64" s="2957"/>
      <c r="R64" s="2943"/>
      <c r="S64" s="2943"/>
      <c r="T64" s="2943"/>
      <c r="U64" s="2943"/>
      <c r="V64" s="2943"/>
      <c r="W64" s="2943"/>
      <c r="X64" s="2943"/>
      <c r="Y64" s="2943"/>
      <c r="Z64" s="2943"/>
      <c r="AA64" s="2943"/>
      <c r="AB64" s="2943"/>
      <c r="AC64" s="2943"/>
    </row>
    <row r="65" spans="1:29" ht="15.75" thickTop="1">
      <c r="A65" s="490"/>
      <c r="B65" s="494" t="s">
        <v>2421</v>
      </c>
      <c r="C65" s="534" t="s">
        <v>2415</v>
      </c>
      <c r="D65" s="534" t="s">
        <v>2416</v>
      </c>
      <c r="E65" s="534" t="s">
        <v>2417</v>
      </c>
      <c r="F65" s="534" t="s">
        <v>2418</v>
      </c>
      <c r="G65" s="534" t="s">
        <v>2419</v>
      </c>
      <c r="H65" s="495"/>
      <c r="I65" s="495"/>
      <c r="J65" s="495"/>
      <c r="K65" s="496"/>
      <c r="L65" s="497"/>
      <c r="M65" s="498"/>
      <c r="N65" s="2971"/>
      <c r="O65" s="2971"/>
      <c r="P65" s="2980"/>
      <c r="Q65" s="2957"/>
      <c r="R65" s="2943"/>
      <c r="S65" s="2943"/>
      <c r="T65" s="2943"/>
      <c r="U65" s="2943"/>
      <c r="V65" s="2943"/>
      <c r="W65" s="2943"/>
      <c r="X65" s="2943"/>
      <c r="Y65" s="2943"/>
      <c r="Z65" s="2943"/>
      <c r="AA65" s="2943"/>
      <c r="AB65" s="2943"/>
      <c r="AC65" s="294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2"/>
      <c r="O66" s="2972"/>
      <c r="P66" s="2980"/>
      <c r="Q66" s="2957"/>
      <c r="R66" s="2943"/>
      <c r="S66" s="2943"/>
      <c r="T66" s="2943"/>
      <c r="U66" s="2943"/>
      <c r="V66" s="2943"/>
      <c r="W66" s="2943"/>
      <c r="X66" s="2943"/>
      <c r="Y66" s="2943"/>
      <c r="Z66" s="2943"/>
      <c r="AA66" s="2943"/>
      <c r="AB66" s="2943"/>
      <c r="AC66" s="2943"/>
    </row>
    <row r="67" spans="1:29" ht="15.75" thickTop="1">
      <c r="A67" s="490"/>
      <c r="B67" s="502" t="s">
        <v>2507</v>
      </c>
      <c r="C67" s="615" t="s">
        <v>2493</v>
      </c>
      <c r="D67" s="615" t="s">
        <v>2494</v>
      </c>
      <c r="E67" s="615" t="s">
        <v>2495</v>
      </c>
      <c r="F67" s="615" t="s">
        <v>2496</v>
      </c>
      <c r="G67" s="615" t="s">
        <v>2497</v>
      </c>
      <c r="H67" s="495"/>
      <c r="I67" s="495"/>
      <c r="J67" s="495"/>
      <c r="K67" s="495"/>
      <c r="L67" s="495"/>
      <c r="M67" s="1289"/>
      <c r="N67" s="2972"/>
      <c r="O67" s="2972"/>
      <c r="P67" s="2980"/>
      <c r="Q67" s="2957"/>
      <c r="R67" s="2943"/>
      <c r="S67" s="2943"/>
      <c r="T67" s="2943"/>
      <c r="U67" s="2943"/>
      <c r="V67" s="2943"/>
      <c r="W67" s="2943"/>
      <c r="X67" s="2943"/>
      <c r="Y67" s="2943"/>
      <c r="Z67" s="2943"/>
      <c r="AA67" s="2943"/>
      <c r="AB67" s="2943"/>
      <c r="AC67" s="294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2"/>
      <c r="O68" s="2972"/>
      <c r="P68" s="2980"/>
      <c r="Q68" s="2957"/>
      <c r="R68" s="2943"/>
      <c r="S68" s="2943"/>
      <c r="T68" s="2943"/>
      <c r="U68" s="2943"/>
      <c r="V68" s="2943"/>
      <c r="W68" s="2943"/>
      <c r="X68" s="2943"/>
      <c r="Y68" s="2943"/>
      <c r="Z68" s="2943"/>
      <c r="AA68" s="2943"/>
      <c r="AB68" s="2943"/>
      <c r="AC68" s="2943"/>
    </row>
    <row r="69" spans="1:29" ht="15.75" thickTop="1">
      <c r="A69" s="490"/>
      <c r="B69" s="494" t="s">
        <v>2427</v>
      </c>
      <c r="C69" s="534" t="s">
        <v>2415</v>
      </c>
      <c r="D69" s="534" t="s">
        <v>2416</v>
      </c>
      <c r="E69" s="534" t="s">
        <v>2417</v>
      </c>
      <c r="F69" s="534" t="s">
        <v>2418</v>
      </c>
      <c r="G69" s="534" t="s">
        <v>2419</v>
      </c>
      <c r="H69" s="495"/>
      <c r="I69" s="495"/>
      <c r="J69" s="495"/>
      <c r="K69" s="496"/>
      <c r="L69" s="497"/>
      <c r="M69" s="498"/>
      <c r="N69" s="2971"/>
      <c r="O69" s="2971"/>
      <c r="P69" s="2980"/>
      <c r="Q69" s="2957"/>
      <c r="R69" s="2943"/>
      <c r="S69" s="2943"/>
      <c r="T69" s="2943"/>
      <c r="U69" s="2943"/>
      <c r="V69" s="2943"/>
      <c r="W69" s="2943"/>
      <c r="X69" s="2943"/>
      <c r="Y69" s="2943"/>
      <c r="Z69" s="2943"/>
      <c r="AA69" s="2943"/>
      <c r="AB69" s="2943"/>
      <c r="AC69" s="294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2"/>
      <c r="O70" s="2972"/>
      <c r="P70" s="2980"/>
      <c r="Q70" s="2957"/>
      <c r="R70" s="2943"/>
      <c r="S70" s="2943"/>
      <c r="T70" s="2943"/>
      <c r="U70" s="2943"/>
      <c r="V70" s="2943"/>
      <c r="W70" s="2943"/>
      <c r="X70" s="2943"/>
      <c r="Y70" s="2943"/>
      <c r="Z70" s="2943"/>
      <c r="AA70" s="2943"/>
      <c r="AB70" s="2943"/>
      <c r="AC70" s="2943"/>
    </row>
    <row r="71" spans="1:29" ht="15.75" thickTop="1">
      <c r="A71" s="490"/>
      <c r="B71" s="494" t="s">
        <v>2547</v>
      </c>
      <c r="C71" s="510"/>
      <c r="D71" s="510"/>
      <c r="E71" s="510"/>
      <c r="F71" s="510"/>
      <c r="G71" s="510"/>
      <c r="H71" s="539"/>
      <c r="I71" s="539"/>
      <c r="J71" s="539"/>
      <c r="K71" s="540"/>
      <c r="L71" s="541"/>
      <c r="M71" s="542"/>
      <c r="N71" s="2971"/>
      <c r="O71" s="2971"/>
      <c r="P71" s="2980"/>
      <c r="Q71" s="2957"/>
      <c r="R71" s="2943"/>
      <c r="S71" s="2943"/>
      <c r="T71" s="2943"/>
      <c r="U71" s="2943"/>
      <c r="V71" s="2943"/>
      <c r="W71" s="2943"/>
      <c r="X71" s="2943"/>
      <c r="Y71" s="2943"/>
      <c r="Z71" s="2943"/>
      <c r="AA71" s="2943"/>
      <c r="AB71" s="2943"/>
      <c r="AC71" s="294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2"/>
      <c r="O72" s="2972"/>
      <c r="P72" s="2980"/>
      <c r="Q72" s="2957"/>
      <c r="R72" s="2943"/>
      <c r="S72" s="2943"/>
      <c r="T72" s="2943"/>
      <c r="U72" s="2943"/>
      <c r="V72" s="2943"/>
      <c r="W72" s="2943"/>
      <c r="X72" s="2943"/>
      <c r="Y72" s="2943"/>
      <c r="Z72" s="2943"/>
      <c r="AA72" s="2943"/>
      <c r="AB72" s="2943"/>
      <c r="AC72" s="2943"/>
    </row>
    <row r="73" spans="1:29" s="113" customFormat="1" ht="15.75" thickTop="1">
      <c r="A73" s="535"/>
      <c r="B73" s="494">
        <f>B23</f>
        <v>111</v>
      </c>
      <c r="C73" s="505"/>
      <c r="D73" s="505"/>
      <c r="E73" s="505"/>
      <c r="F73" s="505"/>
      <c r="G73" s="510"/>
      <c r="H73" s="510"/>
      <c r="I73" s="510"/>
      <c r="J73" s="510"/>
      <c r="K73" s="510"/>
      <c r="L73" s="536"/>
      <c r="M73" s="537"/>
      <c r="N73" s="2970"/>
      <c r="O73" s="2970"/>
      <c r="P73" s="2980"/>
      <c r="Q73" s="2957"/>
      <c r="R73" s="2878"/>
      <c r="S73" s="2878"/>
      <c r="T73" s="2878"/>
      <c r="U73" s="2878"/>
      <c r="V73" s="2878"/>
      <c r="W73" s="2878"/>
      <c r="X73" s="2878"/>
      <c r="Y73" s="2878"/>
      <c r="Z73" s="2878"/>
      <c r="AA73" s="2878"/>
      <c r="AB73" s="2878"/>
      <c r="AC73" s="2878"/>
    </row>
    <row r="74" spans="1:29" s="113" customFormat="1" ht="15.75" thickBot="1">
      <c r="A74" s="535"/>
      <c r="B74" s="499"/>
      <c r="C74" s="516"/>
      <c r="D74" s="492"/>
      <c r="E74" s="492"/>
      <c r="F74" s="492"/>
      <c r="G74" s="492"/>
      <c r="H74" s="492"/>
      <c r="I74" s="492"/>
      <c r="J74" s="492"/>
      <c r="K74" s="492"/>
      <c r="L74" s="492"/>
      <c r="M74" s="493"/>
      <c r="N74" s="2972"/>
      <c r="O74" s="2972"/>
      <c r="P74" s="2980"/>
      <c r="Q74" s="2957"/>
      <c r="R74" s="2878"/>
      <c r="S74" s="2878"/>
      <c r="T74" s="2878"/>
      <c r="U74" s="2878"/>
      <c r="V74" s="2878"/>
      <c r="W74" s="2878"/>
      <c r="X74" s="2878"/>
      <c r="Y74" s="2878"/>
      <c r="Z74" s="2878"/>
      <c r="AA74" s="2878"/>
      <c r="AB74" s="2878"/>
      <c r="AC74" s="2878"/>
    </row>
    <row r="75" spans="1:29" s="113" customFormat="1" ht="15.75" thickTop="1">
      <c r="A75" s="535"/>
      <c r="B75" s="494">
        <f>B24</f>
        <v>111</v>
      </c>
      <c r="C75" s="505"/>
      <c r="D75" s="505"/>
      <c r="E75" s="505"/>
      <c r="F75" s="505"/>
      <c r="G75" s="510"/>
      <c r="H75" s="510"/>
      <c r="I75" s="510"/>
      <c r="J75" s="510"/>
      <c r="K75" s="510"/>
      <c r="L75" s="510"/>
      <c r="M75" s="537"/>
      <c r="N75" s="2970"/>
      <c r="O75" s="2970"/>
      <c r="P75" s="2980"/>
      <c r="Q75" s="2957"/>
      <c r="R75" s="2878"/>
      <c r="S75" s="2878"/>
      <c r="T75" s="2878"/>
      <c r="U75" s="2878"/>
      <c r="V75" s="2878"/>
      <c r="W75" s="2878"/>
      <c r="X75" s="2878"/>
      <c r="Y75" s="2878"/>
      <c r="Z75" s="2878"/>
      <c r="AA75" s="2878"/>
      <c r="AB75" s="2878"/>
      <c r="AC75" s="2878"/>
    </row>
    <row r="76" spans="1:29" s="113" customFormat="1" ht="15.75" thickBot="1">
      <c r="A76" s="535"/>
      <c r="B76" s="499"/>
      <c r="C76" s="516"/>
      <c r="D76" s="492"/>
      <c r="E76" s="492"/>
      <c r="F76" s="492"/>
      <c r="G76" s="492"/>
      <c r="H76" s="492"/>
      <c r="I76" s="492"/>
      <c r="J76" s="492"/>
      <c r="K76" s="492"/>
      <c r="L76" s="492"/>
      <c r="M76" s="493"/>
      <c r="N76" s="2972"/>
      <c r="O76" s="2972"/>
      <c r="P76" s="2980"/>
      <c r="Q76" s="2957"/>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5.75"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7.75" thickTop="1">
      <c r="A79" s="483" t="s">
        <v>2381</v>
      </c>
      <c r="B79" s="484" t="s">
        <v>2548</v>
      </c>
      <c r="C79" s="485" t="str">
        <f>C26</f>
        <v>车库</v>
      </c>
      <c r="D79" s="486"/>
      <c r="E79" s="486"/>
      <c r="F79" s="486"/>
      <c r="G79" s="486"/>
      <c r="H79" s="486"/>
      <c r="I79" s="486"/>
      <c r="J79" s="486"/>
      <c r="K79" s="487"/>
      <c r="L79" s="488"/>
      <c r="M79" s="489"/>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0"/>
      <c r="B81" s="494" t="s">
        <v>2549</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29" customFormat="1" ht="15.75"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2434</v>
      </c>
      <c r="C83" s="510"/>
      <c r="D83" s="510"/>
      <c r="E83" s="539"/>
      <c r="F83" s="539"/>
      <c r="G83" s="539"/>
      <c r="H83" s="539"/>
      <c r="I83" s="539"/>
      <c r="J83" s="539"/>
      <c r="K83" s="540"/>
      <c r="L83" s="541"/>
      <c r="M83" s="542"/>
      <c r="N83" s="2971"/>
      <c r="O83" s="2971"/>
      <c r="P83" s="2980"/>
      <c r="Q83" s="2957"/>
      <c r="R83" s="2943"/>
      <c r="S83" s="2943"/>
      <c r="T83" s="2943"/>
      <c r="U83" s="2943"/>
      <c r="V83" s="2943"/>
      <c r="W83" s="2943"/>
      <c r="X83" s="2943"/>
      <c r="Y83" s="2943"/>
      <c r="Z83" s="2943"/>
      <c r="AA83" s="2943"/>
      <c r="AB83" s="2943"/>
      <c r="AC83" s="294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7"/>
      <c r="R85" s="2943"/>
      <c r="S85" s="2943"/>
      <c r="T85" s="2943"/>
      <c r="U85" s="2943"/>
      <c r="V85" s="2943"/>
      <c r="W85" s="2943"/>
      <c r="X85" s="2943"/>
      <c r="Y85" s="2943"/>
      <c r="Z85" s="2943"/>
      <c r="AA85" s="2943"/>
      <c r="AB85" s="2943"/>
      <c r="AC85" s="2943"/>
    </row>
    <row r="86" spans="1:29">
      <c r="A86" s="555"/>
      <c r="B86" s="502"/>
      <c r="C86" s="559">
        <v>0.5</v>
      </c>
      <c r="D86" s="559">
        <v>0.6</v>
      </c>
      <c r="E86" s="559">
        <v>0.7</v>
      </c>
      <c r="F86" s="559">
        <v>0.8</v>
      </c>
      <c r="G86" s="559">
        <v>0.9</v>
      </c>
      <c r="H86" s="559">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5"/>
      <c r="B88" s="502" t="s">
        <v>2551</v>
      </c>
      <c r="C88" s="486"/>
      <c r="D88" s="486"/>
      <c r="E88" s="486"/>
      <c r="F88" s="486"/>
      <c r="G88" s="486"/>
      <c r="H88" s="486"/>
      <c r="I88" s="486"/>
      <c r="J88" s="486"/>
      <c r="K88" s="487"/>
      <c r="L88" s="488"/>
      <c r="M88" s="489"/>
      <c r="N88" s="2971"/>
      <c r="O88" s="2971"/>
      <c r="P88" s="2980"/>
      <c r="Q88" s="2957"/>
      <c r="R88" s="2943"/>
      <c r="S88" s="2943"/>
      <c r="T88" s="2943"/>
      <c r="U88" s="2943"/>
      <c r="V88" s="2943"/>
      <c r="W88" s="2943"/>
      <c r="X88" s="2943"/>
      <c r="Y88" s="2943"/>
      <c r="Z88" s="2943"/>
      <c r="AA88" s="2943"/>
      <c r="AB88" s="2943"/>
      <c r="AC88" s="294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2"/>
      <c r="O89" s="2972"/>
      <c r="P89" s="2980"/>
      <c r="Q89" s="2957"/>
      <c r="R89" s="2943"/>
      <c r="S89" s="2943"/>
      <c r="T89" s="2943"/>
      <c r="U89" s="2943"/>
      <c r="V89" s="2943"/>
      <c r="W89" s="2943"/>
      <c r="X89" s="2943"/>
      <c r="Y89" s="2943"/>
      <c r="Z89" s="2943"/>
      <c r="AA89" s="2943"/>
      <c r="AB89" s="2943"/>
      <c r="AC89" s="2943"/>
    </row>
    <row r="90" spans="1:29" s="429" customFormat="1" ht="15" thickTop="1">
      <c r="A90" s="549"/>
      <c r="B90" s="494" t="s">
        <v>2552</v>
      </c>
      <c r="C90" s="534" t="str">
        <f>C91&amp;"(含)"&amp;"-"&amp;D91</f>
        <v>0(含)-20</v>
      </c>
      <c r="D90" s="534" t="str">
        <f t="shared" ref="D90:L90" si="21">D91&amp;"(含)"&amp;"-"&amp;E91</f>
        <v>20(含)-40</v>
      </c>
      <c r="E90" s="534" t="str">
        <f t="shared" si="21"/>
        <v>40(含)-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v>0</v>
      </c>
      <c r="D91" s="551">
        <v>20</v>
      </c>
      <c r="E91" s="551">
        <v>40</v>
      </c>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16">
        <v>100</v>
      </c>
      <c r="D92" s="492">
        <v>102</v>
      </c>
      <c r="E92" s="492">
        <v>104</v>
      </c>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2553</v>
      </c>
      <c r="C93" s="510"/>
      <c r="D93" s="510"/>
      <c r="E93" s="539"/>
      <c r="F93" s="539"/>
      <c r="G93" s="539"/>
      <c r="H93" s="539"/>
      <c r="I93" s="539"/>
      <c r="J93" s="539"/>
      <c r="K93" s="540"/>
      <c r="L93" s="541"/>
      <c r="M93" s="542"/>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5"/>
      <c r="B95" s="494" t="s">
        <v>2554</v>
      </c>
      <c r="C95" s="486"/>
      <c r="D95" s="486"/>
      <c r="E95" s="486"/>
      <c r="F95" s="486"/>
      <c r="G95" s="486"/>
      <c r="H95" s="486"/>
      <c r="I95" s="486"/>
      <c r="J95" s="486"/>
      <c r="K95" s="487"/>
      <c r="L95" s="488"/>
      <c r="M95" s="489"/>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2"/>
      <c r="O96" s="2972"/>
      <c r="P96" s="2980"/>
      <c r="Q96" s="2957"/>
      <c r="R96" s="2943"/>
      <c r="S96" s="2943"/>
      <c r="T96" s="2943"/>
      <c r="U96" s="2943"/>
      <c r="V96" s="2943"/>
      <c r="W96" s="2943"/>
      <c r="X96" s="2943"/>
      <c r="Y96" s="2943"/>
      <c r="Z96" s="2943"/>
      <c r="AA96" s="2943"/>
      <c r="AB96" s="2943"/>
      <c r="AC96" s="2943"/>
    </row>
    <row r="97" spans="1:29" ht="15" thickTop="1">
      <c r="A97" s="555"/>
      <c r="B97" s="591">
        <f>B34</f>
        <v>111</v>
      </c>
      <c r="C97" s="505"/>
      <c r="D97" s="505"/>
      <c r="E97" s="505"/>
      <c r="F97" s="505"/>
      <c r="G97" s="510"/>
      <c r="H97" s="511"/>
      <c r="I97" s="511"/>
      <c r="J97" s="511"/>
      <c r="K97" s="511"/>
      <c r="L97" s="512"/>
      <c r="M97" s="513"/>
      <c r="N97" s="2972"/>
      <c r="O97" s="2972"/>
      <c r="P97" s="2985"/>
      <c r="Q97" s="2986"/>
      <c r="R97" s="2943"/>
      <c r="S97" s="2943"/>
      <c r="T97" s="2943"/>
      <c r="U97" s="2943"/>
      <c r="V97" s="2943"/>
      <c r="W97" s="2943"/>
      <c r="X97" s="2943"/>
      <c r="Y97" s="2943"/>
      <c r="Z97" s="2943"/>
      <c r="AA97" s="2943"/>
      <c r="AB97" s="2943"/>
      <c r="AC97" s="2943"/>
    </row>
    <row r="98" spans="1:29" ht="15.75" thickBot="1">
      <c r="A98" s="490"/>
      <c r="B98" s="499"/>
      <c r="C98" s="516"/>
      <c r="D98" s="492"/>
      <c r="E98" s="492"/>
      <c r="F98" s="492"/>
      <c r="G98" s="516"/>
      <c r="H98" s="518"/>
      <c r="I98" s="518"/>
      <c r="J98" s="518"/>
      <c r="K98" s="518"/>
      <c r="L98" s="518"/>
      <c r="M98" s="519"/>
      <c r="N98" s="2972"/>
      <c r="O98" s="2972"/>
      <c r="P98" s="2980"/>
      <c r="Q98" s="2957"/>
      <c r="R98" s="2943"/>
      <c r="S98" s="2943"/>
      <c r="T98" s="2943"/>
      <c r="U98" s="2943"/>
      <c r="V98" s="2943"/>
      <c r="W98" s="2943"/>
      <c r="X98" s="2943"/>
      <c r="Y98" s="2943"/>
      <c r="Z98" s="2943"/>
      <c r="AA98" s="2943"/>
      <c r="AB98" s="2943"/>
      <c r="AC98" s="2943"/>
    </row>
    <row r="99" spans="1:29" s="429" customFormat="1" ht="15"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5.75"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5" thickTop="1">
      <c r="A101" s="555"/>
      <c r="B101" s="494">
        <f>B36</f>
        <v>111</v>
      </c>
      <c r="C101" s="510"/>
      <c r="D101" s="510"/>
      <c r="E101" s="510"/>
      <c r="F101" s="510"/>
      <c r="G101" s="510"/>
      <c r="H101" s="511"/>
      <c r="I101" s="511"/>
      <c r="J101" s="511"/>
      <c r="K101" s="511"/>
      <c r="L101" s="512"/>
      <c r="M101" s="513"/>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16"/>
      <c r="D102" s="516"/>
      <c r="E102" s="516"/>
      <c r="F102" s="516"/>
      <c r="G102" s="516"/>
      <c r="H102" s="518"/>
      <c r="I102" s="518"/>
      <c r="J102" s="518"/>
      <c r="K102" s="518"/>
      <c r="L102" s="518"/>
      <c r="M102" s="519"/>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405" t="s">
        <v>2465</v>
      </c>
      <c r="S4" s="3406"/>
      <c r="T4" s="3405" t="s">
        <v>2466</v>
      </c>
      <c r="U4" s="3406"/>
      <c r="V4" s="3411" t="s">
        <v>2467</v>
      </c>
      <c r="W4" s="3411"/>
      <c r="X4" s="1538"/>
      <c r="Y4" s="3405" t="s">
        <v>2469</v>
      </c>
      <c r="Z4" s="3406"/>
      <c r="AA4" s="3392" t="s">
        <v>2465</v>
      </c>
      <c r="AB4" s="3393" t="s">
        <v>2466</v>
      </c>
      <c r="AC4" s="3392" t="s">
        <v>2467</v>
      </c>
    </row>
    <row r="5" spans="1:29" ht="15">
      <c r="A5" s="363"/>
      <c r="B5" s="364"/>
      <c r="C5" s="3423" t="s">
        <v>2360</v>
      </c>
      <c r="D5" s="3415"/>
      <c r="E5" s="3424" t="s">
        <v>2361</v>
      </c>
      <c r="F5" s="3422"/>
      <c r="G5" s="3423" t="s">
        <v>2362</v>
      </c>
      <c r="H5" s="3415"/>
      <c r="I5" s="3423" t="s">
        <v>2363</v>
      </c>
      <c r="J5" s="3415"/>
      <c r="K5" s="566"/>
      <c r="L5" s="2933"/>
      <c r="M5" s="2934"/>
      <c r="N5" s="2934"/>
      <c r="O5" s="2934"/>
      <c r="P5" s="3401"/>
      <c r="Q5" s="3402"/>
      <c r="R5" s="3407"/>
      <c r="S5" s="3408"/>
      <c r="T5" s="3407"/>
      <c r="U5" s="3408"/>
      <c r="V5" s="3411"/>
      <c r="W5" s="3411"/>
      <c r="X5" s="1538"/>
      <c r="Y5" s="3407"/>
      <c r="Z5" s="3408"/>
      <c r="AA5" s="3393"/>
      <c r="AB5" s="3393"/>
      <c r="AC5" s="3393"/>
    </row>
    <row r="6" spans="1:29" ht="15.75" thickBot="1">
      <c r="A6" s="365"/>
      <c r="B6" s="366"/>
      <c r="C6" s="3412" t="s">
        <v>2364</v>
      </c>
      <c r="D6" s="3413"/>
      <c r="E6" s="3419" t="s">
        <v>2364</v>
      </c>
      <c r="F6" s="3420"/>
      <c r="G6" s="3412" t="s">
        <v>2364</v>
      </c>
      <c r="H6" s="3413"/>
      <c r="I6" s="3412" t="s">
        <v>2364</v>
      </c>
      <c r="J6" s="3413"/>
      <c r="K6" s="566" t="s">
        <v>2365</v>
      </c>
      <c r="L6" s="2933"/>
      <c r="M6" s="2934"/>
      <c r="N6" s="2934"/>
      <c r="O6" s="2934"/>
      <c r="P6" s="3403"/>
      <c r="Q6" s="3404"/>
      <c r="R6" s="3407"/>
      <c r="S6" s="3408"/>
      <c r="T6" s="3409"/>
      <c r="U6" s="3410"/>
      <c r="V6" s="3411"/>
      <c r="W6" s="3411"/>
      <c r="X6" s="1538"/>
      <c r="Y6" s="3409"/>
      <c r="Z6" s="3410"/>
      <c r="AA6" s="3394"/>
      <c r="AB6" s="3394"/>
      <c r="AC6" s="3394"/>
    </row>
    <row r="7" spans="1:29" s="113" customFormat="1" ht="15.75" thickBot="1">
      <c r="A7" s="367" t="s">
        <v>2366</v>
      </c>
      <c r="B7" s="368"/>
      <c r="C7" s="369">
        <f>'数据-取费表'!B2</f>
        <v>44259</v>
      </c>
      <c r="D7" s="370">
        <v>100</v>
      </c>
      <c r="E7" s="371"/>
      <c r="F7" s="372">
        <f>SUMIF(46:46,YEAR(E7)&amp;"-"&amp;MONTH(E7),47:47)</f>
        <v>0</v>
      </c>
      <c r="G7" s="2154"/>
      <c r="H7" s="370">
        <f>SUMIF(46:46,YEAR(G7)&amp;"-"&amp;MONTH(G7),47:47)</f>
        <v>0</v>
      </c>
      <c r="I7" s="371"/>
      <c r="J7" s="370">
        <f>SUMIF(46:46,YEAR(I7)&amp;"-"&amp;MONTH(I7),47:47)</f>
        <v>0</v>
      </c>
      <c r="K7" s="567"/>
      <c r="L7" s="2935"/>
      <c r="M7" s="2936"/>
      <c r="N7" s="2936"/>
      <c r="O7" s="2936"/>
      <c r="P7" s="3416" t="s">
        <v>2367</v>
      </c>
      <c r="Q7" s="3418"/>
      <c r="R7" s="709" t="s">
        <v>17</v>
      </c>
      <c r="S7" s="710">
        <f t="shared" ref="S7:S14" si="0">F7</f>
        <v>0</v>
      </c>
      <c r="T7" s="709" t="s">
        <v>17</v>
      </c>
      <c r="U7" s="710">
        <f t="shared" ref="U7:U14" si="1">H7</f>
        <v>0</v>
      </c>
      <c r="V7" s="709" t="s">
        <v>17</v>
      </c>
      <c r="W7" s="710">
        <f t="shared" ref="W7:W14" si="2">J7</f>
        <v>0</v>
      </c>
      <c r="X7" s="711"/>
      <c r="Y7" s="3416" t="s">
        <v>2367</v>
      </c>
      <c r="Z7" s="3417"/>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5"/>
      <c r="M8" s="2936"/>
      <c r="N8" s="2936"/>
      <c r="O8" s="2936"/>
      <c r="P8" s="3416" t="s">
        <v>2370</v>
      </c>
      <c r="Q8" s="3417"/>
      <c r="R8" s="709" t="s">
        <v>17</v>
      </c>
      <c r="S8" s="710">
        <f t="shared" si="0"/>
        <v>0</v>
      </c>
      <c r="T8" s="709" t="s">
        <v>17</v>
      </c>
      <c r="U8" s="710">
        <f t="shared" si="1"/>
        <v>0</v>
      </c>
      <c r="V8" s="709" t="s">
        <v>17</v>
      </c>
      <c r="W8" s="710">
        <f t="shared" si="2"/>
        <v>0</v>
      </c>
      <c r="X8" s="711"/>
      <c r="Y8" s="3416" t="s">
        <v>2370</v>
      </c>
      <c r="Z8" s="3417"/>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5"/>
      <c r="M9" s="2936"/>
      <c r="N9" s="2936"/>
      <c r="O9" s="2990"/>
      <c r="P9" s="3380" t="s">
        <v>2373</v>
      </c>
      <c r="Q9" s="1526" t="str">
        <f t="shared" ref="Q9:Q14" si="6">B9</f>
        <v>用途</v>
      </c>
      <c r="R9" s="709" t="s">
        <v>17</v>
      </c>
      <c r="S9" s="710">
        <f t="shared" si="0"/>
        <v>100</v>
      </c>
      <c r="T9" s="709" t="s">
        <v>17</v>
      </c>
      <c r="U9" s="710">
        <f t="shared" si="1"/>
        <v>100</v>
      </c>
      <c r="V9" s="709" t="s">
        <v>17</v>
      </c>
      <c r="W9" s="710">
        <f t="shared" si="2"/>
        <v>100</v>
      </c>
      <c r="X9" s="711"/>
      <c r="Y9" s="3250"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7"/>
      <c r="M10" s="2938"/>
      <c r="N10" s="2938"/>
      <c r="O10" s="2991"/>
      <c r="P10" s="3380"/>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39"/>
      <c r="M11" s="2934"/>
      <c r="N11" s="2934"/>
      <c r="O11" s="2992"/>
      <c r="P11" s="3380"/>
      <c r="Q11" s="1526">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35"/>
      <c r="M12" s="2936"/>
      <c r="N12" s="2936"/>
      <c r="O12" s="2990"/>
      <c r="P12" s="3380"/>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5"/>
      <c r="H13" s="396">
        <f>SUMIF(59:59,G13,60:60)-SUMIF(59:59,C13,60:60)+100</f>
        <v>100</v>
      </c>
      <c r="I13" s="427"/>
      <c r="J13" s="393">
        <f>SUMIF(59:59,I13,60:60)-SUMIF(59:59,C13,60:60)+100</f>
        <v>100</v>
      </c>
      <c r="K13" s="569"/>
      <c r="L13" s="2940"/>
      <c r="M13" s="2934"/>
      <c r="N13" s="2934"/>
      <c r="O13" s="2992"/>
      <c r="P13" s="3380"/>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98" t="s">
        <v>2377</v>
      </c>
      <c r="B14" s="65" t="s">
        <v>2527</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0"/>
      <c r="M14" s="2934"/>
      <c r="N14" s="2934"/>
      <c r="O14" s="2992"/>
      <c r="P14" s="3382" t="s">
        <v>2378</v>
      </c>
      <c r="Q14" s="1535" t="str">
        <f t="shared" si="6"/>
        <v>交通便捷度</v>
      </c>
      <c r="R14" s="713" t="s">
        <v>17</v>
      </c>
      <c r="S14" s="714">
        <f t="shared" si="0"/>
        <v>100</v>
      </c>
      <c r="T14" s="713" t="s">
        <v>17</v>
      </c>
      <c r="U14" s="714">
        <f t="shared" si="1"/>
        <v>100</v>
      </c>
      <c r="V14" s="713" t="s">
        <v>17</v>
      </c>
      <c r="W14" s="714">
        <f t="shared" si="2"/>
        <v>100</v>
      </c>
      <c r="X14" s="1538"/>
      <c r="Y14" s="3382"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0"/>
      <c r="M15" s="2934"/>
      <c r="N15" s="2934"/>
      <c r="O15" s="2992"/>
      <c r="P15" s="3383"/>
      <c r="Q15" s="1535"/>
      <c r="R15" s="713"/>
      <c r="S15" s="714"/>
      <c r="T15" s="713"/>
      <c r="U15" s="714"/>
      <c r="V15" s="713"/>
      <c r="W15" s="714"/>
      <c r="X15" s="1538"/>
      <c r="Y15" s="3383"/>
      <c r="Z15" s="1539"/>
      <c r="AA15" s="1536">
        <v>1</v>
      </c>
      <c r="AB15" s="1536">
        <v>1</v>
      </c>
      <c r="AC15" s="1536">
        <v>1</v>
      </c>
    </row>
    <row r="16" spans="1:29" ht="42.75">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0"/>
      <c r="M16" s="2934"/>
      <c r="N16" s="2934"/>
      <c r="O16" s="2992"/>
      <c r="P16" s="3383"/>
      <c r="Q16" s="1535" t="str">
        <f>B16</f>
        <v>公共配套设施</v>
      </c>
      <c r="R16" s="713" t="s">
        <v>17</v>
      </c>
      <c r="S16" s="714">
        <f>F16</f>
        <v>100</v>
      </c>
      <c r="T16" s="713" t="s">
        <v>17</v>
      </c>
      <c r="U16" s="714">
        <f>H16</f>
        <v>100</v>
      </c>
      <c r="V16" s="713" t="s">
        <v>17</v>
      </c>
      <c r="W16" s="714">
        <f>J16</f>
        <v>100</v>
      </c>
      <c r="X16" s="1538"/>
      <c r="Y16" s="3383"/>
      <c r="Z16" s="1539" t="str">
        <f>Q16</f>
        <v>公共配套设施</v>
      </c>
      <c r="AA16" s="1536">
        <f t="shared" si="3"/>
        <v>1</v>
      </c>
      <c r="AB16" s="1536">
        <f t="shared" si="4"/>
        <v>1</v>
      </c>
      <c r="AC16" s="1536">
        <f t="shared" si="5"/>
        <v>1</v>
      </c>
    </row>
    <row r="17" spans="1:29" ht="15">
      <c r="A17" s="386"/>
      <c r="B17" s="414"/>
      <c r="C17" s="2083"/>
      <c r="D17" s="406"/>
      <c r="E17" s="405"/>
      <c r="F17" s="407"/>
      <c r="G17" s="405"/>
      <c r="H17" s="406"/>
      <c r="I17" s="405"/>
      <c r="J17" s="406"/>
      <c r="K17" s="571"/>
      <c r="L17" s="2940"/>
      <c r="M17" s="2934"/>
      <c r="N17" s="2934"/>
      <c r="O17" s="2992"/>
      <c r="P17" s="3383"/>
      <c r="Q17" s="1535"/>
      <c r="R17" s="713"/>
      <c r="S17" s="714"/>
      <c r="T17" s="713"/>
      <c r="U17" s="714"/>
      <c r="V17" s="713"/>
      <c r="W17" s="714"/>
      <c r="X17" s="1538"/>
      <c r="Y17" s="3383"/>
      <c r="Z17" s="1539"/>
      <c r="AA17" s="1536">
        <v>1</v>
      </c>
      <c r="AB17" s="1536">
        <v>1</v>
      </c>
      <c r="AC17" s="1536">
        <v>1</v>
      </c>
    </row>
    <row r="18" spans="1:29" ht="28.5">
      <c r="A18" s="386"/>
      <c r="B18" s="1291"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0"/>
      <c r="M18" s="2934"/>
      <c r="N18" s="2934"/>
      <c r="O18" s="2992"/>
      <c r="P18" s="3383"/>
      <c r="Q18" s="1535" t="str">
        <f>B18</f>
        <v>基础设施水平</v>
      </c>
      <c r="R18" s="713" t="s">
        <v>17</v>
      </c>
      <c r="S18" s="714">
        <f>F18</f>
        <v>100</v>
      </c>
      <c r="T18" s="713" t="s">
        <v>17</v>
      </c>
      <c r="U18" s="714">
        <f>H18</f>
        <v>100</v>
      </c>
      <c r="V18" s="713" t="s">
        <v>17</v>
      </c>
      <c r="W18" s="714">
        <f>J18</f>
        <v>100</v>
      </c>
      <c r="X18" s="1538"/>
      <c r="Y18" s="3383"/>
      <c r="Z18" s="1539" t="str">
        <f>Q18</f>
        <v>基础设施水平</v>
      </c>
      <c r="AA18" s="1536">
        <f t="shared" ref="AA18" si="8">D18/F18</f>
        <v>1</v>
      </c>
      <c r="AB18" s="1536">
        <f t="shared" ref="AB18" si="9">D18/H18</f>
        <v>1</v>
      </c>
      <c r="AC18" s="1536">
        <f t="shared" ref="AC18" si="10">D18/J18</f>
        <v>1</v>
      </c>
    </row>
    <row r="19" spans="1:29" ht="15">
      <c r="A19" s="386"/>
      <c r="B19" s="1291"/>
      <c r="C19" s="2083"/>
      <c r="D19" s="408"/>
      <c r="E19" s="2083"/>
      <c r="F19" s="411"/>
      <c r="G19" s="2083"/>
      <c r="H19" s="406"/>
      <c r="I19" s="405"/>
      <c r="J19" s="406"/>
      <c r="K19" s="1290"/>
      <c r="L19" s="2940"/>
      <c r="M19" s="2934"/>
      <c r="N19" s="2934"/>
      <c r="O19" s="2992"/>
      <c r="P19" s="3383"/>
      <c r="Q19" s="1535"/>
      <c r="R19" s="713"/>
      <c r="S19" s="714"/>
      <c r="T19" s="713"/>
      <c r="U19" s="714"/>
      <c r="V19" s="713"/>
      <c r="W19" s="714"/>
      <c r="X19" s="1538"/>
      <c r="Y19" s="3383"/>
      <c r="Z19" s="1539"/>
      <c r="AA19" s="1536">
        <v>1</v>
      </c>
      <c r="AB19" s="1536">
        <v>1</v>
      </c>
      <c r="AC19" s="1536">
        <v>1</v>
      </c>
    </row>
    <row r="20" spans="1:29" ht="57">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0"/>
      <c r="M20" s="2934"/>
      <c r="N20" s="2934"/>
      <c r="O20" s="2992"/>
      <c r="P20" s="3383"/>
      <c r="Q20" s="1535" t="str">
        <f>B20</f>
        <v>自然及人文环境</v>
      </c>
      <c r="R20" s="713" t="s">
        <v>17</v>
      </c>
      <c r="S20" s="714">
        <f>F20</f>
        <v>100</v>
      </c>
      <c r="T20" s="713" t="s">
        <v>17</v>
      </c>
      <c r="U20" s="714">
        <f>H20</f>
        <v>100</v>
      </c>
      <c r="V20" s="713" t="s">
        <v>17</v>
      </c>
      <c r="W20" s="714">
        <f>J20</f>
        <v>100</v>
      </c>
      <c r="X20" s="1538"/>
      <c r="Y20" s="3383"/>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0"/>
      <c r="M21" s="2934"/>
      <c r="N21" s="2934"/>
      <c r="O21" s="2992"/>
      <c r="P21" s="3383"/>
      <c r="Q21" s="1535"/>
      <c r="R21" s="713"/>
      <c r="S21" s="714"/>
      <c r="T21" s="713"/>
      <c r="U21" s="714"/>
      <c r="V21" s="713"/>
      <c r="W21" s="714"/>
      <c r="X21" s="1538"/>
      <c r="Y21" s="3383"/>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0"/>
      <c r="M22" s="2934"/>
      <c r="N22" s="2934"/>
      <c r="O22" s="2992"/>
      <c r="P22" s="3383"/>
      <c r="Q22" s="1535" t="str">
        <f>B22</f>
        <v>楼层</v>
      </c>
      <c r="R22" s="713" t="s">
        <v>17</v>
      </c>
      <c r="S22" s="714">
        <f>F22</f>
        <v>100</v>
      </c>
      <c r="T22" s="713" t="s">
        <v>17</v>
      </c>
      <c r="U22" s="714">
        <f>H22</f>
        <v>100</v>
      </c>
      <c r="V22" s="713" t="s">
        <v>17</v>
      </c>
      <c r="W22" s="714">
        <f>J22</f>
        <v>100</v>
      </c>
      <c r="X22" s="1538"/>
      <c r="Y22" s="3383"/>
      <c r="Z22" s="1539" t="str">
        <f>Q22</f>
        <v>楼层</v>
      </c>
      <c r="AA22" s="1536">
        <f t="shared" si="3"/>
        <v>1</v>
      </c>
      <c r="AB22" s="1536">
        <f t="shared" si="4"/>
        <v>1</v>
      </c>
      <c r="AC22" s="1536">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0"/>
      <c r="M23" s="2934"/>
      <c r="N23" s="2934"/>
      <c r="O23" s="2992"/>
      <c r="P23" s="3383"/>
      <c r="Q23" s="1535">
        <f>B23</f>
        <v>111</v>
      </c>
      <c r="R23" s="713" t="s">
        <v>17</v>
      </c>
      <c r="S23" s="714">
        <f>F23</f>
        <v>100</v>
      </c>
      <c r="T23" s="713" t="s">
        <v>17</v>
      </c>
      <c r="U23" s="714">
        <f>H23</f>
        <v>100</v>
      </c>
      <c r="V23" s="713" t="s">
        <v>17</v>
      </c>
      <c r="W23" s="714">
        <f>J23</f>
        <v>100</v>
      </c>
      <c r="X23" s="1538"/>
      <c r="Y23" s="3383"/>
      <c r="Z23" s="1539">
        <f>Q23</f>
        <v>111</v>
      </c>
      <c r="AA23" s="1536">
        <f t="shared" si="3"/>
        <v>1</v>
      </c>
      <c r="AB23" s="1536">
        <f t="shared" si="4"/>
        <v>1</v>
      </c>
      <c r="AC23" s="1536">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0"/>
      <c r="M24" s="2934"/>
      <c r="N24" s="2934"/>
      <c r="O24" s="2992"/>
      <c r="P24" s="3383"/>
      <c r="Q24" s="1535">
        <f t="shared" ref="Q24:Q34" si="11">B24</f>
        <v>111</v>
      </c>
      <c r="R24" s="713" t="s">
        <v>17</v>
      </c>
      <c r="S24" s="714">
        <f>F24</f>
        <v>100</v>
      </c>
      <c r="T24" s="713" t="s">
        <v>17</v>
      </c>
      <c r="U24" s="714">
        <f>H24</f>
        <v>100</v>
      </c>
      <c r="V24" s="713" t="s">
        <v>17</v>
      </c>
      <c r="W24" s="714">
        <f>J24</f>
        <v>100</v>
      </c>
      <c r="X24" s="1538"/>
      <c r="Y24" s="3383"/>
      <c r="Z24" s="1539">
        <f>Q24</f>
        <v>111</v>
      </c>
      <c r="AA24" s="1536">
        <f t="shared" si="3"/>
        <v>1</v>
      </c>
      <c r="AB24" s="1536">
        <f t="shared" si="4"/>
        <v>1</v>
      </c>
      <c r="AC24" s="1536">
        <f t="shared" si="5"/>
        <v>1</v>
      </c>
    </row>
    <row r="25" spans="1:29" s="113" customFormat="1" ht="15.75" thickBot="1">
      <c r="A25" s="389"/>
      <c r="B25" s="2075">
        <v>111</v>
      </c>
      <c r="C25" s="2156"/>
      <c r="D25" s="620">
        <v>100</v>
      </c>
      <c r="E25" s="2156"/>
      <c r="F25" s="621">
        <f>SUMIF(75:75,E25,76:76)-SUMIF(75:75,C25,76:76)+100</f>
        <v>100</v>
      </c>
      <c r="G25" s="2156"/>
      <c r="H25" s="620">
        <f>SUMIF(75:75,G25,76:76)-SUMIF(75:75,C25,76:76)+100</f>
        <v>100</v>
      </c>
      <c r="I25" s="2156"/>
      <c r="J25" s="620">
        <f>SUMIF(75:75,I25,76:76)-SUMIF(75:75,C25,76:76)+100</f>
        <v>100</v>
      </c>
      <c r="K25" s="569"/>
      <c r="L25" s="2935"/>
      <c r="M25" s="2936"/>
      <c r="N25" s="2936"/>
      <c r="O25" s="2990"/>
      <c r="P25" s="3383"/>
      <c r="Q25" s="1526">
        <f t="shared" si="11"/>
        <v>111</v>
      </c>
      <c r="R25" s="709" t="s">
        <v>17</v>
      </c>
      <c r="S25" s="710">
        <f>F25</f>
        <v>100</v>
      </c>
      <c r="T25" s="709" t="s">
        <v>17</v>
      </c>
      <c r="U25" s="710">
        <f>H25</f>
        <v>100</v>
      </c>
      <c r="V25" s="709" t="s">
        <v>17</v>
      </c>
      <c r="W25" s="710">
        <f>J25</f>
        <v>100</v>
      </c>
      <c r="X25" s="711"/>
      <c r="Y25" s="3383"/>
      <c r="Z25" s="55">
        <f>Q25</f>
        <v>111</v>
      </c>
      <c r="AA25" s="1536">
        <f>D25/F25</f>
        <v>1</v>
      </c>
      <c r="AB25" s="1536">
        <f>D25/H25</f>
        <v>1</v>
      </c>
      <c r="AC25" s="1536">
        <f>D25/J25</f>
        <v>1</v>
      </c>
    </row>
    <row r="26" spans="1:29" ht="28.5">
      <c r="A26" s="424" t="s">
        <v>2381</v>
      </c>
      <c r="B26" s="67" t="s">
        <v>2532</v>
      </c>
      <c r="C26" s="2147"/>
      <c r="D26" s="425">
        <v>100</v>
      </c>
      <c r="E26" s="2147"/>
      <c r="F26" s="622">
        <f>SUMIF(77:77,E26,78:78)-SUMIF(77:77,C26,78:78)+100</f>
        <v>100</v>
      </c>
      <c r="G26" s="2147"/>
      <c r="H26" s="425">
        <f>SUMIF(77:77,G26,78:78)-SUMIF(77:77,C26,78:78)+100</f>
        <v>100</v>
      </c>
      <c r="I26" s="2147"/>
      <c r="J26" s="425">
        <f>SUMIF(77:77,I26,78:78)-SUMIF(77:77,C26,78:78)+100</f>
        <v>100</v>
      </c>
      <c r="K26" s="568"/>
      <c r="L26" s="2940"/>
      <c r="M26" s="2934"/>
      <c r="N26" s="2934"/>
      <c r="O26" s="2992"/>
      <c r="P26" s="344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87"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9"/>
      <c r="M27" s="2941"/>
      <c r="N27" s="2941"/>
      <c r="O27" s="2993"/>
      <c r="P27" s="3387"/>
      <c r="Q27" s="715" t="str">
        <f t="shared" si="11"/>
        <v>成新率</v>
      </c>
      <c r="R27" s="716" t="s">
        <v>17</v>
      </c>
      <c r="S27" s="717" t="e">
        <f t="shared" si="12"/>
        <v>#N/A</v>
      </c>
      <c r="T27" s="716" t="s">
        <v>17</v>
      </c>
      <c r="U27" s="717" t="e">
        <f t="shared" si="13"/>
        <v>#N/A</v>
      </c>
      <c r="V27" s="716" t="s">
        <v>17</v>
      </c>
      <c r="W27" s="717" t="e">
        <f t="shared" si="14"/>
        <v>#N/A</v>
      </c>
      <c r="X27" s="718"/>
      <c r="Y27" s="3387"/>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0"/>
      <c r="M28" s="2934"/>
      <c r="N28" s="2934"/>
      <c r="O28" s="2992"/>
      <c r="P28" s="3387"/>
      <c r="Q28" s="1535" t="str">
        <f t="shared" si="11"/>
        <v>物业等级</v>
      </c>
      <c r="R28" s="713" t="s">
        <v>17</v>
      </c>
      <c r="S28" s="714">
        <f t="shared" si="12"/>
        <v>100</v>
      </c>
      <c r="T28" s="713" t="s">
        <v>17</v>
      </c>
      <c r="U28" s="714">
        <f t="shared" si="13"/>
        <v>100</v>
      </c>
      <c r="V28" s="713" t="s">
        <v>17</v>
      </c>
      <c r="W28" s="714">
        <f t="shared" si="14"/>
        <v>100</v>
      </c>
      <c r="X28" s="1538"/>
      <c r="Y28" s="3387"/>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0"/>
      <c r="M29" s="2934"/>
      <c r="N29" s="2934"/>
      <c r="O29" s="2992"/>
      <c r="P29" s="3387"/>
      <c r="Q29" s="1535" t="str">
        <f t="shared" si="11"/>
        <v>有无电梯</v>
      </c>
      <c r="R29" s="713" t="s">
        <v>17</v>
      </c>
      <c r="S29" s="714">
        <f t="shared" si="12"/>
        <v>100</v>
      </c>
      <c r="T29" s="713" t="s">
        <v>17</v>
      </c>
      <c r="U29" s="714">
        <f t="shared" si="13"/>
        <v>100</v>
      </c>
      <c r="V29" s="713" t="s">
        <v>17</v>
      </c>
      <c r="W29" s="714">
        <f t="shared" si="14"/>
        <v>100</v>
      </c>
      <c r="X29" s="1538"/>
      <c r="Y29" s="3387"/>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0"/>
      <c r="M30" s="2934"/>
      <c r="N30" s="2934"/>
      <c r="O30" s="2992"/>
      <c r="P30" s="3387"/>
      <c r="Q30" s="1535" t="str">
        <f t="shared" si="11"/>
        <v>建筑面积</v>
      </c>
      <c r="R30" s="713" t="s">
        <v>17</v>
      </c>
      <c r="S30" s="714" t="e">
        <f t="shared" si="12"/>
        <v>#N/A</v>
      </c>
      <c r="T30" s="713" t="s">
        <v>17</v>
      </c>
      <c r="U30" s="714" t="e">
        <f t="shared" si="13"/>
        <v>#N/A</v>
      </c>
      <c r="V30" s="713" t="s">
        <v>17</v>
      </c>
      <c r="W30" s="714" t="e">
        <f t="shared" si="14"/>
        <v>#N/A</v>
      </c>
      <c r="X30" s="1538"/>
      <c r="Y30" s="3387"/>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5"/>
      <c r="M31" s="2936"/>
      <c r="N31" s="2936"/>
      <c r="O31" s="2990"/>
      <c r="P31" s="3387"/>
      <c r="Q31" s="1526" t="str">
        <f t="shared" si="11"/>
        <v>是否封闭</v>
      </c>
      <c r="R31" s="709" t="s">
        <v>17</v>
      </c>
      <c r="S31" s="710">
        <f t="shared" si="12"/>
        <v>100</v>
      </c>
      <c r="T31" s="709" t="s">
        <v>17</v>
      </c>
      <c r="U31" s="710">
        <f t="shared" si="13"/>
        <v>100</v>
      </c>
      <c r="V31" s="709" t="s">
        <v>17</v>
      </c>
      <c r="W31" s="710">
        <f t="shared" si="14"/>
        <v>100</v>
      </c>
      <c r="X31" s="711"/>
      <c r="Y31" s="3387"/>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0"/>
      <c r="M32" s="2934"/>
      <c r="N32" s="2934"/>
      <c r="O32" s="2992"/>
      <c r="P32" s="3387" t="s">
        <v>2383</v>
      </c>
      <c r="Q32" s="1535">
        <f t="shared" si="11"/>
        <v>111</v>
      </c>
      <c r="R32" s="713" t="s">
        <v>17</v>
      </c>
      <c r="S32" s="714">
        <f t="shared" si="12"/>
        <v>100</v>
      </c>
      <c r="T32" s="713" t="s">
        <v>17</v>
      </c>
      <c r="U32" s="714">
        <f t="shared" si="13"/>
        <v>100</v>
      </c>
      <c r="V32" s="713" t="s">
        <v>17</v>
      </c>
      <c r="W32" s="714">
        <f t="shared" si="14"/>
        <v>100</v>
      </c>
      <c r="X32" s="1538"/>
      <c r="Y32" s="3387" t="s">
        <v>2383</v>
      </c>
      <c r="Z32" s="1539">
        <f t="shared" si="15"/>
        <v>111</v>
      </c>
      <c r="AA32" s="1536">
        <f t="shared" si="3"/>
        <v>1</v>
      </c>
      <c r="AB32" s="1536">
        <f t="shared" si="4"/>
        <v>1</v>
      </c>
      <c r="AC32" s="1536">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0"/>
      <c r="M33" s="2934"/>
      <c r="N33" s="2934"/>
      <c r="O33" s="2992"/>
      <c r="P33" s="3387"/>
      <c r="Q33" s="1535">
        <f t="shared" si="11"/>
        <v>111</v>
      </c>
      <c r="R33" s="713" t="s">
        <v>17</v>
      </c>
      <c r="S33" s="714">
        <f t="shared" si="12"/>
        <v>100</v>
      </c>
      <c r="T33" s="713" t="s">
        <v>17</v>
      </c>
      <c r="U33" s="714">
        <f t="shared" si="13"/>
        <v>100</v>
      </c>
      <c r="V33" s="713" t="s">
        <v>17</v>
      </c>
      <c r="W33" s="714">
        <f t="shared" si="14"/>
        <v>100</v>
      </c>
      <c r="X33" s="1538"/>
      <c r="Y33" s="3387"/>
      <c r="Z33" s="1539">
        <f t="shared" si="15"/>
        <v>111</v>
      </c>
      <c r="AA33" s="1536">
        <f t="shared" si="3"/>
        <v>1</v>
      </c>
      <c r="AB33" s="1536">
        <f t="shared" si="4"/>
        <v>1</v>
      </c>
      <c r="AC33" s="1536">
        <f t="shared" si="5"/>
        <v>1</v>
      </c>
    </row>
    <row r="34" spans="1:30" ht="15.75" thickBot="1">
      <c r="A34" s="436"/>
      <c r="B34" s="2077">
        <v>111</v>
      </c>
      <c r="C34" s="395"/>
      <c r="D34" s="396">
        <v>100</v>
      </c>
      <c r="E34" s="2155"/>
      <c r="F34" s="397">
        <f>SUMIF(95:95,E34,96:96)-SUMIF(95:95,C34,96:96)+100</f>
        <v>100</v>
      </c>
      <c r="G34" s="2155"/>
      <c r="H34" s="396">
        <f>SUMIF(95:95,G34,96:96)-SUMIF(95:95,C34,96:96)+100</f>
        <v>100</v>
      </c>
      <c r="I34" s="2155"/>
      <c r="J34" s="396">
        <f>SUMIF(95:95,I34,96:96)-SUMIF(95:95,C34,96:96)+100</f>
        <v>100</v>
      </c>
      <c r="K34" s="569"/>
      <c r="L34" s="2940"/>
      <c r="M34" s="2934"/>
      <c r="N34" s="2934"/>
      <c r="O34" s="2992"/>
      <c r="P34" s="3387"/>
      <c r="Q34" s="1535">
        <f t="shared" si="11"/>
        <v>111</v>
      </c>
      <c r="R34" s="713" t="s">
        <v>17</v>
      </c>
      <c r="S34" s="714">
        <f t="shared" si="12"/>
        <v>100</v>
      </c>
      <c r="T34" s="713" t="s">
        <v>17</v>
      </c>
      <c r="U34" s="714">
        <f t="shared" si="13"/>
        <v>100</v>
      </c>
      <c r="V34" s="713" t="s">
        <v>17</v>
      </c>
      <c r="W34" s="714">
        <f t="shared" si="14"/>
        <v>100</v>
      </c>
      <c r="X34" s="1538"/>
      <c r="Y34" s="3387"/>
      <c r="Z34" s="1539">
        <f t="shared" si="15"/>
        <v>111</v>
      </c>
      <c r="AA34" s="1536">
        <f t="shared" si="3"/>
        <v>1</v>
      </c>
      <c r="AB34" s="1536">
        <f t="shared" si="4"/>
        <v>1</v>
      </c>
      <c r="AC34" s="1536">
        <f t="shared" si="5"/>
        <v>1</v>
      </c>
    </row>
    <row r="35" spans="1:30" ht="15">
      <c r="A35" s="437" t="s">
        <v>2395</v>
      </c>
      <c r="B35" s="438"/>
      <c r="C35" s="1314" t="s">
        <v>1</v>
      </c>
      <c r="D35" s="1315"/>
      <c r="E35" s="1316"/>
      <c r="F35" s="1317"/>
      <c r="G35" s="1318"/>
      <c r="H35" s="1319"/>
      <c r="I35" s="1316"/>
      <c r="J35" s="1319"/>
      <c r="K35" s="722"/>
      <c r="L35" s="2942"/>
      <c r="M35" s="2943"/>
      <c r="N35" s="2934"/>
      <c r="O35" s="2943"/>
      <c r="P35" s="3380" t="str">
        <f>A35</f>
        <v>成交单价（元/平方米）</v>
      </c>
      <c r="Q35" s="3380"/>
      <c r="R35" s="3381">
        <f>E35</f>
        <v>0</v>
      </c>
      <c r="S35" s="3381"/>
      <c r="T35" s="3381">
        <f>G35</f>
        <v>0</v>
      </c>
      <c r="U35" s="3381"/>
      <c r="V35" s="3381">
        <f>I35</f>
        <v>0</v>
      </c>
      <c r="W35" s="3381"/>
      <c r="X35" s="698"/>
      <c r="Y35" s="720"/>
      <c r="Z35" s="698"/>
      <c r="AA35" s="698"/>
      <c r="AB35" s="698"/>
      <c r="AC35" s="698"/>
    </row>
    <row r="36" spans="1:30" ht="15.75" thickBot="1">
      <c r="A36" s="444" t="s">
        <v>2487</v>
      </c>
      <c r="B36" s="445"/>
      <c r="C36" s="1320" t="e">
        <f>R37</f>
        <v>#DIV/0!</v>
      </c>
      <c r="D36" s="2532" t="s">
        <v>2877</v>
      </c>
      <c r="E36" s="1321" t="e">
        <f>R36</f>
        <v>#DIV/0!</v>
      </c>
      <c r="F36" s="2533"/>
      <c r="G36" s="1320" t="e">
        <f>T36</f>
        <v>#DIV/0!</v>
      </c>
      <c r="H36" s="2533"/>
      <c r="I36" s="1321" t="e">
        <f>V36</f>
        <v>#DIV/0!</v>
      </c>
      <c r="J36" s="2533"/>
      <c r="K36" s="2535">
        <f>F36+H36+J36</f>
        <v>0</v>
      </c>
      <c r="L36" s="2942"/>
      <c r="M36" s="2943"/>
      <c r="N36" s="2934"/>
      <c r="O36" s="2943"/>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42"/>
      <c r="M37" s="2943"/>
      <c r="N37" s="2943"/>
      <c r="O37" s="2943"/>
      <c r="P37" s="3377" t="str">
        <f>A37</f>
        <v>估价对象XX用房的比较价值（楼面单价，元/平方米）</v>
      </c>
      <c r="Q37" s="3378"/>
      <c r="R37" s="3441" t="e">
        <f>IF(F1="售价",ROUND(IF(D36="简单平均",AVERAGE(R36:W36),R36*F36+T36*H36+V36*J36),0),ROUND(IF(D36="简单平均",AVERAGE(R36:V36),R36*F36+T36*H36+V36*J36),1))</f>
        <v>#DIV/0!</v>
      </c>
      <c r="S37" s="3441"/>
      <c r="T37" s="3441"/>
      <c r="U37" s="3441"/>
      <c r="V37" s="3441"/>
      <c r="W37" s="3441"/>
      <c r="X37" s="698"/>
      <c r="Y37" s="698"/>
      <c r="Z37" s="698"/>
      <c r="AA37" s="698"/>
      <c r="AB37" s="698"/>
      <c r="AC37" s="698"/>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8" customFormat="1" ht="13.5" customHeight="1">
      <c r="A42" s="2946"/>
      <c r="B42" s="2946"/>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8"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2" t="s">
        <v>2492</v>
      </c>
      <c r="B45" s="698"/>
      <c r="C45" s="703"/>
      <c r="D45" s="703"/>
      <c r="E45" s="703"/>
      <c r="F45" s="704"/>
      <c r="G45" s="704"/>
      <c r="H45" s="703"/>
      <c r="I45" s="703"/>
      <c r="J45" s="703"/>
      <c r="K45" s="705"/>
      <c r="L45" s="706"/>
      <c r="M45" s="703"/>
      <c r="N45" s="2987"/>
      <c r="O45" s="2987"/>
      <c r="P45" s="2987"/>
      <c r="Q45" s="2957"/>
      <c r="R45" s="2943"/>
      <c r="S45" s="2943"/>
      <c r="T45" s="2943"/>
      <c r="U45" s="2943"/>
      <c r="V45" s="2943"/>
      <c r="W45" s="2943"/>
      <c r="X45" s="2943"/>
      <c r="Y45" s="2943"/>
      <c r="Z45" s="2943"/>
      <c r="AA45" s="2943"/>
      <c r="AB45" s="2943"/>
      <c r="AC45" s="2943"/>
      <c r="AD45" s="2943"/>
    </row>
    <row r="46" spans="1:30" s="464" customFormat="1" ht="15">
      <c r="A46" s="461" t="s">
        <v>2366</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5"/>
      <c r="B47" s="466"/>
      <c r="C47" s="1343">
        <v>100</v>
      </c>
      <c r="D47" s="468"/>
      <c r="E47" s="468"/>
      <c r="F47" s="468"/>
      <c r="G47" s="468"/>
      <c r="H47" s="468"/>
      <c r="I47" s="468"/>
      <c r="J47" s="468"/>
      <c r="K47" s="468"/>
      <c r="L47" s="468"/>
      <c r="M47" s="469"/>
      <c r="N47" s="468"/>
      <c r="O47" s="470"/>
      <c r="P47" s="2957"/>
      <c r="Q47" s="2878"/>
      <c r="R47" s="2878"/>
      <c r="S47" s="2878"/>
      <c r="T47" s="2878"/>
      <c r="U47" s="2878"/>
      <c r="V47" s="2878"/>
      <c r="W47" s="2878"/>
      <c r="X47" s="2878"/>
      <c r="Y47" s="2878"/>
      <c r="Z47" s="2878"/>
      <c r="AA47" s="2878"/>
      <c r="AB47" s="2878"/>
      <c r="AC47" s="2878"/>
      <c r="AD47" s="2878"/>
    </row>
    <row r="48" spans="1:30" s="113" customFormat="1" ht="15.75" thickBot="1">
      <c r="A48" s="471" t="s">
        <v>2403</v>
      </c>
      <c r="B48" s="472"/>
      <c r="C48" s="473"/>
      <c r="D48" s="474"/>
      <c r="E48" s="474"/>
      <c r="F48" s="474"/>
      <c r="G48" s="474"/>
      <c r="H48" s="474"/>
      <c r="I48" s="474"/>
      <c r="J48" s="474"/>
      <c r="K48" s="474"/>
      <c r="L48" s="474"/>
      <c r="M48" s="475"/>
      <c r="N48" s="474"/>
      <c r="O48" s="476"/>
      <c r="P48" s="2957"/>
      <c r="Q48" s="2957"/>
      <c r="R48" s="2878"/>
      <c r="S48" s="2878"/>
      <c r="T48" s="2878"/>
      <c r="U48" s="2878"/>
      <c r="V48" s="2878"/>
      <c r="W48" s="2878"/>
      <c r="X48" s="2878"/>
      <c r="Y48" s="2878"/>
      <c r="Z48" s="2878"/>
      <c r="AA48" s="2878"/>
      <c r="AB48" s="2878"/>
      <c r="AC48" s="2878"/>
      <c r="AD48" s="2878"/>
    </row>
    <row r="49" spans="1:30" s="113" customFormat="1" ht="15">
      <c r="A49" s="477" t="s">
        <v>2368</v>
      </c>
      <c r="B49" s="466"/>
      <c r="C49" s="478" t="s">
        <v>2470</v>
      </c>
      <c r="D49" s="479"/>
      <c r="E49" s="479"/>
      <c r="F49" s="479"/>
      <c r="G49" s="479"/>
      <c r="H49" s="479"/>
      <c r="I49" s="479"/>
      <c r="J49" s="479"/>
      <c r="K49" s="479"/>
      <c r="L49" s="480"/>
      <c r="M49" s="481"/>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7"/>
      <c r="B50" s="466"/>
      <c r="C50" s="594">
        <v>100</v>
      </c>
      <c r="D50" s="468"/>
      <c r="E50" s="468"/>
      <c r="F50" s="468"/>
      <c r="G50" s="468"/>
      <c r="H50" s="468"/>
      <c r="I50" s="468"/>
      <c r="J50" s="468"/>
      <c r="K50" s="468"/>
      <c r="L50" s="468"/>
      <c r="M50" s="470"/>
      <c r="N50" s="2970"/>
      <c r="O50" s="2970"/>
      <c r="P50" s="2957"/>
      <c r="Q50" s="2957"/>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1"/>
      <c r="O51" s="2971"/>
      <c r="P51" s="2996"/>
      <c r="Q51" s="2957"/>
      <c r="R51" s="2943"/>
      <c r="S51" s="2943"/>
      <c r="T51" s="2943"/>
      <c r="U51" s="2943"/>
      <c r="V51" s="2943"/>
      <c r="W51" s="2943"/>
      <c r="X51" s="2943"/>
      <c r="Y51" s="2943"/>
      <c r="Z51" s="2943"/>
      <c r="AA51" s="2943"/>
      <c r="AB51" s="2943"/>
      <c r="AC51" s="2943"/>
      <c r="AD51" s="2943"/>
    </row>
    <row r="52" spans="1:30" ht="15.75" thickBot="1">
      <c r="A52" s="490"/>
      <c r="B52" s="491"/>
      <c r="C52" s="492">
        <v>100</v>
      </c>
      <c r="D52" s="492"/>
      <c r="E52" s="492"/>
      <c r="F52" s="492"/>
      <c r="G52" s="492"/>
      <c r="H52" s="492"/>
      <c r="I52" s="492"/>
      <c r="J52" s="492"/>
      <c r="K52" s="492"/>
      <c r="L52" s="492"/>
      <c r="M52" s="493"/>
      <c r="N52" s="2972"/>
      <c r="O52" s="2972"/>
      <c r="P52" s="2996"/>
      <c r="Q52" s="2957"/>
      <c r="R52" s="2943"/>
      <c r="S52" s="2943"/>
      <c r="T52" s="2943"/>
      <c r="U52" s="2943"/>
      <c r="V52" s="2943"/>
      <c r="W52" s="2943"/>
      <c r="X52" s="2943"/>
      <c r="Y52" s="2943"/>
      <c r="Z52" s="2943"/>
      <c r="AA52" s="2943"/>
      <c r="AB52" s="2943"/>
      <c r="AC52" s="2943"/>
      <c r="AD52" s="2943"/>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1"/>
      <c r="O53" s="2971"/>
      <c r="P53" s="2996"/>
      <c r="Q53" s="2957"/>
      <c r="R53" s="2943"/>
      <c r="S53" s="2943"/>
      <c r="T53" s="2943"/>
      <c r="U53" s="2943"/>
      <c r="V53" s="2943"/>
      <c r="W53" s="2943"/>
      <c r="X53" s="2943"/>
      <c r="Y53" s="2943"/>
      <c r="Z53" s="2943"/>
      <c r="AA53" s="2943"/>
      <c r="AB53" s="2943"/>
      <c r="AC53" s="2943"/>
      <c r="AD53" s="294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7"/>
      <c r="R54" s="2943"/>
      <c r="S54" s="2943"/>
      <c r="T54" s="2943"/>
      <c r="U54" s="2943"/>
      <c r="V54" s="2943"/>
      <c r="W54" s="2943"/>
      <c r="X54" s="2943"/>
      <c r="Y54" s="2943"/>
      <c r="Z54" s="2943"/>
      <c r="AA54" s="2943"/>
      <c r="AB54" s="2943"/>
      <c r="AC54" s="2943"/>
      <c r="AD54" s="2943"/>
    </row>
    <row r="55" spans="1:30" ht="15.75" thickTop="1">
      <c r="A55" s="490"/>
      <c r="B55" s="615">
        <f>B11</f>
        <v>111</v>
      </c>
      <c r="C55" s="505"/>
      <c r="D55" s="505"/>
      <c r="E55" s="505"/>
      <c r="F55" s="505"/>
      <c r="G55" s="505"/>
      <c r="H55" s="505"/>
      <c r="I55" s="505"/>
      <c r="J55" s="505"/>
      <c r="K55" s="506"/>
      <c r="L55" s="507"/>
      <c r="M55" s="508"/>
      <c r="N55" s="2971"/>
      <c r="O55" s="2971"/>
      <c r="P55" s="2996"/>
      <c r="Q55" s="2957"/>
      <c r="R55" s="2943"/>
      <c r="S55" s="2943"/>
      <c r="T55" s="2943"/>
      <c r="U55" s="2943"/>
      <c r="V55" s="2943"/>
      <c r="W55" s="2943"/>
      <c r="X55" s="2943"/>
      <c r="Y55" s="2943"/>
      <c r="Z55" s="2943"/>
      <c r="AA55" s="2943"/>
      <c r="AB55" s="2943"/>
      <c r="AC55" s="2943"/>
      <c r="AD55" s="2943"/>
    </row>
    <row r="56" spans="1:30" ht="15.75" thickBot="1">
      <c r="A56" s="490"/>
      <c r="B56" s="491"/>
      <c r="C56" s="516"/>
      <c r="D56" s="492"/>
      <c r="E56" s="492"/>
      <c r="F56" s="492"/>
      <c r="G56" s="492"/>
      <c r="H56" s="492"/>
      <c r="I56" s="492"/>
      <c r="J56" s="492"/>
      <c r="K56" s="492"/>
      <c r="L56" s="492"/>
      <c r="M56" s="493"/>
      <c r="N56" s="2972"/>
      <c r="O56" s="2972"/>
      <c r="P56" s="2996"/>
      <c r="Q56" s="2957"/>
      <c r="R56" s="2943"/>
      <c r="S56" s="2943"/>
      <c r="T56" s="2943"/>
      <c r="U56" s="2943"/>
      <c r="V56" s="2943"/>
      <c r="W56" s="2943"/>
      <c r="X56" s="2943"/>
      <c r="Y56" s="2943"/>
      <c r="Z56" s="2943"/>
      <c r="AA56" s="2943"/>
      <c r="AB56" s="2943"/>
      <c r="AC56" s="2943"/>
      <c r="AD56" s="2943"/>
    </row>
    <row r="57" spans="1:30" s="429" customFormat="1" ht="15.75"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5.75"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5.75" thickTop="1">
      <c r="A59" s="509"/>
      <c r="B59" s="494">
        <f>B13</f>
        <v>111</v>
      </c>
      <c r="C59" s="505"/>
      <c r="D59" s="505"/>
      <c r="E59" s="505"/>
      <c r="F59" s="505"/>
      <c r="G59" s="510"/>
      <c r="H59" s="511"/>
      <c r="I59" s="511"/>
      <c r="J59" s="511"/>
      <c r="K59" s="511"/>
      <c r="L59" s="512"/>
      <c r="M59" s="513"/>
      <c r="N59" s="2973"/>
      <c r="O59" s="2973"/>
      <c r="P59" s="2941"/>
      <c r="Q59" s="2967"/>
      <c r="R59" s="2965"/>
      <c r="S59" s="2965"/>
      <c r="T59" s="2965"/>
      <c r="U59" s="2965"/>
      <c r="V59" s="2965"/>
      <c r="W59" s="2965"/>
      <c r="X59" s="2965"/>
      <c r="Y59" s="2965"/>
      <c r="Z59" s="2965"/>
      <c r="AA59" s="2965"/>
      <c r="AB59" s="2965"/>
      <c r="AC59" s="2965"/>
      <c r="AD59" s="2965"/>
    </row>
    <row r="60" spans="1:30" s="429" customFormat="1" ht="15.75"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1"/>
      <c r="O61" s="2971"/>
      <c r="P61" s="2998"/>
      <c r="Q61" s="2957"/>
      <c r="R61" s="2943"/>
      <c r="S61" s="2943"/>
      <c r="T61" s="2943"/>
      <c r="U61" s="2943"/>
      <c r="V61" s="2943"/>
      <c r="W61" s="2943"/>
      <c r="X61" s="2943"/>
      <c r="Y61" s="2943"/>
      <c r="Z61" s="2943"/>
      <c r="AA61" s="2943"/>
      <c r="AB61" s="2943"/>
      <c r="AC61" s="2943"/>
      <c r="AD61" s="294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7"/>
      <c r="R62" s="2943"/>
      <c r="S62" s="2943"/>
      <c r="T62" s="2943"/>
      <c r="U62" s="2943"/>
      <c r="V62" s="2943"/>
      <c r="W62" s="2943"/>
      <c r="X62" s="2943"/>
      <c r="Y62" s="2943"/>
      <c r="Z62" s="2943"/>
      <c r="AA62" s="2943"/>
      <c r="AB62" s="2943"/>
      <c r="AC62" s="2943"/>
      <c r="AD62" s="2943"/>
    </row>
    <row r="63" spans="1:30" ht="27.75" thickTop="1">
      <c r="A63" s="490"/>
      <c r="B63" s="494" t="s">
        <v>2558</v>
      </c>
      <c r="C63" s="534" t="s">
        <v>2415</v>
      </c>
      <c r="D63" s="534" t="s">
        <v>2416</v>
      </c>
      <c r="E63" s="534" t="s">
        <v>2417</v>
      </c>
      <c r="F63" s="534" t="s">
        <v>2418</v>
      </c>
      <c r="G63" s="534" t="s">
        <v>2419</v>
      </c>
      <c r="H63" s="495"/>
      <c r="I63" s="495"/>
      <c r="J63" s="495"/>
      <c r="K63" s="496"/>
      <c r="L63" s="497"/>
      <c r="M63" s="498"/>
      <c r="N63" s="2971"/>
      <c r="O63" s="2971"/>
      <c r="P63" s="2996"/>
      <c r="Q63" s="2957"/>
      <c r="R63" s="2943"/>
      <c r="S63" s="2943"/>
      <c r="T63" s="2943"/>
      <c r="U63" s="2943"/>
      <c r="V63" s="2943"/>
      <c r="W63" s="2943"/>
      <c r="X63" s="2943"/>
      <c r="Y63" s="2943"/>
      <c r="Z63" s="2943"/>
      <c r="AA63" s="2943"/>
      <c r="AB63" s="2943"/>
      <c r="AC63" s="2943"/>
      <c r="AD63" s="294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7"/>
      <c r="R64" s="2943"/>
      <c r="S64" s="2943"/>
      <c r="T64" s="2943"/>
      <c r="U64" s="2943"/>
      <c r="V64" s="2943"/>
      <c r="W64" s="2943"/>
      <c r="X64" s="2943"/>
      <c r="Y64" s="2943"/>
      <c r="Z64" s="2943"/>
      <c r="AA64" s="2943"/>
      <c r="AB64" s="2943"/>
      <c r="AC64" s="2943"/>
      <c r="AD64" s="2943"/>
    </row>
    <row r="65" spans="1:30" ht="15.75" thickTop="1">
      <c r="A65" s="490"/>
      <c r="B65" s="502" t="s">
        <v>2507</v>
      </c>
      <c r="C65" s="615" t="s">
        <v>2493</v>
      </c>
      <c r="D65" s="615" t="s">
        <v>2494</v>
      </c>
      <c r="E65" s="615" t="s">
        <v>2495</v>
      </c>
      <c r="F65" s="615" t="s">
        <v>2496</v>
      </c>
      <c r="G65" s="615" t="s">
        <v>2497</v>
      </c>
      <c r="H65" s="495"/>
      <c r="I65" s="495"/>
      <c r="J65" s="495"/>
      <c r="K65" s="495"/>
      <c r="L65" s="495"/>
      <c r="M65" s="1289"/>
      <c r="N65" s="2972"/>
      <c r="O65" s="2972"/>
      <c r="P65" s="2996"/>
      <c r="Q65" s="2957"/>
      <c r="R65" s="2943"/>
      <c r="S65" s="2943"/>
      <c r="T65" s="2943"/>
      <c r="U65" s="2943"/>
      <c r="V65" s="2943"/>
      <c r="W65" s="2943"/>
      <c r="X65" s="2943"/>
      <c r="Y65" s="2943"/>
      <c r="Z65" s="2943"/>
      <c r="AA65" s="2943"/>
      <c r="AB65" s="2943"/>
      <c r="AC65" s="2943"/>
      <c r="AD65" s="294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7"/>
      <c r="R66" s="2943"/>
      <c r="S66" s="2943"/>
      <c r="T66" s="2943"/>
      <c r="U66" s="2943"/>
      <c r="V66" s="2943"/>
      <c r="W66" s="2943"/>
      <c r="X66" s="2943"/>
      <c r="Y66" s="2943"/>
      <c r="Z66" s="2943"/>
      <c r="AA66" s="2943"/>
      <c r="AB66" s="2943"/>
      <c r="AC66" s="2943"/>
      <c r="AD66" s="2943"/>
    </row>
    <row r="67" spans="1:30" ht="15.75" thickTop="1">
      <c r="A67" s="490"/>
      <c r="B67" s="494" t="s">
        <v>2427</v>
      </c>
      <c r="C67" s="534" t="s">
        <v>2415</v>
      </c>
      <c r="D67" s="534" t="s">
        <v>2416</v>
      </c>
      <c r="E67" s="534" t="s">
        <v>2417</v>
      </c>
      <c r="F67" s="534" t="s">
        <v>2418</v>
      </c>
      <c r="G67" s="534" t="s">
        <v>2419</v>
      </c>
      <c r="H67" s="495"/>
      <c r="I67" s="495"/>
      <c r="J67" s="495"/>
      <c r="K67" s="496"/>
      <c r="L67" s="497"/>
      <c r="M67" s="498"/>
      <c r="N67" s="2971"/>
      <c r="O67" s="2971"/>
      <c r="P67" s="2996"/>
      <c r="Q67" s="2957"/>
      <c r="R67" s="2943"/>
      <c r="S67" s="2943"/>
      <c r="T67" s="2943"/>
      <c r="U67" s="2943"/>
      <c r="V67" s="2943"/>
      <c r="W67" s="2943"/>
      <c r="X67" s="2943"/>
      <c r="Y67" s="2943"/>
      <c r="Z67" s="2943"/>
      <c r="AA67" s="2943"/>
      <c r="AB67" s="2943"/>
      <c r="AC67" s="2943"/>
      <c r="AD67" s="294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7"/>
      <c r="R68" s="2943"/>
      <c r="S68" s="2943"/>
      <c r="T68" s="2943"/>
      <c r="U68" s="2943"/>
      <c r="V68" s="2943"/>
      <c r="W68" s="2943"/>
      <c r="X68" s="2943"/>
      <c r="Y68" s="2943"/>
      <c r="Z68" s="2943"/>
      <c r="AA68" s="2943"/>
      <c r="AB68" s="2943"/>
      <c r="AC68" s="2943"/>
      <c r="AD68" s="2943"/>
    </row>
    <row r="69" spans="1:30" ht="15.75" thickTop="1">
      <c r="A69" s="490"/>
      <c r="B69" s="494" t="s">
        <v>2547</v>
      </c>
      <c r="C69" s="510"/>
      <c r="D69" s="510"/>
      <c r="E69" s="510"/>
      <c r="F69" s="510"/>
      <c r="G69" s="510"/>
      <c r="H69" s="539"/>
      <c r="I69" s="539"/>
      <c r="J69" s="539"/>
      <c r="K69" s="540"/>
      <c r="L69" s="541"/>
      <c r="M69" s="542"/>
      <c r="N69" s="2971"/>
      <c r="O69" s="2971"/>
      <c r="P69" s="2996"/>
      <c r="Q69" s="2957"/>
      <c r="R69" s="2943"/>
      <c r="S69" s="2943"/>
      <c r="T69" s="2943"/>
      <c r="U69" s="2943"/>
      <c r="V69" s="2943"/>
      <c r="W69" s="2943"/>
      <c r="X69" s="2943"/>
      <c r="Y69" s="2943"/>
      <c r="Z69" s="2943"/>
      <c r="AA69" s="2943"/>
      <c r="AB69" s="2943"/>
      <c r="AC69" s="2943"/>
      <c r="AD69" s="2943"/>
    </row>
    <row r="70" spans="1:30" ht="15.75" thickBot="1">
      <c r="A70" s="490"/>
      <c r="B70" s="499"/>
      <c r="C70" s="500">
        <v>100</v>
      </c>
      <c r="D70" s="500">
        <f>C70-$K22</f>
        <v>100</v>
      </c>
      <c r="E70" s="500"/>
      <c r="F70" s="500"/>
      <c r="G70" s="500"/>
      <c r="H70" s="500"/>
      <c r="I70" s="500"/>
      <c r="J70" s="500"/>
      <c r="K70" s="500"/>
      <c r="L70" s="500"/>
      <c r="M70" s="501"/>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5"/>
      <c r="B71" s="494">
        <f>B23</f>
        <v>111</v>
      </c>
      <c r="C71" s="505"/>
      <c r="D71" s="505"/>
      <c r="E71" s="505"/>
      <c r="F71" s="505"/>
      <c r="G71" s="510"/>
      <c r="H71" s="510"/>
      <c r="I71" s="510"/>
      <c r="J71" s="510"/>
      <c r="K71" s="510"/>
      <c r="L71" s="536"/>
      <c r="M71" s="537"/>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5"/>
      <c r="B72" s="499"/>
      <c r="C72" s="516"/>
      <c r="D72" s="492"/>
      <c r="E72" s="492"/>
      <c r="F72" s="492"/>
      <c r="G72" s="492"/>
      <c r="H72" s="492"/>
      <c r="I72" s="492"/>
      <c r="J72" s="492"/>
      <c r="K72" s="492"/>
      <c r="L72" s="492"/>
      <c r="M72" s="493"/>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5"/>
      <c r="B73" s="494">
        <f>B24</f>
        <v>111</v>
      </c>
      <c r="C73" s="505"/>
      <c r="D73" s="505"/>
      <c r="E73" s="505"/>
      <c r="F73" s="505"/>
      <c r="G73" s="510"/>
      <c r="H73" s="510"/>
      <c r="I73" s="510"/>
      <c r="J73" s="510"/>
      <c r="K73" s="510"/>
      <c r="L73" s="510"/>
      <c r="M73" s="537"/>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5"/>
      <c r="B74" s="499"/>
      <c r="C74" s="516"/>
      <c r="D74" s="492"/>
      <c r="E74" s="492"/>
      <c r="F74" s="492"/>
      <c r="G74" s="492"/>
      <c r="H74" s="492"/>
      <c r="I74" s="492"/>
      <c r="J74" s="492"/>
      <c r="K74" s="492"/>
      <c r="L74" s="492"/>
      <c r="M74" s="493"/>
      <c r="N74" s="2972"/>
      <c r="O74" s="2972"/>
      <c r="P74" s="2996"/>
      <c r="Q74" s="2957"/>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5.75"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2381</v>
      </c>
      <c r="B77" s="484" t="s">
        <v>2434</v>
      </c>
      <c r="C77" s="510"/>
      <c r="D77" s="510"/>
      <c r="E77" s="486"/>
      <c r="F77" s="486"/>
      <c r="G77" s="486"/>
      <c r="H77" s="486"/>
      <c r="I77" s="486"/>
      <c r="J77" s="486"/>
      <c r="K77" s="487"/>
      <c r="L77" s="488"/>
      <c r="M77" s="489"/>
      <c r="N77" s="2971"/>
      <c r="O77" s="2971"/>
      <c r="P77" s="2996"/>
      <c r="Q77" s="2957"/>
      <c r="R77" s="2943"/>
      <c r="S77" s="2943"/>
      <c r="T77" s="2943"/>
      <c r="U77" s="2943"/>
      <c r="V77" s="2943"/>
      <c r="W77" s="2943"/>
      <c r="X77" s="2943"/>
      <c r="Y77" s="2943"/>
      <c r="Z77" s="2943"/>
      <c r="AA77" s="2943"/>
      <c r="AB77" s="2943"/>
      <c r="AC77" s="2943"/>
      <c r="AD77" s="294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7"/>
      <c r="R79" s="2943"/>
      <c r="S79" s="2943"/>
      <c r="T79" s="2943"/>
      <c r="U79" s="2943"/>
      <c r="V79" s="2943"/>
      <c r="W79" s="2943"/>
      <c r="X79" s="2943"/>
      <c r="Y79" s="2943"/>
      <c r="Z79" s="2943"/>
      <c r="AA79" s="2943"/>
      <c r="AB79" s="2943"/>
      <c r="AC79" s="2943"/>
      <c r="AD79" s="2943"/>
    </row>
    <row r="80" spans="1:30" ht="15">
      <c r="A80" s="490"/>
      <c r="B80" s="502"/>
      <c r="C80" s="559">
        <v>0.5</v>
      </c>
      <c r="D80" s="559">
        <v>0.6</v>
      </c>
      <c r="E80" s="559">
        <v>0.7</v>
      </c>
      <c r="F80" s="559">
        <v>0.8</v>
      </c>
      <c r="G80" s="559">
        <v>0.9</v>
      </c>
      <c r="H80" s="559">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2551</v>
      </c>
      <c r="C82" s="510"/>
      <c r="D82" s="510"/>
      <c r="E82" s="539"/>
      <c r="F82" s="539"/>
      <c r="G82" s="539"/>
      <c r="H82" s="539"/>
      <c r="I82" s="539"/>
      <c r="J82" s="539"/>
      <c r="K82" s="540"/>
      <c r="L82" s="541"/>
      <c r="M82" s="542"/>
      <c r="N82" s="2971"/>
      <c r="O82" s="2971"/>
      <c r="P82" s="2996"/>
      <c r="Q82" s="2957"/>
      <c r="R82" s="2943"/>
      <c r="S82" s="2943"/>
      <c r="T82" s="2943"/>
      <c r="U82" s="2943"/>
      <c r="V82" s="2943"/>
      <c r="W82" s="2943"/>
      <c r="X82" s="2943"/>
      <c r="Y82" s="2943"/>
      <c r="Z82" s="2943"/>
      <c r="AA82" s="2943"/>
      <c r="AB82" s="2943"/>
      <c r="AC82" s="2943"/>
      <c r="AD82" s="294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5"/>
      <c r="B84" s="494" t="s">
        <v>2559</v>
      </c>
      <c r="C84" s="510"/>
      <c r="D84" s="510"/>
      <c r="E84" s="510"/>
      <c r="F84" s="510"/>
      <c r="G84" s="510"/>
      <c r="H84" s="510"/>
      <c r="I84" s="539"/>
      <c r="J84" s="539"/>
      <c r="K84" s="540"/>
      <c r="L84" s="541"/>
      <c r="M84" s="542"/>
      <c r="N84" s="2971"/>
      <c r="O84" s="2971"/>
      <c r="P84" s="2996"/>
      <c r="Q84" s="2957"/>
      <c r="R84" s="2943"/>
      <c r="S84" s="2943"/>
      <c r="T84" s="2943"/>
      <c r="U84" s="2943"/>
      <c r="V84" s="2943"/>
      <c r="W84" s="2943"/>
      <c r="X84" s="2943"/>
      <c r="Y84" s="2943"/>
      <c r="Z84" s="2943"/>
      <c r="AA84" s="2943"/>
      <c r="AB84" s="2943"/>
      <c r="AC84" s="2943"/>
      <c r="AD84" s="294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5"/>
      <c r="B87" s="502"/>
      <c r="C87" s="551"/>
      <c r="D87" s="551"/>
      <c r="E87" s="551"/>
      <c r="F87" s="551"/>
      <c r="G87" s="551"/>
      <c r="H87" s="551"/>
      <c r="I87" s="551"/>
      <c r="J87" s="552"/>
      <c r="K87" s="552"/>
      <c r="L87" s="553"/>
      <c r="M87" s="554"/>
      <c r="N87" s="2971"/>
      <c r="O87" s="2971"/>
      <c r="P87" s="2996"/>
      <c r="Q87" s="2957"/>
      <c r="R87" s="2943"/>
      <c r="S87" s="2943"/>
      <c r="T87" s="2943"/>
      <c r="U87" s="2943"/>
      <c r="V87" s="2943"/>
      <c r="W87" s="2943"/>
      <c r="X87" s="2943"/>
      <c r="Y87" s="2943"/>
      <c r="Z87" s="2943"/>
      <c r="AA87" s="2943"/>
      <c r="AB87" s="2943"/>
      <c r="AC87" s="2943"/>
      <c r="AD87" s="2943"/>
    </row>
    <row r="88" spans="1:30" ht="15.75" thickBot="1">
      <c r="A88" s="490"/>
      <c r="B88" s="499"/>
      <c r="C88" s="516"/>
      <c r="D88" s="492"/>
      <c r="E88" s="492"/>
      <c r="F88" s="492"/>
      <c r="G88" s="492"/>
      <c r="H88" s="492"/>
      <c r="I88" s="492"/>
      <c r="J88" s="492"/>
      <c r="K88" s="492"/>
      <c r="L88" s="492"/>
      <c r="M88" s="492"/>
      <c r="N88" s="2972"/>
      <c r="O88" s="2972"/>
      <c r="P88" s="2996"/>
      <c r="Q88" s="2957"/>
      <c r="R88" s="2943"/>
      <c r="S88" s="2943"/>
      <c r="T88" s="2943"/>
      <c r="U88" s="2943"/>
      <c r="V88" s="2943"/>
      <c r="W88" s="2943"/>
      <c r="X88" s="2943"/>
      <c r="Y88" s="2943"/>
      <c r="Z88" s="2943"/>
      <c r="AA88" s="2943"/>
      <c r="AB88" s="2943"/>
      <c r="AC88" s="2943"/>
      <c r="AD88" s="2943"/>
    </row>
    <row r="89" spans="1:30" s="429" customFormat="1" ht="15" thickTop="1">
      <c r="A89" s="549"/>
      <c r="B89" s="494" t="s">
        <v>2561</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5.75"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5" thickTop="1">
      <c r="A91" s="555"/>
      <c r="B91" s="494">
        <f>B32</f>
        <v>111</v>
      </c>
      <c r="C91" s="505"/>
      <c r="D91" s="505"/>
      <c r="E91" s="505"/>
      <c r="F91" s="505"/>
      <c r="G91" s="510"/>
      <c r="H91" s="511"/>
      <c r="I91" s="511"/>
      <c r="J91" s="511"/>
      <c r="K91" s="511"/>
      <c r="L91" s="512"/>
      <c r="M91" s="513"/>
      <c r="N91" s="2971"/>
      <c r="O91" s="2971"/>
      <c r="P91" s="2996"/>
      <c r="Q91" s="2957"/>
      <c r="R91" s="2943"/>
      <c r="S91" s="2943"/>
      <c r="T91" s="2943"/>
      <c r="U91" s="2943"/>
      <c r="V91" s="2943"/>
      <c r="W91" s="2943"/>
      <c r="X91" s="2943"/>
      <c r="Y91" s="2943"/>
      <c r="Z91" s="2943"/>
      <c r="AA91" s="2943"/>
      <c r="AB91" s="2943"/>
      <c r="AC91" s="2943"/>
      <c r="AD91" s="2943"/>
    </row>
    <row r="92" spans="1:30" ht="15.75" thickBot="1">
      <c r="A92" s="490"/>
      <c r="B92" s="499"/>
      <c r="C92" s="516"/>
      <c r="D92" s="492"/>
      <c r="E92" s="492"/>
      <c r="F92" s="492"/>
      <c r="G92" s="516"/>
      <c r="H92" s="518"/>
      <c r="I92" s="518"/>
      <c r="J92" s="518"/>
      <c r="K92" s="518"/>
      <c r="L92" s="518"/>
      <c r="M92" s="519"/>
      <c r="N92" s="2972"/>
      <c r="O92" s="2972"/>
      <c r="P92" s="2996"/>
      <c r="Q92" s="2957"/>
      <c r="R92" s="2943"/>
      <c r="S92" s="2943"/>
      <c r="T92" s="2943"/>
      <c r="U92" s="2943"/>
      <c r="V92" s="2943"/>
      <c r="W92" s="2943"/>
      <c r="X92" s="2943"/>
      <c r="Y92" s="2943"/>
      <c r="Z92" s="2943"/>
      <c r="AA92" s="2943"/>
      <c r="AB92" s="2943"/>
      <c r="AC92" s="2943"/>
      <c r="AD92" s="2943"/>
    </row>
    <row r="93" spans="1:30" ht="15" thickTop="1">
      <c r="A93" s="555"/>
      <c r="B93" s="494">
        <f>B33</f>
        <v>111</v>
      </c>
      <c r="C93" s="505"/>
      <c r="D93" s="505"/>
      <c r="E93" s="505"/>
      <c r="F93" s="505"/>
      <c r="G93" s="510"/>
      <c r="H93" s="511"/>
      <c r="I93" s="511"/>
      <c r="J93" s="511"/>
      <c r="K93" s="511"/>
      <c r="L93" s="512"/>
      <c r="M93" s="513"/>
      <c r="N93" s="2971"/>
      <c r="O93" s="2971"/>
      <c r="P93" s="2996"/>
      <c r="Q93" s="2957"/>
      <c r="R93" s="2943"/>
      <c r="S93" s="2943"/>
      <c r="T93" s="2943"/>
      <c r="U93" s="2943"/>
      <c r="V93" s="2943"/>
      <c r="W93" s="2943"/>
      <c r="X93" s="2943"/>
      <c r="Y93" s="2943"/>
      <c r="Z93" s="2943"/>
      <c r="AA93" s="2943"/>
      <c r="AB93" s="2943"/>
      <c r="AC93" s="2943"/>
      <c r="AD93" s="2943"/>
    </row>
    <row r="94" spans="1:30" ht="15.75" thickBot="1">
      <c r="A94" s="490"/>
      <c r="B94" s="499"/>
      <c r="C94" s="516"/>
      <c r="D94" s="492"/>
      <c r="E94" s="492"/>
      <c r="F94" s="492"/>
      <c r="G94" s="516"/>
      <c r="H94" s="518"/>
      <c r="I94" s="518"/>
      <c r="J94" s="518"/>
      <c r="K94" s="518"/>
      <c r="L94" s="518"/>
      <c r="M94" s="519"/>
      <c r="N94" s="2972"/>
      <c r="O94" s="2972"/>
      <c r="P94" s="2996"/>
      <c r="Q94" s="2957"/>
      <c r="R94" s="2943"/>
      <c r="S94" s="2943"/>
      <c r="T94" s="2943"/>
      <c r="U94" s="2943"/>
      <c r="V94" s="2943"/>
      <c r="W94" s="2943"/>
      <c r="X94" s="2943"/>
      <c r="Y94" s="2943"/>
      <c r="Z94" s="2943"/>
      <c r="AA94" s="2943"/>
      <c r="AB94" s="2943"/>
      <c r="AC94" s="2943"/>
      <c r="AD94" s="2943"/>
    </row>
    <row r="95" spans="1:30" ht="15" thickTop="1">
      <c r="A95" s="555"/>
      <c r="B95" s="591">
        <f>B34</f>
        <v>111</v>
      </c>
      <c r="C95" s="505"/>
      <c r="D95" s="505"/>
      <c r="E95" s="505"/>
      <c r="F95" s="505"/>
      <c r="G95" s="510"/>
      <c r="H95" s="511"/>
      <c r="I95" s="511"/>
      <c r="J95" s="511"/>
      <c r="K95" s="511"/>
      <c r="L95" s="512"/>
      <c r="M95" s="513"/>
      <c r="N95" s="2972"/>
      <c r="O95" s="2972"/>
      <c r="P95" s="2999"/>
      <c r="Q95" s="2986"/>
      <c r="R95" s="2943"/>
      <c r="S95" s="2943"/>
      <c r="T95" s="2943"/>
      <c r="U95" s="2943"/>
      <c r="V95" s="2943"/>
      <c r="W95" s="2943"/>
      <c r="X95" s="2943"/>
      <c r="Y95" s="2943"/>
      <c r="Z95" s="2943"/>
      <c r="AA95" s="2943"/>
      <c r="AB95" s="2943"/>
      <c r="AC95" s="2943"/>
      <c r="AD95" s="2943"/>
    </row>
    <row r="96" spans="1:30" ht="15.75" thickBot="1">
      <c r="A96" s="490"/>
      <c r="B96" s="499"/>
      <c r="C96" s="516"/>
      <c r="D96" s="516"/>
      <c r="E96" s="516"/>
      <c r="F96" s="516"/>
      <c r="G96" s="516"/>
      <c r="H96" s="518"/>
      <c r="I96" s="518"/>
      <c r="J96" s="518"/>
      <c r="K96" s="518"/>
      <c r="L96" s="518"/>
      <c r="M96" s="519"/>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5"/>
      <c r="B98" s="1065"/>
      <c r="C98" s="1065"/>
      <c r="D98" s="1065"/>
      <c r="E98" s="1065"/>
      <c r="F98" s="1065"/>
      <c r="G98" s="1065"/>
      <c r="H98" s="1065"/>
      <c r="I98" s="1065"/>
      <c r="J98" s="1065"/>
      <c r="K98" s="1066"/>
      <c r="L98" s="1067"/>
      <c r="M98" s="1065"/>
      <c r="N98" s="2943"/>
      <c r="O98" s="2943"/>
      <c r="P98" s="2943"/>
      <c r="Q98" s="2943"/>
      <c r="R98" s="2943"/>
      <c r="S98" s="2943"/>
      <c r="T98" s="2943"/>
      <c r="U98" s="2943"/>
      <c r="V98" s="2943"/>
      <c r="W98" s="2943"/>
      <c r="X98" s="2943"/>
      <c r="Y98" s="2943"/>
      <c r="Z98" s="2943"/>
      <c r="AA98" s="2943"/>
      <c r="AB98" s="2943"/>
      <c r="AC98" s="2943"/>
      <c r="AD98" s="2943"/>
    </row>
    <row r="99" spans="1:30">
      <c r="A99" s="1065"/>
      <c r="B99" s="1065"/>
      <c r="C99" s="1065"/>
      <c r="D99" s="1065"/>
      <c r="E99" s="1065"/>
      <c r="F99" s="1065"/>
      <c r="G99" s="1065"/>
      <c r="H99" s="1065"/>
      <c r="I99" s="1065"/>
      <c r="J99" s="1065"/>
      <c r="K99" s="1066"/>
      <c r="L99" s="1067"/>
      <c r="M99" s="1065"/>
      <c r="N99" s="2943"/>
      <c r="O99" s="2943"/>
      <c r="P99" s="2943"/>
      <c r="Q99" s="2943"/>
      <c r="R99" s="2943"/>
      <c r="S99" s="2943"/>
      <c r="T99" s="2943"/>
      <c r="U99" s="2943"/>
      <c r="V99" s="2943"/>
      <c r="W99" s="2943"/>
      <c r="X99" s="2943"/>
      <c r="Y99" s="2943"/>
      <c r="Z99" s="2943"/>
      <c r="AA99" s="2943"/>
      <c r="AB99" s="2943"/>
      <c r="AC99" s="2943"/>
      <c r="AD99" s="2943"/>
    </row>
    <row r="100" spans="1:30">
      <c r="A100" s="1065"/>
      <c r="B100" s="1065"/>
      <c r="C100" s="1065"/>
      <c r="D100" s="1065"/>
      <c r="E100" s="1065"/>
      <c r="F100" s="1065"/>
      <c r="G100" s="1065"/>
      <c r="H100" s="1065"/>
      <c r="I100" s="1065"/>
      <c r="J100" s="1065"/>
      <c r="K100" s="1066"/>
      <c r="L100" s="1067"/>
      <c r="M100" s="1065"/>
      <c r="N100" s="2943"/>
      <c r="O100" s="2943"/>
      <c r="P100" s="2943"/>
      <c r="Q100" s="2943"/>
      <c r="R100" s="2943"/>
      <c r="S100" s="2943"/>
      <c r="T100" s="2943"/>
      <c r="U100" s="2943"/>
      <c r="V100" s="2943"/>
      <c r="W100" s="2943"/>
      <c r="X100" s="2943"/>
      <c r="Y100" s="2943"/>
      <c r="Z100" s="2943"/>
      <c r="AA100" s="2943"/>
      <c r="AB100" s="2943"/>
      <c r="AC100" s="2943"/>
      <c r="AD100" s="2943"/>
    </row>
    <row r="101" spans="1:30">
      <c r="A101" s="1065"/>
      <c r="B101" s="1065"/>
      <c r="C101" s="1065"/>
      <c r="D101" s="1065"/>
      <c r="E101" s="1065"/>
      <c r="F101" s="1065"/>
      <c r="G101" s="1065"/>
      <c r="H101" s="1065"/>
      <c r="I101" s="1065"/>
      <c r="J101" s="1065"/>
      <c r="K101" s="1066"/>
      <c r="L101" s="1067"/>
      <c r="M101" s="1065"/>
      <c r="N101" s="2943"/>
      <c r="O101" s="2943"/>
      <c r="P101" s="2943"/>
      <c r="Q101" s="2943"/>
      <c r="R101" s="2943"/>
      <c r="S101" s="2943"/>
      <c r="T101" s="2943"/>
      <c r="U101" s="2943"/>
      <c r="V101" s="2943"/>
      <c r="W101" s="2943"/>
      <c r="X101" s="2943"/>
      <c r="Y101" s="2943"/>
      <c r="Z101" s="2943"/>
      <c r="AA101" s="2943"/>
      <c r="AB101" s="2943"/>
      <c r="AC101" s="2943"/>
      <c r="AD101" s="2943"/>
    </row>
    <row r="102" spans="1:30">
      <c r="A102" s="1065"/>
      <c r="B102" s="1065"/>
      <c r="C102" s="1065"/>
      <c r="D102" s="1065"/>
      <c r="E102" s="1065"/>
      <c r="F102" s="1065"/>
      <c r="G102" s="1065"/>
      <c r="H102" s="1065"/>
      <c r="I102" s="1065"/>
      <c r="J102" s="1065"/>
      <c r="K102" s="1066"/>
      <c r="L102" s="1067"/>
      <c r="M102" s="1065"/>
      <c r="N102" s="2943"/>
      <c r="O102" s="2943"/>
      <c r="P102" s="2943"/>
      <c r="Q102" s="2943"/>
      <c r="R102" s="2943"/>
      <c r="S102" s="2943"/>
      <c r="T102" s="2943"/>
      <c r="U102" s="2943"/>
      <c r="V102" s="2943"/>
      <c r="W102" s="2943"/>
      <c r="X102" s="2943"/>
      <c r="Y102" s="2943"/>
      <c r="Z102" s="2943"/>
      <c r="AA102" s="2943"/>
      <c r="AB102" s="2943"/>
      <c r="AC102" s="2943"/>
      <c r="AD102" s="2943"/>
    </row>
    <row r="103" spans="1:30">
      <c r="A103" s="1065"/>
      <c r="B103" s="1065"/>
      <c r="C103" s="1065"/>
      <c r="D103" s="1065"/>
      <c r="E103" s="1065"/>
      <c r="F103" s="1065"/>
      <c r="G103" s="1065"/>
      <c r="H103" s="1065"/>
      <c r="I103" s="1065"/>
      <c r="J103" s="1065"/>
      <c r="K103" s="1066"/>
      <c r="L103" s="1067"/>
      <c r="M103" s="1065"/>
      <c r="N103" s="1065"/>
      <c r="O103" s="1065"/>
      <c r="P103" s="2943"/>
      <c r="Q103" s="2943"/>
      <c r="R103" s="2943"/>
      <c r="S103" s="2943"/>
      <c r="T103" s="2943"/>
      <c r="U103" s="2943"/>
      <c r="V103" s="2943"/>
      <c r="W103" s="2943"/>
      <c r="X103" s="2943"/>
      <c r="Y103" s="2943"/>
      <c r="Z103" s="2943"/>
      <c r="AA103" s="2943"/>
      <c r="AB103" s="2943"/>
      <c r="AC103" s="2943"/>
      <c r="AD103" s="294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6">
        <f>MATCH(B1,'数据-取费表'!A6:A16,0)+5</f>
        <v>9</v>
      </c>
    </row>
    <row r="2" spans="1:9" s="205" customFormat="1" ht="18" customHeight="1">
      <c r="A2" s="206" t="s">
        <v>2148</v>
      </c>
      <c r="B2" s="207">
        <f ca="1">IF(D2="——",C52,C52-E2)</f>
        <v>62047</v>
      </c>
      <c r="C2" s="204" t="s">
        <v>2149</v>
      </c>
      <c r="D2" s="2036" t="s">
        <v>70</v>
      </c>
      <c r="E2" s="1329"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11330</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45936</v>
      </c>
      <c r="D5" s="216" t="s">
        <v>2155</v>
      </c>
      <c r="E5" s="217" t="s">
        <v>2156</v>
      </c>
      <c r="F5" s="217" t="s">
        <v>2157</v>
      </c>
      <c r="G5" s="218"/>
    </row>
    <row r="6" spans="1:9" s="219" customFormat="1" ht="13.5" customHeight="1">
      <c r="A6" s="884" t="s">
        <v>2158</v>
      </c>
      <c r="B6" s="220" t="s">
        <v>2159</v>
      </c>
      <c r="C6" s="221">
        <f>'土地比较法-住宅、综合'!B2</f>
        <v>44576</v>
      </c>
      <c r="D6" s="222"/>
      <c r="E6" s="223"/>
      <c r="F6" s="223"/>
      <c r="G6" s="224"/>
    </row>
    <row r="7" spans="1:9" s="219" customFormat="1" ht="13.5" customHeight="1">
      <c r="A7" s="884" t="s">
        <v>2160</v>
      </c>
      <c r="B7" s="220" t="s">
        <v>2161</v>
      </c>
      <c r="C7" s="225">
        <f>ROUND(C6*F7,0)</f>
        <v>1360</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0</v>
      </c>
      <c r="D8" s="227"/>
      <c r="E8" s="225"/>
      <c r="F8" s="226"/>
      <c r="G8" s="2039" t="s">
        <v>3301</v>
      </c>
    </row>
    <row r="9" spans="1:9" s="219" customFormat="1" ht="13.5" customHeight="1">
      <c r="A9" s="885" t="s">
        <v>800</v>
      </c>
      <c r="B9" s="229" t="s">
        <v>2164</v>
      </c>
      <c r="C9" s="230">
        <f ca="1">ROUND(D9*E9/10000,0)</f>
        <v>0</v>
      </c>
      <c r="D9" s="952">
        <f ca="1">IF(B1="",'数据-汇总表'!E5,IF(INDIRECT("'数据-取费表'!c"&amp;$G$1)="住宅",INDIRECT("'数据-取费表'!k"&amp;$G$1),0))</f>
        <v>54761.34</v>
      </c>
      <c r="E9" s="230">
        <f>'数据-取费表'!B27</f>
        <v>0</v>
      </c>
      <c r="F9" s="226"/>
      <c r="G9" s="2040" t="s">
        <v>3302</v>
      </c>
      <c r="H9" s="1297"/>
      <c r="I9" s="2041" t="s">
        <v>2165</v>
      </c>
    </row>
    <row r="10" spans="1:9" s="219" customFormat="1" ht="13.5" customHeight="1">
      <c r="A10" s="885" t="s">
        <v>801</v>
      </c>
      <c r="B10" s="229" t="s">
        <v>2166</v>
      </c>
      <c r="C10" s="230">
        <f ca="1">ROUND(D10*E10/10000,0)</f>
        <v>0</v>
      </c>
      <c r="D10" s="952">
        <f ca="1">IF(B1="",'数据-汇总表'!E6,IF(INDIRECT("'数据-取费表'!c"&amp;$G$1)="住宅",INDIRECT("'数据-取费表'!s"&amp;$G$1),INDIRECT("'数据-取费表'!k"&amp;$G$1)+INDIRECT("'数据-取费表'!s"&amp;$G$1)))</f>
        <v>0</v>
      </c>
      <c r="E10" s="230">
        <f>'数据-取费表'!B28</f>
        <v>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54761.34</v>
      </c>
      <c r="E19" s="216">
        <f>'数据-取费表'!B31</f>
        <v>200</v>
      </c>
      <c r="F19" s="236"/>
      <c r="G19" s="2039" t="s">
        <v>3320</v>
      </c>
    </row>
    <row r="20" spans="1:7" s="219" customFormat="1" ht="13.5" customHeight="1">
      <c r="A20" s="260" t="s">
        <v>2179</v>
      </c>
      <c r="B20" s="215" t="s">
        <v>2180</v>
      </c>
      <c r="C20" s="237">
        <f>ROUND((C5+C19)*F20,0)</f>
        <v>1378</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2">
        <f ca="1">ROUND(SUM(C23:C25),0)</f>
        <v>1249</v>
      </c>
      <c r="D22" s="240">
        <f ca="1">C26</f>
        <v>4.0000000000000002E-4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1231</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18</v>
      </c>
      <c r="D25" s="243"/>
      <c r="E25" s="246"/>
      <c r="F25" s="244"/>
      <c r="G25" s="247" t="s">
        <v>2196</v>
      </c>
    </row>
    <row r="26" spans="1:7" s="219" customFormat="1">
      <c r="A26" s="886" t="s">
        <v>795</v>
      </c>
      <c r="B26" s="220" t="s">
        <v>2197</v>
      </c>
      <c r="C26" s="243">
        <f ca="1">ROUND(IF('数据-取费表'!B22&lt;=1,F21*F22*'数据-取费表'!B23/2,F21*(POWER((1+F22),'数据-取费表'!B23/2)-1)),4)</f>
        <v>4.0000000000000002E-4</v>
      </c>
      <c r="D26" s="243"/>
      <c r="E26" s="246"/>
      <c r="F26" s="244"/>
      <c r="G26" s="248"/>
    </row>
    <row r="27" spans="1:7" s="219" customFormat="1" ht="24.75">
      <c r="A27" s="260" t="s">
        <v>2198</v>
      </c>
      <c r="B27" s="249" t="s">
        <v>2199</v>
      </c>
      <c r="C27" s="250">
        <f ca="1">C28</f>
        <v>1490</v>
      </c>
      <c r="D27" s="240">
        <f ca="1">C29</f>
        <v>8.9999999999999998E-4</v>
      </c>
      <c r="E27" s="241" t="s">
        <v>2200</v>
      </c>
      <c r="F27" s="251">
        <f ca="1">IF(B1="",'数据-取费表'!Q16,INDIRECT("'数据-取费表'!q"&amp;$G$1))</f>
        <v>0.09</v>
      </c>
      <c r="G27" s="252" t="s">
        <v>2201</v>
      </c>
    </row>
    <row r="28" spans="1:7" s="219" customFormat="1" ht="13.5" customHeight="1">
      <c r="A28" s="886" t="s">
        <v>791</v>
      </c>
      <c r="B28" s="253" t="s">
        <v>2202</v>
      </c>
      <c r="C28" s="254">
        <f ca="1">ROUND((C5+C19+C20)*F27*'数据-取费表'!B21/'数据-取费表'!B20,0)</f>
        <v>1490</v>
      </c>
      <c r="D28" s="240"/>
      <c r="E28" s="241"/>
      <c r="F28" s="251"/>
      <c r="G28" s="252"/>
    </row>
    <row r="29" spans="1:7" s="219" customFormat="1" ht="13.5" customHeight="1">
      <c r="A29" s="886" t="s">
        <v>792</v>
      </c>
      <c r="B29" s="253" t="s">
        <v>2203</v>
      </c>
      <c r="C29" s="243">
        <f ca="1">ROUND(C21*F27*'数据-取费表'!B21/'数据-取费表'!B20,4)</f>
        <v>8.9999999999999998E-4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54679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5923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5041</v>
      </c>
      <c r="D34" s="222"/>
      <c r="E34" s="225"/>
      <c r="F34" s="262">
        <f ca="1">IF('数据-取费表'!B24=0,1,IF(B1="",'数据-取费表'!N16,INDIRECT("'数据-取费表'!n"&amp;$G$1)))</f>
        <v>0.36799999999999999</v>
      </c>
      <c r="G34" s="224" t="s">
        <v>2212</v>
      </c>
    </row>
    <row r="35" spans="1:7" ht="13.5" customHeight="1">
      <c r="A35" s="886" t="s">
        <v>796</v>
      </c>
      <c r="B35" s="220" t="s">
        <v>2213</v>
      </c>
      <c r="C35" s="225">
        <f ca="1">ROUND(C34*F35,0)</f>
        <v>151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252</v>
      </c>
      <c r="D36" s="225"/>
      <c r="E36" s="225"/>
      <c r="F36" s="264">
        <f>'数据-取费表'!B34</f>
        <v>0.05</v>
      </c>
      <c r="G36" s="265" t="s">
        <v>2216</v>
      </c>
    </row>
    <row r="37" spans="1:7" s="263" customFormat="1" ht="13.5" customHeight="1">
      <c r="A37" s="886" t="s">
        <v>798</v>
      </c>
      <c r="B37" s="220" t="s">
        <v>2217</v>
      </c>
      <c r="C37" s="254">
        <f ca="1">ROUND(E37*D37*F34/10000,0)</f>
        <v>403</v>
      </c>
      <c r="D37" s="222">
        <f ca="1">D19</f>
        <v>54761.34</v>
      </c>
      <c r="E37" s="254">
        <f>'数据-取费表'!B35</f>
        <v>200</v>
      </c>
      <c r="F37" s="264"/>
      <c r="G37" s="266" t="s">
        <v>2218</v>
      </c>
    </row>
    <row r="38" spans="1:7" ht="13.5" customHeight="1">
      <c r="A38" s="886" t="s">
        <v>799</v>
      </c>
      <c r="B38" s="220" t="s">
        <v>2219</v>
      </c>
      <c r="C38" s="225">
        <f ca="1">ROUND(C34*F38,0)</f>
        <v>76</v>
      </c>
      <c r="D38" s="225"/>
      <c r="E38" s="225"/>
      <c r="F38" s="264">
        <f>'数据-取费表'!B36</f>
        <v>1.4999999999999999E-2</v>
      </c>
      <c r="G38" s="224" t="s">
        <v>2214</v>
      </c>
    </row>
    <row r="39" spans="1:7" s="219" customFormat="1" ht="13.5" customHeight="1">
      <c r="A39" s="260" t="s">
        <v>2220</v>
      </c>
      <c r="B39" s="215" t="s">
        <v>2221</v>
      </c>
      <c r="C39" s="237">
        <f ca="1">ROUND(C33*F20,0)</f>
        <v>178</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81</v>
      </c>
      <c r="D41" s="240">
        <f ca="1">C44</f>
        <v>4.0000000000000002E-4</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79</v>
      </c>
      <c r="D42" s="243"/>
      <c r="E42" s="243"/>
      <c r="F42" s="244"/>
      <c r="G42" s="3346" t="s">
        <v>2230</v>
      </c>
    </row>
    <row r="43" spans="1:7" ht="13.5" customHeight="1">
      <c r="A43" s="886" t="s">
        <v>792</v>
      </c>
      <c r="B43" s="220" t="s">
        <v>2231</v>
      </c>
      <c r="C43" s="243">
        <f ca="1">ROUND(IF('数据-取费表'!B22&lt;=1,C39*F22*'数据-取费表'!B21/2,C39*(POWER((1+F22),'数据-取费表'!B21/2)-1)),0)</f>
        <v>2</v>
      </c>
      <c r="D43" s="243"/>
      <c r="E43" s="243"/>
      <c r="F43" s="244"/>
      <c r="G43" s="3347"/>
    </row>
    <row r="44" spans="1:7" ht="13.5" customHeight="1">
      <c r="A44" s="886" t="s">
        <v>793</v>
      </c>
      <c r="B44" s="220" t="s">
        <v>2232</v>
      </c>
      <c r="C44" s="243">
        <f ca="1">ROUND(IF('数据-取费表'!B22&lt;=1,C40*F22*'数据-取费表'!B21/2,C40*(POWER((1+F22),'数据-取费表'!B21/2)-1)),4)</f>
        <v>4.0000000000000002E-4</v>
      </c>
      <c r="D44" s="243"/>
      <c r="E44" s="243"/>
      <c r="F44" s="244"/>
      <c r="G44" s="3348"/>
    </row>
    <row r="45" spans="1:7" s="219" customFormat="1" ht="13.5" customHeight="1">
      <c r="A45" s="260" t="s">
        <v>2233</v>
      </c>
      <c r="B45" s="249" t="s">
        <v>2199</v>
      </c>
      <c r="C45" s="250">
        <f ca="1">C46</f>
        <v>549</v>
      </c>
      <c r="D45" s="240">
        <f ca="1">C47</f>
        <v>2.7000000000000001E-3</v>
      </c>
      <c r="E45" s="241" t="s">
        <v>2225</v>
      </c>
      <c r="F45" s="2531">
        <f ca="1">F27</f>
        <v>0.09</v>
      </c>
      <c r="G45" s="252" t="s">
        <v>2234</v>
      </c>
    </row>
    <row r="46" spans="1:7" s="219" customFormat="1" ht="13.5" customHeight="1">
      <c r="A46" s="886" t="s">
        <v>791</v>
      </c>
      <c r="B46" s="253" t="s">
        <v>2235</v>
      </c>
      <c r="C46" s="254">
        <f ca="1">ROUND((C33+C39)*F27,0)</f>
        <v>549</v>
      </c>
      <c r="D46" s="268"/>
      <c r="E46" s="241"/>
      <c r="F46" s="251"/>
      <c r="G46" s="252"/>
    </row>
    <row r="47" spans="1:7" s="219" customFormat="1" ht="13.5" customHeight="1">
      <c r="A47" s="886" t="s">
        <v>792</v>
      </c>
      <c r="B47" s="253" t="s">
        <v>2236</v>
      </c>
      <c r="C47" s="243">
        <f ca="1">ROUND(C40*F27,4)</f>
        <v>2.7000000000000001E-3</v>
      </c>
      <c r="D47" s="268"/>
      <c r="E47" s="241"/>
      <c r="F47" s="251"/>
      <c r="G47" s="252"/>
    </row>
    <row r="48" spans="1:7" s="219" customFormat="1" ht="13.5" customHeight="1">
      <c r="A48" s="260" t="s">
        <v>2198</v>
      </c>
      <c r="B48" s="215" t="s">
        <v>2237</v>
      </c>
      <c r="C48" s="1494">
        <f>ROUND(F30/(1+'数据-取费表'!C42),4)</f>
        <v>5.33E-2</v>
      </c>
      <c r="D48" s="241" t="s">
        <v>2225</v>
      </c>
      <c r="E48" s="237"/>
      <c r="F48" s="2530">
        <f>F30</f>
        <v>5.6000000000000001E-2</v>
      </c>
      <c r="G48" s="239" t="s">
        <v>2238</v>
      </c>
    </row>
    <row r="49" spans="1:7" ht="16.5" customHeight="1">
      <c r="A49" s="260" t="s">
        <v>2204</v>
      </c>
      <c r="B49" s="215" t="s">
        <v>2239</v>
      </c>
      <c r="C49" s="237">
        <f ca="1">ROUND((C33+C39+C41+C45)/(1-C40-D41-D45-C48),0)</f>
        <v>7368</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7368</v>
      </c>
      <c r="D51" s="237"/>
      <c r="E51" s="237"/>
      <c r="F51" s="269"/>
      <c r="G51" s="239" t="s">
        <v>2246</v>
      </c>
    </row>
    <row r="52" spans="1:7" s="213" customFormat="1" ht="16.5" thickBot="1">
      <c r="A52" s="270" t="s">
        <v>2247</v>
      </c>
      <c r="B52" s="271"/>
      <c r="C52" s="272">
        <f ca="1">C31+C51</f>
        <v>62047</v>
      </c>
      <c r="D52" s="271"/>
      <c r="E52" s="271"/>
      <c r="F52" s="271"/>
      <c r="G52" s="273"/>
    </row>
    <row r="55" spans="1:7" ht="15">
      <c r="B55" s="275" t="s">
        <v>2248</v>
      </c>
      <c r="C55" s="276"/>
    </row>
    <row r="56" spans="1:7">
      <c r="B56" s="278" t="s">
        <v>1478</v>
      </c>
      <c r="C56" s="280">
        <f ca="1">1-C57</f>
        <v>0.88100000000000001</v>
      </c>
    </row>
    <row r="57" spans="1:7">
      <c r="B57" s="278" t="s">
        <v>1479</v>
      </c>
      <c r="C57" s="279">
        <f ca="1">ROUND(C51/C52,3)</f>
        <v>0.11899999999999999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12" sqref="C1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44576</v>
      </c>
      <c r="C2" s="1036"/>
      <c r="D2" s="1036"/>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4814</v>
      </c>
      <c r="C3" s="208" t="s">
        <v>2564</v>
      </c>
      <c r="D3" s="1353">
        <f>Sheet1!D16+Sheet1!D26</f>
        <v>92604.63</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30"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405" t="s">
        <v>2465</v>
      </c>
      <c r="S4" s="3406"/>
      <c r="T4" s="3405" t="s">
        <v>2466</v>
      </c>
      <c r="U4" s="3406"/>
      <c r="V4" s="3411" t="s">
        <v>2467</v>
      </c>
      <c r="W4" s="3411"/>
      <c r="X4" s="1538"/>
      <c r="Y4" s="3405" t="s">
        <v>2469</v>
      </c>
      <c r="Z4" s="3406"/>
      <c r="AA4" s="3392" t="s">
        <v>2465</v>
      </c>
      <c r="AB4" s="3393" t="s">
        <v>2466</v>
      </c>
      <c r="AC4" s="3392" t="s">
        <v>2467</v>
      </c>
    </row>
    <row r="5" spans="1:30" ht="15">
      <c r="A5" s="363"/>
      <c r="B5" s="364"/>
      <c r="C5" s="3423" t="s">
        <v>2360</v>
      </c>
      <c r="D5" s="3415"/>
      <c r="E5" s="3424" t="str">
        <f>土地案例!A6</f>
        <v>津海河园(挂)2019-062号:天津海河教育园区雅润路与同心路交口西北侧;津海河园(挂)2019-063号:天津海河教育园区和慧南路与同心路交口东南侧</v>
      </c>
      <c r="F5" s="3422"/>
      <c r="G5" s="3423" t="str">
        <f>土地案例!A8</f>
        <v>海河教育园区文慧北路与雅观路交口东北侧</v>
      </c>
      <c r="H5" s="3415"/>
      <c r="I5" s="3423" t="str">
        <f>土地案例!A9</f>
        <v>海河教育园区津沽公路与雅泽路交口东北侧</v>
      </c>
      <c r="J5" s="3415"/>
      <c r="K5" s="566"/>
      <c r="L5" s="2933"/>
      <c r="M5" s="2934"/>
      <c r="N5" s="2934"/>
      <c r="O5" s="2934"/>
      <c r="P5" s="3401"/>
      <c r="Q5" s="3402"/>
      <c r="R5" s="3407"/>
      <c r="S5" s="3408"/>
      <c r="T5" s="3407"/>
      <c r="U5" s="3408"/>
      <c r="V5" s="3411"/>
      <c r="W5" s="3411"/>
      <c r="X5" s="1538"/>
      <c r="Y5" s="3407"/>
      <c r="Z5" s="3408"/>
      <c r="AA5" s="3393"/>
      <c r="AB5" s="3393"/>
      <c r="AC5" s="3393"/>
    </row>
    <row r="6" spans="1:30" ht="15.75" thickBot="1">
      <c r="A6" s="365"/>
      <c r="B6" s="366"/>
      <c r="C6" s="3412" t="s">
        <v>2364</v>
      </c>
      <c r="D6" s="3413"/>
      <c r="E6" s="3419" t="s">
        <v>2364</v>
      </c>
      <c r="F6" s="3420"/>
      <c r="G6" s="3412" t="s">
        <v>2364</v>
      </c>
      <c r="H6" s="3413"/>
      <c r="I6" s="3412" t="s">
        <v>2364</v>
      </c>
      <c r="J6" s="3413"/>
      <c r="K6" s="566" t="s">
        <v>2365</v>
      </c>
      <c r="L6" s="2933"/>
      <c r="M6" s="2934"/>
      <c r="N6" s="2934"/>
      <c r="O6" s="2934"/>
      <c r="P6" s="3403"/>
      <c r="Q6" s="3404"/>
      <c r="R6" s="3407"/>
      <c r="S6" s="3408"/>
      <c r="T6" s="3409"/>
      <c r="U6" s="3410"/>
      <c r="V6" s="3411"/>
      <c r="W6" s="3411"/>
      <c r="X6" s="1538"/>
      <c r="Y6" s="3409"/>
      <c r="Z6" s="3410"/>
      <c r="AA6" s="3394"/>
      <c r="AB6" s="3394"/>
      <c r="AC6" s="3394"/>
    </row>
    <row r="7" spans="1:30" s="113" customFormat="1" ht="15.75" thickBot="1">
      <c r="A7" s="367" t="s">
        <v>2366</v>
      </c>
      <c r="B7" s="368"/>
      <c r="C7" s="369">
        <f>'数据-取费表'!B2</f>
        <v>44259</v>
      </c>
      <c r="D7" s="370">
        <v>100</v>
      </c>
      <c r="E7" s="371" t="str">
        <f>土地案例!J6</f>
        <v>2019-05-29</v>
      </c>
      <c r="F7" s="372">
        <f>SUMIF(70:70,YEAR(E7)&amp;"-"&amp;INT((MONTH(E7)+2)/3),71:71)</f>
        <v>96.8</v>
      </c>
      <c r="G7" s="2154" t="str">
        <f>土地案例!J8</f>
        <v>2018-08-29</v>
      </c>
      <c r="H7" s="370">
        <f>SUMIF(70:70,YEAR(G7)&amp;"-"&amp;INT((MONTH(G7)+2)/3),71:71)</f>
        <v>95.3</v>
      </c>
      <c r="I7" s="2154" t="str">
        <f>土地案例!J9</f>
        <v>2018-08-29</v>
      </c>
      <c r="J7" s="370">
        <f>SUMIF(70:70,YEAR(I7)&amp;"-"&amp;INT((MONTH(I7)+2)/3),71:71)</f>
        <v>95.3</v>
      </c>
      <c r="K7" s="567"/>
      <c r="L7" s="2935"/>
      <c r="M7" s="2936"/>
      <c r="N7" s="2936"/>
      <c r="O7" s="2936"/>
      <c r="P7" s="3416" t="s">
        <v>2367</v>
      </c>
      <c r="Q7" s="3418"/>
      <c r="R7" s="709" t="s">
        <v>17</v>
      </c>
      <c r="S7" s="710">
        <f t="shared" ref="S7:S15" si="0">F7</f>
        <v>96.8</v>
      </c>
      <c r="T7" s="709" t="s">
        <v>17</v>
      </c>
      <c r="U7" s="710">
        <f t="shared" ref="U7:U15" si="1">H7</f>
        <v>95.3</v>
      </c>
      <c r="V7" s="709" t="s">
        <v>17</v>
      </c>
      <c r="W7" s="710">
        <f t="shared" ref="W7:W15" si="2">J7</f>
        <v>95.3</v>
      </c>
      <c r="X7" s="711"/>
      <c r="Y7" s="3416" t="s">
        <v>2367</v>
      </c>
      <c r="Z7" s="3417"/>
      <c r="AA7" s="712">
        <f>D7/F7</f>
        <v>1.0330578512396695</v>
      </c>
      <c r="AB7" s="712">
        <f>D7/H7</f>
        <v>1.0493179433368311</v>
      </c>
      <c r="AC7" s="712">
        <f>D7/J7</f>
        <v>1.0493179433368311</v>
      </c>
    </row>
    <row r="8" spans="1:30" s="113"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5"/>
      <c r="M8" s="2936"/>
      <c r="N8" s="2936"/>
      <c r="O8" s="2936"/>
      <c r="P8" s="3416" t="s">
        <v>2370</v>
      </c>
      <c r="Q8" s="3417"/>
      <c r="R8" s="709" t="s">
        <v>17</v>
      </c>
      <c r="S8" s="710">
        <f t="shared" si="0"/>
        <v>100</v>
      </c>
      <c r="T8" s="709" t="s">
        <v>17</v>
      </c>
      <c r="U8" s="710">
        <f t="shared" si="1"/>
        <v>100</v>
      </c>
      <c r="V8" s="709" t="s">
        <v>17</v>
      </c>
      <c r="W8" s="710">
        <f t="shared" si="2"/>
        <v>100</v>
      </c>
      <c r="X8" s="711"/>
      <c r="Y8" s="3416" t="s">
        <v>2370</v>
      </c>
      <c r="Z8" s="3417"/>
      <c r="AA8" s="712">
        <f t="shared" ref="AA8:AA45" si="3">D8/F8</f>
        <v>1</v>
      </c>
      <c r="AB8" s="712">
        <f t="shared" ref="AB8:AB45" si="4">D8/H8</f>
        <v>1</v>
      </c>
      <c r="AC8" s="712">
        <f t="shared" ref="AC8:AC45" si="5">D8/J8</f>
        <v>1</v>
      </c>
    </row>
    <row r="9" spans="1:30" s="113" customFormat="1">
      <c r="A9" s="374" t="s">
        <v>2371</v>
      </c>
      <c r="B9" s="67" t="s">
        <v>2372</v>
      </c>
      <c r="C9" s="2157" t="s">
        <v>3081</v>
      </c>
      <c r="D9" s="130">
        <v>100</v>
      </c>
      <c r="E9" s="2157" t="s">
        <v>3081</v>
      </c>
      <c r="F9" s="130">
        <f>SUMIF(75:75,E9,76:76)-SUMIF(75:75,C9,76:76)+100</f>
        <v>100</v>
      </c>
      <c r="G9" s="2157" t="s">
        <v>3081</v>
      </c>
      <c r="H9" s="130">
        <f>SUMIF(75:75,G9,76:76)-SUMIF(75:75,C9,76:76)+100</f>
        <v>100</v>
      </c>
      <c r="I9" s="2157" t="s">
        <v>3081</v>
      </c>
      <c r="J9" s="130">
        <f>SUMIF(75:75,I9,76:76)-SUMIF(75:75,C9,76:76)+100</f>
        <v>100</v>
      </c>
      <c r="K9" s="567"/>
      <c r="L9" s="2935"/>
      <c r="M9" s="2936"/>
      <c r="N9" s="2936"/>
      <c r="O9" s="2990"/>
      <c r="P9" s="3380"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712">
        <f t="shared" si="5"/>
        <v>1</v>
      </c>
    </row>
    <row r="10" spans="1:30" s="385" customFormat="1" ht="27">
      <c r="A10" s="379"/>
      <c r="B10" s="380" t="s">
        <v>2375</v>
      </c>
      <c r="C10" s="390" t="s">
        <v>3249</v>
      </c>
      <c r="D10" s="131">
        <v>100</v>
      </c>
      <c r="E10" s="390" t="s">
        <v>3249</v>
      </c>
      <c r="F10" s="131">
        <f>ROUND(100/'数据-取费表'!G16,0)</f>
        <v>100</v>
      </c>
      <c r="G10" s="390" t="s">
        <v>3249</v>
      </c>
      <c r="H10" s="131">
        <f>ROUND(100/'数据-取费表'!G16,0)</f>
        <v>100</v>
      </c>
      <c r="I10" s="390" t="s">
        <v>3249</v>
      </c>
      <c r="J10" s="131">
        <f>ROUND(100/'数据-取费表'!G16,0)</f>
        <v>100</v>
      </c>
      <c r="K10" s="627"/>
      <c r="L10" s="2937"/>
      <c r="M10" s="2938"/>
      <c r="N10" s="2938"/>
      <c r="O10" s="2991"/>
      <c r="P10" s="3380"/>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30" ht="15">
      <c r="A11" s="386"/>
      <c r="B11" s="380" t="s">
        <v>2376</v>
      </c>
      <c r="C11" s="387">
        <f>'数据-汇总表'!I4</f>
        <v>1.36</v>
      </c>
      <c r="D11" s="131">
        <v>100</v>
      </c>
      <c r="E11" s="387">
        <v>1.4</v>
      </c>
      <c r="F11" s="131">
        <f>LOOKUP(E11,80:80,81:81)-LOOKUP(C11,80:80,81:81)+100</f>
        <v>100</v>
      </c>
      <c r="G11" s="388">
        <v>1.4</v>
      </c>
      <c r="H11" s="131">
        <f>LOOKUP(G11,80:80,81:81)-LOOKUP(C11,80:80,81:81)+100</f>
        <v>100</v>
      </c>
      <c r="I11" s="387">
        <v>1.7</v>
      </c>
      <c r="J11" s="131">
        <f>LOOKUP(I11,80:80,81:81)-LOOKUP(C11,80:80,81:81)+100</f>
        <v>100</v>
      </c>
      <c r="K11" s="628">
        <v>2</v>
      </c>
      <c r="L11" s="2939"/>
      <c r="M11" s="2934"/>
      <c r="N11" s="2934"/>
      <c r="O11" s="2992"/>
      <c r="P11" s="3380"/>
      <c r="Q11" s="1526" t="str">
        <f t="shared" si="6"/>
        <v>容积率</v>
      </c>
      <c r="R11" s="709" t="s">
        <v>17</v>
      </c>
      <c r="S11" s="710">
        <f t="shared" si="0"/>
        <v>100</v>
      </c>
      <c r="T11" s="709" t="s">
        <v>17</v>
      </c>
      <c r="U11" s="710">
        <f t="shared" si="1"/>
        <v>100</v>
      </c>
      <c r="V11" s="709" t="s">
        <v>17</v>
      </c>
      <c r="W11" s="710">
        <f t="shared" si="2"/>
        <v>100</v>
      </c>
      <c r="X11" s="711"/>
      <c r="Y11" s="3250"/>
      <c r="Z11" s="55" t="str">
        <f t="shared" si="7"/>
        <v>容积率</v>
      </c>
      <c r="AA11" s="712">
        <f t="shared" si="3"/>
        <v>1</v>
      </c>
      <c r="AB11" s="712">
        <f t="shared" si="4"/>
        <v>1</v>
      </c>
      <c r="AC11" s="712">
        <f t="shared" si="5"/>
        <v>1</v>
      </c>
    </row>
    <row r="12" spans="1:30" s="113" customFormat="1" ht="15">
      <c r="A12" s="389"/>
      <c r="B12" s="3145" t="s">
        <v>3321</v>
      </c>
      <c r="C12" s="3153">
        <v>0.5</v>
      </c>
      <c r="D12" s="391">
        <v>100</v>
      </c>
      <c r="E12" s="423" t="s">
        <v>3346</v>
      </c>
      <c r="F12" s="131">
        <f>SUMIF(82:82,E12,83:83)-SUMIF(82:82,C12,83:83)+100</f>
        <v>110</v>
      </c>
      <c r="G12" s="421" t="s">
        <v>3345</v>
      </c>
      <c r="H12" s="131">
        <f>SUMIF(82:82,G12,83:83)-SUMIF(82:82,C12,83:83)+100</f>
        <v>130</v>
      </c>
      <c r="I12" s="423" t="s">
        <v>3345</v>
      </c>
      <c r="J12" s="131">
        <f>SUMIF(82:82,I12,83:83)-SUMIF(82:82,C12,83:83)+100</f>
        <v>130</v>
      </c>
      <c r="K12" s="627"/>
      <c r="L12" s="2935"/>
      <c r="M12" s="2936"/>
      <c r="N12" s="2936"/>
      <c r="O12" s="2990"/>
      <c r="P12" s="3380"/>
      <c r="Q12" s="1526" t="str">
        <f t="shared" si="6"/>
        <v>是否自持</v>
      </c>
      <c r="R12" s="709" t="s">
        <v>17</v>
      </c>
      <c r="S12" s="710">
        <f t="shared" si="0"/>
        <v>110</v>
      </c>
      <c r="T12" s="709" t="s">
        <v>17</v>
      </c>
      <c r="U12" s="710">
        <f t="shared" si="1"/>
        <v>130</v>
      </c>
      <c r="V12" s="709" t="s">
        <v>17</v>
      </c>
      <c r="W12" s="710">
        <f t="shared" si="2"/>
        <v>130</v>
      </c>
      <c r="X12" s="711"/>
      <c r="Y12" s="3250"/>
      <c r="Z12" s="55" t="str">
        <f t="shared" si="7"/>
        <v>是否自持</v>
      </c>
      <c r="AA12" s="712">
        <f>D12/F12</f>
        <v>0.90909090909090906</v>
      </c>
      <c r="AB12" s="712">
        <f>D12/H12</f>
        <v>0.76923076923076927</v>
      </c>
      <c r="AC12" s="712">
        <f>D12/J12</f>
        <v>0.76923076923076927</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0"/>
      <c r="M13" s="2934"/>
      <c r="N13" s="2934"/>
      <c r="O13" s="2992"/>
      <c r="P13" s="3380"/>
      <c r="Q13" s="1526">
        <f t="shared" si="6"/>
        <v>111</v>
      </c>
      <c r="R13" s="709" t="s">
        <v>17</v>
      </c>
      <c r="S13" s="710">
        <f t="shared" si="0"/>
        <v>100</v>
      </c>
      <c r="T13" s="709" t="s">
        <v>17</v>
      </c>
      <c r="U13" s="710">
        <f t="shared" si="1"/>
        <v>100</v>
      </c>
      <c r="V13" s="709" t="s">
        <v>17</v>
      </c>
      <c r="W13" s="710">
        <f t="shared" si="2"/>
        <v>100</v>
      </c>
      <c r="X13" s="711"/>
      <c r="Y13" s="3250"/>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0"/>
      <c r="M14" s="2934"/>
      <c r="N14" s="2934"/>
      <c r="O14" s="2992"/>
      <c r="P14" s="3380"/>
      <c r="Q14" s="1526">
        <f t="shared" si="6"/>
        <v>111</v>
      </c>
      <c r="R14" s="709" t="s">
        <v>17</v>
      </c>
      <c r="S14" s="710">
        <f t="shared" si="0"/>
        <v>100</v>
      </c>
      <c r="T14" s="709" t="s">
        <v>17</v>
      </c>
      <c r="U14" s="710">
        <f t="shared" si="1"/>
        <v>100</v>
      </c>
      <c r="V14" s="709" t="s">
        <v>17</v>
      </c>
      <c r="W14" s="710">
        <f t="shared" si="2"/>
        <v>100</v>
      </c>
      <c r="X14" s="711"/>
      <c r="Y14" s="3250"/>
      <c r="Z14" s="55">
        <f t="shared" si="7"/>
        <v>111</v>
      </c>
      <c r="AA14" s="712">
        <f>D14/F14</f>
        <v>1</v>
      </c>
      <c r="AB14" s="712">
        <f>D14/H14</f>
        <v>1</v>
      </c>
      <c r="AC14" s="712">
        <f>D14/J14</f>
        <v>1</v>
      </c>
    </row>
    <row r="15" spans="1:30" ht="99.75">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40"/>
      <c r="M15" s="2934"/>
      <c r="N15" s="2934"/>
      <c r="O15" s="2992"/>
      <c r="P15" s="3382" t="s">
        <v>2378</v>
      </c>
      <c r="Q15" s="1535" t="str">
        <f t="shared" si="6"/>
        <v>居住社区成熟度</v>
      </c>
      <c r="R15" s="713" t="s">
        <v>17</v>
      </c>
      <c r="S15" s="714">
        <f t="shared" si="0"/>
        <v>100</v>
      </c>
      <c r="T15" s="713" t="s">
        <v>17</v>
      </c>
      <c r="U15" s="714">
        <f t="shared" si="1"/>
        <v>100</v>
      </c>
      <c r="V15" s="713" t="s">
        <v>17</v>
      </c>
      <c r="W15" s="714">
        <f t="shared" si="2"/>
        <v>100</v>
      </c>
      <c r="X15" s="1538"/>
      <c r="Y15" s="3382" t="s">
        <v>2378</v>
      </c>
      <c r="Z15" s="1539" t="str">
        <f t="shared" si="7"/>
        <v>居住社区成熟度</v>
      </c>
      <c r="AA15" s="1536">
        <f t="shared" si="3"/>
        <v>1</v>
      </c>
      <c r="AB15" s="1536">
        <f t="shared" si="4"/>
        <v>1</v>
      </c>
      <c r="AC15" s="1536">
        <f t="shared" si="5"/>
        <v>1</v>
      </c>
    </row>
    <row r="16" spans="1:30" ht="15">
      <c r="A16" s="386"/>
      <c r="B16" s="404"/>
      <c r="C16" s="405" t="s">
        <v>3251</v>
      </c>
      <c r="D16" s="406"/>
      <c r="E16" s="405" t="s">
        <v>3251</v>
      </c>
      <c r="F16" s="406"/>
      <c r="G16" s="405" t="s">
        <v>3251</v>
      </c>
      <c r="H16" s="408"/>
      <c r="I16" s="405" t="s">
        <v>3251</v>
      </c>
      <c r="J16" s="406"/>
      <c r="K16" s="627"/>
      <c r="L16" s="2940"/>
      <c r="M16" s="2934"/>
      <c r="N16" s="2934"/>
      <c r="O16" s="2992"/>
      <c r="P16" s="3383"/>
      <c r="Q16" s="1535"/>
      <c r="R16" s="713"/>
      <c r="S16" s="714"/>
      <c r="T16" s="713"/>
      <c r="U16" s="714"/>
      <c r="V16" s="713"/>
      <c r="W16" s="714"/>
      <c r="X16" s="1538"/>
      <c r="Y16" s="3383"/>
      <c r="Z16" s="1539"/>
      <c r="AA16" s="1536">
        <v>1</v>
      </c>
      <c r="AB16" s="1536">
        <v>1</v>
      </c>
      <c r="AC16" s="1536">
        <v>1</v>
      </c>
    </row>
    <row r="17" spans="1:29" ht="71.25">
      <c r="A17" s="386"/>
      <c r="B17" s="409" t="s">
        <v>2471</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2</v>
      </c>
      <c r="L17" s="2940"/>
      <c r="M17" s="2934"/>
      <c r="N17" s="2934"/>
      <c r="O17" s="2992"/>
      <c r="P17" s="3383"/>
      <c r="Q17" s="1535" t="str">
        <f>B17</f>
        <v>商业繁华度</v>
      </c>
      <c r="R17" s="713" t="s">
        <v>17</v>
      </c>
      <c r="S17" s="714">
        <f>F17</f>
        <v>100</v>
      </c>
      <c r="T17" s="713" t="s">
        <v>17</v>
      </c>
      <c r="U17" s="714">
        <f>H17</f>
        <v>100</v>
      </c>
      <c r="V17" s="713" t="s">
        <v>17</v>
      </c>
      <c r="W17" s="714">
        <f>J17</f>
        <v>100</v>
      </c>
      <c r="X17" s="1538"/>
      <c r="Y17" s="3383"/>
      <c r="Z17" s="1539" t="str">
        <f>Q17</f>
        <v>商业繁华度</v>
      </c>
      <c r="AA17" s="1536">
        <f t="shared" si="3"/>
        <v>1</v>
      </c>
      <c r="AB17" s="1536">
        <f t="shared" si="4"/>
        <v>1</v>
      </c>
      <c r="AC17" s="1536">
        <f t="shared" si="5"/>
        <v>1</v>
      </c>
    </row>
    <row r="18" spans="1:29" ht="15">
      <c r="A18" s="386"/>
      <c r="B18" s="414"/>
      <c r="C18" s="405" t="s">
        <v>3251</v>
      </c>
      <c r="D18" s="408"/>
      <c r="E18" s="405" t="s">
        <v>3251</v>
      </c>
      <c r="F18" s="408"/>
      <c r="G18" s="405" t="s">
        <v>3251</v>
      </c>
      <c r="H18" s="406"/>
      <c r="I18" s="405" t="s">
        <v>3251</v>
      </c>
      <c r="J18" s="406"/>
      <c r="K18" s="627"/>
      <c r="L18" s="2940"/>
      <c r="M18" s="2934"/>
      <c r="N18" s="2934"/>
      <c r="O18" s="2992"/>
      <c r="P18" s="3383"/>
      <c r="Q18" s="1535"/>
      <c r="R18" s="713"/>
      <c r="S18" s="714"/>
      <c r="T18" s="713"/>
      <c r="U18" s="714"/>
      <c r="V18" s="713"/>
      <c r="W18" s="714"/>
      <c r="X18" s="1538"/>
      <c r="Y18" s="3383"/>
      <c r="Z18" s="1539"/>
      <c r="AA18" s="1536">
        <v>1</v>
      </c>
      <c r="AB18" s="1536">
        <v>1</v>
      </c>
      <c r="AC18" s="1536">
        <v>1</v>
      </c>
    </row>
    <row r="19" spans="1:29" ht="71.25" hidden="1">
      <c r="A19" s="386"/>
      <c r="B19" s="409" t="s">
        <v>2505</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0"/>
      <c r="M19" s="2934"/>
      <c r="N19" s="2934"/>
      <c r="O19" s="2992"/>
      <c r="P19" s="3383"/>
      <c r="Q19" s="1535" t="str">
        <f>B19</f>
        <v>办公集聚程度</v>
      </c>
      <c r="R19" s="713" t="s">
        <v>17</v>
      </c>
      <c r="S19" s="714">
        <f>F19</f>
        <v>100</v>
      </c>
      <c r="T19" s="713" t="s">
        <v>17</v>
      </c>
      <c r="U19" s="714">
        <f>H19</f>
        <v>100</v>
      </c>
      <c r="V19" s="713" t="s">
        <v>17</v>
      </c>
      <c r="W19" s="714">
        <f>J19</f>
        <v>100</v>
      </c>
      <c r="X19" s="1538"/>
      <c r="Y19" s="3383"/>
      <c r="Z19" s="1539" t="str">
        <f>Q19</f>
        <v>办公集聚程度</v>
      </c>
      <c r="AA19" s="1536">
        <f t="shared" si="3"/>
        <v>1</v>
      </c>
      <c r="AB19" s="1536">
        <f t="shared" si="4"/>
        <v>1</v>
      </c>
      <c r="AC19" s="1536">
        <f t="shared" si="5"/>
        <v>1</v>
      </c>
    </row>
    <row r="20" spans="1:29" ht="15" hidden="1">
      <c r="A20" s="386"/>
      <c r="B20" s="414"/>
      <c r="C20" s="405"/>
      <c r="D20" s="406"/>
      <c r="E20" s="2080"/>
      <c r="F20" s="406"/>
      <c r="G20" s="2080"/>
      <c r="H20" s="406"/>
      <c r="I20" s="2079"/>
      <c r="J20" s="406"/>
      <c r="K20" s="627"/>
      <c r="L20" s="2940"/>
      <c r="M20" s="2934"/>
      <c r="N20" s="2934"/>
      <c r="O20" s="2992"/>
      <c r="P20" s="3383"/>
      <c r="Q20" s="1535"/>
      <c r="R20" s="713"/>
      <c r="S20" s="714"/>
      <c r="T20" s="713"/>
      <c r="U20" s="714"/>
      <c r="V20" s="713"/>
      <c r="W20" s="714"/>
      <c r="X20" s="1538"/>
      <c r="Y20" s="3383"/>
      <c r="Z20" s="1539"/>
      <c r="AA20" s="1536">
        <v>1</v>
      </c>
      <c r="AB20" s="1536">
        <v>1</v>
      </c>
      <c r="AC20" s="1536">
        <v>1</v>
      </c>
    </row>
    <row r="21" spans="1:29" ht="85.5">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40"/>
      <c r="M21" s="2934"/>
      <c r="N21" s="2934"/>
      <c r="O21" s="2992"/>
      <c r="P21" s="3383"/>
      <c r="Q21" s="1535" t="str">
        <f>B21</f>
        <v>交通便捷度</v>
      </c>
      <c r="R21" s="713" t="s">
        <v>17</v>
      </c>
      <c r="S21" s="714">
        <f>F21</f>
        <v>100</v>
      </c>
      <c r="T21" s="713" t="s">
        <v>17</v>
      </c>
      <c r="U21" s="714">
        <f>H21</f>
        <v>100</v>
      </c>
      <c r="V21" s="713" t="s">
        <v>17</v>
      </c>
      <c r="W21" s="714">
        <f>J21</f>
        <v>100</v>
      </c>
      <c r="X21" s="1538"/>
      <c r="Y21" s="3383"/>
      <c r="Z21" s="1539" t="str">
        <f>Q21</f>
        <v>交通便捷度</v>
      </c>
      <c r="AA21" s="1536">
        <f t="shared" si="3"/>
        <v>1</v>
      </c>
      <c r="AB21" s="1536">
        <f t="shared" si="4"/>
        <v>1</v>
      </c>
      <c r="AC21" s="1536">
        <f t="shared" si="5"/>
        <v>1</v>
      </c>
    </row>
    <row r="22" spans="1:29" ht="15">
      <c r="A22" s="386"/>
      <c r="B22" s="1291"/>
      <c r="C22" s="405" t="s">
        <v>3251</v>
      </c>
      <c r="D22" s="408"/>
      <c r="E22" s="405" t="s">
        <v>3251</v>
      </c>
      <c r="F22" s="406"/>
      <c r="G22" s="405" t="s">
        <v>3251</v>
      </c>
      <c r="H22" s="406"/>
      <c r="I22" s="405" t="s">
        <v>3251</v>
      </c>
      <c r="J22" s="406"/>
      <c r="K22" s="627"/>
      <c r="L22" s="2940"/>
      <c r="M22" s="2934"/>
      <c r="N22" s="2934"/>
      <c r="O22" s="2992"/>
      <c r="P22" s="3383"/>
      <c r="Q22" s="1535"/>
      <c r="R22" s="713"/>
      <c r="S22" s="714"/>
      <c r="T22" s="713"/>
      <c r="U22" s="714"/>
      <c r="V22" s="713"/>
      <c r="W22" s="714"/>
      <c r="X22" s="1538"/>
      <c r="Y22" s="3383"/>
      <c r="Z22" s="1539"/>
      <c r="AA22" s="1536">
        <v>1</v>
      </c>
      <c r="AB22" s="1536">
        <v>1</v>
      </c>
      <c r="AC22" s="1536">
        <v>1</v>
      </c>
    </row>
    <row r="23" spans="1:29" ht="15">
      <c r="A23" s="363"/>
      <c r="B23" s="409" t="s">
        <v>2565</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0"/>
      <c r="M23" s="2934"/>
      <c r="N23" s="2934"/>
      <c r="O23" s="2992"/>
      <c r="P23" s="3383"/>
      <c r="Q23" s="1535" t="str">
        <f t="shared" ref="Q23:Q37" si="8">B23</f>
        <v>区域土地利用方向</v>
      </c>
      <c r="R23" s="713" t="s">
        <v>17</v>
      </c>
      <c r="S23" s="714">
        <f>F23</f>
        <v>100</v>
      </c>
      <c r="T23" s="713" t="s">
        <v>17</v>
      </c>
      <c r="U23" s="714">
        <f>H23</f>
        <v>100</v>
      </c>
      <c r="V23" s="713" t="s">
        <v>17</v>
      </c>
      <c r="W23" s="714">
        <f>J23</f>
        <v>100</v>
      </c>
      <c r="X23" s="1538"/>
      <c r="Y23" s="3383"/>
      <c r="Z23" s="1539" t="str">
        <f>Q23</f>
        <v>区域土地利用方向</v>
      </c>
      <c r="AA23" s="1536">
        <f t="shared" si="3"/>
        <v>1</v>
      </c>
      <c r="AB23" s="1536">
        <f t="shared" si="4"/>
        <v>1</v>
      </c>
      <c r="AC23" s="1536">
        <f t="shared" si="5"/>
        <v>1</v>
      </c>
    </row>
    <row r="24" spans="1:29" ht="15">
      <c r="A24" s="363"/>
      <c r="B24" s="414"/>
      <c r="C24" s="405" t="s">
        <v>3251</v>
      </c>
      <c r="D24" s="406"/>
      <c r="E24" s="405" t="s">
        <v>3251</v>
      </c>
      <c r="F24" s="406"/>
      <c r="G24" s="405" t="s">
        <v>3251</v>
      </c>
      <c r="H24" s="406"/>
      <c r="I24" s="405" t="s">
        <v>3251</v>
      </c>
      <c r="J24" s="406"/>
      <c r="K24" s="749"/>
      <c r="L24" s="2940"/>
      <c r="M24" s="2934"/>
      <c r="N24" s="2934"/>
      <c r="O24" s="2992"/>
      <c r="P24" s="3383"/>
      <c r="Q24" s="1535"/>
      <c r="R24" s="713"/>
      <c r="S24" s="714"/>
      <c r="T24" s="713"/>
      <c r="U24" s="714"/>
      <c r="V24" s="713"/>
      <c r="W24" s="714"/>
      <c r="X24" s="1538"/>
      <c r="Y24" s="3383"/>
      <c r="Z24" s="1539"/>
      <c r="AA24" s="1536"/>
      <c r="AB24" s="1536"/>
      <c r="AC24" s="1536"/>
    </row>
    <row r="25" spans="1:29" ht="57">
      <c r="A25" s="363"/>
      <c r="B25" s="1291" t="s">
        <v>2566</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1</v>
      </c>
      <c r="L25" s="2940"/>
      <c r="M25" s="2934"/>
      <c r="N25" s="2934"/>
      <c r="O25" s="2992"/>
      <c r="P25" s="3383"/>
      <c r="Q25" s="1535" t="str">
        <f t="shared" si="8"/>
        <v>自然及人文环境状况</v>
      </c>
      <c r="R25" s="713" t="s">
        <v>17</v>
      </c>
      <c r="S25" s="714">
        <f>F25</f>
        <v>100</v>
      </c>
      <c r="T25" s="713" t="s">
        <v>17</v>
      </c>
      <c r="U25" s="714">
        <f>H25</f>
        <v>100</v>
      </c>
      <c r="V25" s="713" t="s">
        <v>17</v>
      </c>
      <c r="W25" s="714">
        <f>J25</f>
        <v>100</v>
      </c>
      <c r="X25" s="1538"/>
      <c r="Y25" s="3383"/>
      <c r="Z25" s="1539" t="str">
        <f>Q25</f>
        <v>自然及人文环境状况</v>
      </c>
      <c r="AA25" s="1536">
        <f t="shared" si="3"/>
        <v>1</v>
      </c>
      <c r="AB25" s="1536">
        <f t="shared" si="4"/>
        <v>1</v>
      </c>
      <c r="AC25" s="1536">
        <f t="shared" si="5"/>
        <v>1</v>
      </c>
    </row>
    <row r="26" spans="1:29" ht="15">
      <c r="A26" s="363"/>
      <c r="B26" s="414"/>
      <c r="C26" s="405" t="s">
        <v>3251</v>
      </c>
      <c r="D26" s="406"/>
      <c r="E26" s="405" t="s">
        <v>3251</v>
      </c>
      <c r="F26" s="406"/>
      <c r="G26" s="405" t="s">
        <v>3251</v>
      </c>
      <c r="H26" s="406"/>
      <c r="I26" s="405" t="s">
        <v>3251</v>
      </c>
      <c r="J26" s="406"/>
      <c r="K26" s="627"/>
      <c r="L26" s="2940"/>
      <c r="M26" s="2934"/>
      <c r="N26" s="2934"/>
      <c r="O26" s="2992"/>
      <c r="P26" s="3383"/>
      <c r="Q26" s="1535"/>
      <c r="R26" s="713"/>
      <c r="S26" s="714"/>
      <c r="T26" s="713"/>
      <c r="U26" s="714"/>
      <c r="V26" s="713"/>
      <c r="W26" s="714"/>
      <c r="X26" s="1538"/>
      <c r="Y26" s="3383"/>
      <c r="Z26" s="1539"/>
      <c r="AA26" s="1536">
        <v>1</v>
      </c>
      <c r="AB26" s="1536">
        <v>1</v>
      </c>
      <c r="AC26" s="1536">
        <v>1</v>
      </c>
    </row>
    <row r="27" spans="1:29" s="113" customFormat="1" ht="42.75">
      <c r="A27" s="604"/>
      <c r="B27" s="1291"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1</v>
      </c>
      <c r="L27" s="2935"/>
      <c r="M27" s="2936"/>
      <c r="N27" s="2936"/>
      <c r="O27" s="2990"/>
      <c r="P27" s="3383"/>
      <c r="Q27" s="1526" t="str">
        <f t="shared" si="8"/>
        <v>公共配套设施</v>
      </c>
      <c r="R27" s="709" t="s">
        <v>17</v>
      </c>
      <c r="S27" s="710">
        <f>F27</f>
        <v>100</v>
      </c>
      <c r="T27" s="709" t="s">
        <v>17</v>
      </c>
      <c r="U27" s="710">
        <f>H27</f>
        <v>100</v>
      </c>
      <c r="V27" s="709" t="s">
        <v>17</v>
      </c>
      <c r="W27" s="710">
        <f>J27</f>
        <v>100</v>
      </c>
      <c r="X27" s="711"/>
      <c r="Y27" s="3383"/>
      <c r="Z27" s="55" t="str">
        <f>Q27</f>
        <v>公共配套设施</v>
      </c>
      <c r="AA27" s="1536">
        <f>D27/F27</f>
        <v>1</v>
      </c>
      <c r="AB27" s="1536">
        <f>D27/H27</f>
        <v>1</v>
      </c>
      <c r="AC27" s="1536">
        <f>D27/J27</f>
        <v>1</v>
      </c>
    </row>
    <row r="28" spans="1:29" s="113" customFormat="1" ht="15">
      <c r="A28" s="604"/>
      <c r="B28" s="414"/>
      <c r="C28" s="405" t="s">
        <v>3251</v>
      </c>
      <c r="D28" s="406"/>
      <c r="E28" s="405" t="s">
        <v>3251</v>
      </c>
      <c r="F28" s="406"/>
      <c r="G28" s="405" t="s">
        <v>3251</v>
      </c>
      <c r="H28" s="406"/>
      <c r="I28" s="405" t="s">
        <v>3251</v>
      </c>
      <c r="J28" s="406"/>
      <c r="K28" s="627"/>
      <c r="L28" s="2935"/>
      <c r="M28" s="2936"/>
      <c r="N28" s="2936"/>
      <c r="O28" s="2990"/>
      <c r="P28" s="3383"/>
      <c r="Q28" s="1526"/>
      <c r="R28" s="709"/>
      <c r="S28" s="710"/>
      <c r="T28" s="709"/>
      <c r="U28" s="710"/>
      <c r="V28" s="709"/>
      <c r="W28" s="710"/>
      <c r="X28" s="711"/>
      <c r="Y28" s="3383"/>
      <c r="Z28" s="55"/>
      <c r="AA28" s="1536">
        <v>1</v>
      </c>
      <c r="AB28" s="1536">
        <v>1</v>
      </c>
      <c r="AC28" s="1536">
        <v>1</v>
      </c>
    </row>
    <row r="29" spans="1:29" s="113" customFormat="1" ht="28.5">
      <c r="A29" s="604"/>
      <c r="B29" s="1291"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5"/>
      <c r="M29" s="2936"/>
      <c r="N29" s="2936"/>
      <c r="O29" s="2990"/>
      <c r="P29" s="3383"/>
      <c r="Q29" s="1526" t="str">
        <f t="shared" ref="Q29" si="9">B29</f>
        <v>基础设施水平</v>
      </c>
      <c r="R29" s="709" t="s">
        <v>17</v>
      </c>
      <c r="S29" s="710">
        <f>F29</f>
        <v>100</v>
      </c>
      <c r="T29" s="709" t="s">
        <v>17</v>
      </c>
      <c r="U29" s="710">
        <f>H29</f>
        <v>100</v>
      </c>
      <c r="V29" s="709" t="s">
        <v>17</v>
      </c>
      <c r="W29" s="710">
        <f>J29</f>
        <v>100</v>
      </c>
      <c r="X29" s="711"/>
      <c r="Y29" s="3383"/>
      <c r="Z29" s="55" t="str">
        <f>Q29</f>
        <v>基础设施水平</v>
      </c>
      <c r="AA29" s="1536">
        <f>D29/F29</f>
        <v>1</v>
      </c>
      <c r="AB29" s="1536">
        <f>D29/H29</f>
        <v>1</v>
      </c>
      <c r="AC29" s="1536">
        <f>D29/J29</f>
        <v>1</v>
      </c>
    </row>
    <row r="30" spans="1:29" s="113" customFormat="1" ht="15.75" thickBot="1">
      <c r="A30" s="604"/>
      <c r="B30" s="414"/>
      <c r="C30" s="2158" t="s">
        <v>3294</v>
      </c>
      <c r="D30" s="406"/>
      <c r="E30" s="2158" t="s">
        <v>3294</v>
      </c>
      <c r="F30" s="406"/>
      <c r="G30" s="2158" t="s">
        <v>3294</v>
      </c>
      <c r="H30" s="406"/>
      <c r="I30" s="2158" t="s">
        <v>3294</v>
      </c>
      <c r="J30" s="406"/>
      <c r="K30" s="627"/>
      <c r="L30" s="2935"/>
      <c r="M30" s="2936"/>
      <c r="N30" s="2936"/>
      <c r="O30" s="2990"/>
      <c r="P30" s="3383"/>
      <c r="Q30" s="1526"/>
      <c r="R30" s="709"/>
      <c r="S30" s="710"/>
      <c r="T30" s="709"/>
      <c r="U30" s="710"/>
      <c r="V30" s="709"/>
      <c r="W30" s="710"/>
      <c r="X30" s="711"/>
      <c r="Y30" s="3383"/>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0"/>
      <c r="M31" s="2934"/>
      <c r="N31" s="2934"/>
      <c r="O31" s="2992"/>
      <c r="P31" s="3383"/>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83"/>
      <c r="Z31" s="1539" t="str">
        <f t="shared" ref="Z31:Z45" si="13">Q31</f>
        <v>临街状况</v>
      </c>
      <c r="AA31" s="1536">
        <f t="shared" si="3"/>
        <v>1</v>
      </c>
      <c r="AB31" s="1536">
        <f t="shared" si="4"/>
        <v>1</v>
      </c>
      <c r="AC31" s="1536">
        <f t="shared" si="5"/>
        <v>1</v>
      </c>
    </row>
    <row r="32" spans="1:29" ht="27" hidden="1">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0"/>
      <c r="M32" s="2934"/>
      <c r="N32" s="2934"/>
      <c r="O32" s="2992"/>
      <c r="P32" s="3383"/>
      <c r="Q32" s="1535" t="str">
        <f t="shared" si="8"/>
        <v>毗邻道路的类型与等级</v>
      </c>
      <c r="R32" s="713" t="s">
        <v>17</v>
      </c>
      <c r="S32" s="714">
        <f t="shared" si="10"/>
        <v>100</v>
      </c>
      <c r="T32" s="713" t="s">
        <v>17</v>
      </c>
      <c r="U32" s="714">
        <f t="shared" si="11"/>
        <v>100</v>
      </c>
      <c r="V32" s="713" t="s">
        <v>17</v>
      </c>
      <c r="W32" s="714">
        <f t="shared" si="12"/>
        <v>100</v>
      </c>
      <c r="X32" s="1538"/>
      <c r="Y32" s="3383"/>
      <c r="Z32" s="1539" t="str">
        <f t="shared" si="13"/>
        <v>毗邻道路的类型与等级</v>
      </c>
      <c r="AA32" s="1536">
        <f t="shared" si="3"/>
        <v>1</v>
      </c>
      <c r="AB32" s="1536">
        <f t="shared" si="4"/>
        <v>1</v>
      </c>
      <c r="AC32" s="1536">
        <f t="shared" si="5"/>
        <v>1</v>
      </c>
    </row>
    <row r="33" spans="1:29" ht="15" hidden="1">
      <c r="A33" s="386"/>
      <c r="B33" s="414"/>
      <c r="C33" s="405"/>
      <c r="D33" s="406"/>
      <c r="E33" s="2086"/>
      <c r="F33" s="406"/>
      <c r="G33" s="2086"/>
      <c r="H33" s="406"/>
      <c r="I33" s="405"/>
      <c r="J33" s="406"/>
      <c r="K33" s="569"/>
      <c r="L33" s="2940"/>
      <c r="M33" s="2934"/>
      <c r="N33" s="2934"/>
      <c r="O33" s="2992"/>
      <c r="P33" s="3383"/>
      <c r="Q33" s="1535"/>
      <c r="R33" s="713"/>
      <c r="S33" s="714"/>
      <c r="T33" s="713"/>
      <c r="U33" s="714"/>
      <c r="V33" s="713"/>
      <c r="W33" s="714"/>
      <c r="X33" s="1538"/>
      <c r="Y33" s="3383"/>
      <c r="Z33" s="1539"/>
      <c r="AA33" s="1536">
        <v>1</v>
      </c>
      <c r="AB33" s="1536">
        <v>1</v>
      </c>
      <c r="AC33" s="1536">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0"/>
      <c r="M34" s="2934"/>
      <c r="N34" s="2934"/>
      <c r="O34" s="2992"/>
      <c r="P34" s="3383"/>
      <c r="Q34" s="1535" t="str">
        <f t="shared" si="8"/>
        <v>土地级别</v>
      </c>
      <c r="R34" s="713" t="s">
        <v>17</v>
      </c>
      <c r="S34" s="714">
        <f t="shared" si="10"/>
        <v>100</v>
      </c>
      <c r="T34" s="713" t="s">
        <v>17</v>
      </c>
      <c r="U34" s="714">
        <f t="shared" si="11"/>
        <v>100</v>
      </c>
      <c r="V34" s="713" t="s">
        <v>17</v>
      </c>
      <c r="W34" s="714">
        <f t="shared" si="12"/>
        <v>100</v>
      </c>
      <c r="X34" s="1538"/>
      <c r="Y34" s="3383"/>
      <c r="Z34" s="1539" t="str">
        <f t="shared" si="13"/>
        <v>土地级别</v>
      </c>
      <c r="AA34" s="1536">
        <f t="shared" si="3"/>
        <v>1</v>
      </c>
      <c r="AB34" s="1536">
        <f t="shared" si="4"/>
        <v>1</v>
      </c>
      <c r="AC34" s="1536">
        <f t="shared" si="5"/>
        <v>1</v>
      </c>
    </row>
    <row r="35" spans="1:29" ht="15" hidden="1">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0"/>
      <c r="M35" s="2934"/>
      <c r="N35" s="2934"/>
      <c r="O35" s="2992"/>
      <c r="P35" s="3383"/>
      <c r="Q35" s="1535">
        <f t="shared" si="8"/>
        <v>111</v>
      </c>
      <c r="R35" s="713" t="s">
        <v>17</v>
      </c>
      <c r="S35" s="714">
        <f t="shared" si="10"/>
        <v>100</v>
      </c>
      <c r="T35" s="713" t="s">
        <v>17</v>
      </c>
      <c r="U35" s="714">
        <f t="shared" si="11"/>
        <v>100</v>
      </c>
      <c r="V35" s="713" t="s">
        <v>17</v>
      </c>
      <c r="W35" s="714">
        <f t="shared" si="12"/>
        <v>100</v>
      </c>
      <c r="X35" s="1538"/>
      <c r="Y35" s="3383"/>
      <c r="Z35" s="1539">
        <f t="shared" si="13"/>
        <v>111</v>
      </c>
      <c r="AA35" s="1536">
        <f t="shared" si="3"/>
        <v>1</v>
      </c>
      <c r="AB35" s="1536">
        <f t="shared" si="4"/>
        <v>1</v>
      </c>
      <c r="AC35" s="1536">
        <f t="shared" si="5"/>
        <v>1</v>
      </c>
    </row>
    <row r="36" spans="1:29" ht="15" hidden="1">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0"/>
      <c r="M36" s="2934"/>
      <c r="N36" s="2934"/>
      <c r="O36" s="2992"/>
      <c r="P36" s="3440" t="s">
        <v>2383</v>
      </c>
      <c r="Q36" s="1535">
        <f t="shared" si="8"/>
        <v>111</v>
      </c>
      <c r="R36" s="713" t="s">
        <v>17</v>
      </c>
      <c r="S36" s="714">
        <f t="shared" si="10"/>
        <v>100</v>
      </c>
      <c r="T36" s="713" t="s">
        <v>17</v>
      </c>
      <c r="U36" s="714">
        <f t="shared" si="11"/>
        <v>100</v>
      </c>
      <c r="V36" s="713" t="s">
        <v>17</v>
      </c>
      <c r="W36" s="714">
        <f t="shared" si="12"/>
        <v>100</v>
      </c>
      <c r="X36" s="1538"/>
      <c r="Y36" s="3387" t="s">
        <v>2383</v>
      </c>
      <c r="Z36" s="1539">
        <f t="shared" si="13"/>
        <v>111</v>
      </c>
      <c r="AA36" s="1536">
        <f t="shared" si="3"/>
        <v>1</v>
      </c>
      <c r="AB36" s="1536">
        <f t="shared" si="4"/>
        <v>1</v>
      </c>
      <c r="AC36" s="1536">
        <f t="shared" si="5"/>
        <v>1</v>
      </c>
    </row>
    <row r="37" spans="1:29" s="429" customFormat="1" ht="15.75" hidden="1"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9"/>
      <c r="M37" s="2941"/>
      <c r="N37" s="2941"/>
      <c r="O37" s="2993"/>
      <c r="P37" s="3387"/>
      <c r="Q37" s="1535">
        <f t="shared" si="8"/>
        <v>111</v>
      </c>
      <c r="R37" s="716" t="s">
        <v>17</v>
      </c>
      <c r="S37" s="717">
        <f t="shared" si="10"/>
        <v>100</v>
      </c>
      <c r="T37" s="716" t="s">
        <v>17</v>
      </c>
      <c r="U37" s="717">
        <f t="shared" si="11"/>
        <v>100</v>
      </c>
      <c r="V37" s="716" t="s">
        <v>17</v>
      </c>
      <c r="W37" s="717">
        <f t="shared" si="12"/>
        <v>100</v>
      </c>
      <c r="X37" s="718"/>
      <c r="Y37" s="3387"/>
      <c r="Z37" s="719">
        <f t="shared" si="13"/>
        <v>111</v>
      </c>
      <c r="AA37" s="1536">
        <f t="shared" si="3"/>
        <v>1</v>
      </c>
      <c r="AB37" s="1536">
        <f t="shared" si="4"/>
        <v>1</v>
      </c>
      <c r="AC37" s="1536">
        <f t="shared" si="5"/>
        <v>1</v>
      </c>
    </row>
    <row r="38" spans="1:29" ht="15">
      <c r="A38" s="430" t="s">
        <v>2381</v>
      </c>
      <c r="B38" s="414" t="s">
        <v>2568</v>
      </c>
      <c r="C38" s="3146">
        <f>Sheet1!A34</f>
        <v>92863</v>
      </c>
      <c r="D38" s="425">
        <v>100</v>
      </c>
      <c r="E38" s="634">
        <f>土地案例!D6</f>
        <v>230355.1</v>
      </c>
      <c r="F38" s="425">
        <f>LOOKUP(E38,117:117,118:118)-LOOKUP(C38,117:117,118:118)+100</f>
        <v>98</v>
      </c>
      <c r="G38" s="634">
        <f>土地案例!D8</f>
        <v>71941.600000000006</v>
      </c>
      <c r="H38" s="425">
        <f>LOOKUP(G38,117:117,118:118)-LOOKUP(C38,117:117,118:118)+100</f>
        <v>100</v>
      </c>
      <c r="I38" s="486">
        <f>土地案例!D9</f>
        <v>45708.5</v>
      </c>
      <c r="J38" s="425">
        <f>LOOKUP(I38,117:117,118:118)-LOOKUP(C38,117:117,118:118)+100</f>
        <v>102</v>
      </c>
      <c r="K38" s="569"/>
      <c r="L38" s="2940"/>
      <c r="M38" s="2934"/>
      <c r="N38" s="2934"/>
      <c r="O38" s="2992"/>
      <c r="P38" s="3387"/>
      <c r="Q38" s="1535" t="str">
        <f>B38</f>
        <v>宗地面积</v>
      </c>
      <c r="R38" s="713" t="s">
        <v>17</v>
      </c>
      <c r="S38" s="714">
        <f t="shared" si="10"/>
        <v>98</v>
      </c>
      <c r="T38" s="713" t="s">
        <v>17</v>
      </c>
      <c r="U38" s="714">
        <f t="shared" si="11"/>
        <v>100</v>
      </c>
      <c r="V38" s="713" t="s">
        <v>17</v>
      </c>
      <c r="W38" s="714">
        <f t="shared" si="12"/>
        <v>102</v>
      </c>
      <c r="X38" s="1538"/>
      <c r="Y38" s="3387"/>
      <c r="Z38" s="1539" t="str">
        <f t="shared" si="13"/>
        <v>宗地面积</v>
      </c>
      <c r="AA38" s="1536">
        <f t="shared" si="3"/>
        <v>1.0204081632653061</v>
      </c>
      <c r="AB38" s="1536">
        <f t="shared" si="4"/>
        <v>1</v>
      </c>
      <c r="AC38" s="1536">
        <f t="shared" si="5"/>
        <v>0.98039215686274506</v>
      </c>
    </row>
    <row r="39" spans="1:29" ht="15">
      <c r="A39" s="430"/>
      <c r="B39" s="380" t="s">
        <v>2569</v>
      </c>
      <c r="C39" s="2088" t="s">
        <v>3295</v>
      </c>
      <c r="D39" s="393">
        <v>100</v>
      </c>
      <c r="E39" s="2088" t="s">
        <v>3295</v>
      </c>
      <c r="F39" s="393">
        <f>SUMIF(119:119,E39,120:120)-SUMIF(119:119,C39,120:120)+100</f>
        <v>100</v>
      </c>
      <c r="G39" s="2088" t="s">
        <v>3295</v>
      </c>
      <c r="H39" s="393">
        <f>SUMIF(119:119,G39,120:120)-SUMIF(119:119,C39,120:120)+100</f>
        <v>100</v>
      </c>
      <c r="I39" s="2088" t="s">
        <v>3295</v>
      </c>
      <c r="J39" s="393">
        <f>SUMIF(119:119,I39,120:120)-SUMIF(119:119,C39,120:120)+100</f>
        <v>100</v>
      </c>
      <c r="K39" s="568">
        <v>1</v>
      </c>
      <c r="L39" s="2940"/>
      <c r="M39" s="2934"/>
      <c r="N39" s="2934"/>
      <c r="O39" s="2992"/>
      <c r="P39" s="3387"/>
      <c r="Q39" s="1535" t="str">
        <f t="shared" ref="Q39:Q45" si="14">B39</f>
        <v>宗地形状</v>
      </c>
      <c r="R39" s="713" t="s">
        <v>17</v>
      </c>
      <c r="S39" s="714">
        <f t="shared" si="10"/>
        <v>100</v>
      </c>
      <c r="T39" s="713" t="s">
        <v>17</v>
      </c>
      <c r="U39" s="714">
        <f t="shared" si="11"/>
        <v>100</v>
      </c>
      <c r="V39" s="713" t="s">
        <v>17</v>
      </c>
      <c r="W39" s="714">
        <f t="shared" si="12"/>
        <v>100</v>
      </c>
      <c r="X39" s="1538"/>
      <c r="Y39" s="3387"/>
      <c r="Z39" s="1539" t="str">
        <f t="shared" si="13"/>
        <v>宗地形状</v>
      </c>
      <c r="AA39" s="1536">
        <f t="shared" si="3"/>
        <v>1</v>
      </c>
      <c r="AB39" s="1536">
        <f t="shared" si="4"/>
        <v>1</v>
      </c>
      <c r="AC39" s="1536">
        <f t="shared" si="5"/>
        <v>1</v>
      </c>
    </row>
    <row r="40" spans="1:29" ht="15" hidden="1">
      <c r="A40" s="430"/>
      <c r="B40" s="380" t="s">
        <v>2570</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0"/>
      <c r="M40" s="2934"/>
      <c r="N40" s="2934"/>
      <c r="O40" s="2992"/>
      <c r="P40" s="3387"/>
      <c r="Q40" s="1535" t="str">
        <f t="shared" si="14"/>
        <v>临街宽度及深度</v>
      </c>
      <c r="R40" s="713" t="s">
        <v>17</v>
      </c>
      <c r="S40" s="714">
        <f t="shared" si="10"/>
        <v>100</v>
      </c>
      <c r="T40" s="713" t="s">
        <v>17</v>
      </c>
      <c r="U40" s="714">
        <f t="shared" si="11"/>
        <v>100</v>
      </c>
      <c r="V40" s="713" t="s">
        <v>17</v>
      </c>
      <c r="W40" s="714">
        <f t="shared" si="12"/>
        <v>100</v>
      </c>
      <c r="X40" s="1538"/>
      <c r="Y40" s="3387"/>
      <c r="Z40" s="1539" t="str">
        <f t="shared" si="13"/>
        <v>临街宽度及深度</v>
      </c>
      <c r="AA40" s="1536">
        <f t="shared" si="3"/>
        <v>1</v>
      </c>
      <c r="AB40" s="1536">
        <f t="shared" si="4"/>
        <v>1</v>
      </c>
      <c r="AC40" s="1536">
        <f t="shared" si="5"/>
        <v>1</v>
      </c>
    </row>
    <row r="41" spans="1:29" s="113" customFormat="1" ht="15">
      <c r="A41" s="431"/>
      <c r="B41" s="380" t="s">
        <v>2571</v>
      </c>
      <c r="C41" s="2160" t="s">
        <v>3294</v>
      </c>
      <c r="D41" s="131">
        <v>100</v>
      </c>
      <c r="E41" s="2160" t="s">
        <v>3294</v>
      </c>
      <c r="F41" s="393">
        <f>SUMIF(123:123,E41,124:124)-SUMIF(123:123,C41,124:124)+100</f>
        <v>100</v>
      </c>
      <c r="G41" s="2160" t="s">
        <v>3294</v>
      </c>
      <c r="H41" s="393">
        <f>SUMIF(123:123,G41,124:124)-SUMIF(123:123,C41,124:124)+100</f>
        <v>100</v>
      </c>
      <c r="I41" s="2160" t="s">
        <v>3294</v>
      </c>
      <c r="J41" s="393">
        <f>SUMIF(123:123,I41,124:124)-SUMIF(123:123,C41,124:124)+100</f>
        <v>100</v>
      </c>
      <c r="K41" s="568">
        <v>2</v>
      </c>
      <c r="L41" s="2935"/>
      <c r="M41" s="2936"/>
      <c r="N41" s="2936"/>
      <c r="O41" s="2990"/>
      <c r="P41" s="3387"/>
      <c r="Q41" s="1535" t="str">
        <f t="shared" si="14"/>
        <v>宗地开发程度</v>
      </c>
      <c r="R41" s="709" t="s">
        <v>17</v>
      </c>
      <c r="S41" s="710">
        <f t="shared" si="10"/>
        <v>100</v>
      </c>
      <c r="T41" s="709" t="s">
        <v>17</v>
      </c>
      <c r="U41" s="710">
        <f t="shared" si="11"/>
        <v>100</v>
      </c>
      <c r="V41" s="709" t="s">
        <v>17</v>
      </c>
      <c r="W41" s="710">
        <f t="shared" si="12"/>
        <v>100</v>
      </c>
      <c r="X41" s="711"/>
      <c r="Y41" s="3387"/>
      <c r="Z41" s="55" t="str">
        <f t="shared" si="13"/>
        <v>宗地开发程度</v>
      </c>
      <c r="AA41" s="712">
        <f t="shared" si="3"/>
        <v>1</v>
      </c>
      <c r="AB41" s="712">
        <f t="shared" si="4"/>
        <v>1</v>
      </c>
      <c r="AC41" s="712">
        <f t="shared" si="5"/>
        <v>1</v>
      </c>
    </row>
    <row r="42" spans="1:29" ht="15">
      <c r="A42" s="430"/>
      <c r="B42" s="380" t="s">
        <v>2572</v>
      </c>
      <c r="C42" s="2088" t="s">
        <v>3251</v>
      </c>
      <c r="D42" s="393">
        <v>100</v>
      </c>
      <c r="E42" s="2088" t="s">
        <v>3251</v>
      </c>
      <c r="F42" s="393">
        <f>SUMIF(125:125,E42,126:126)-SUMIF(125:125,C42,126:126)+100</f>
        <v>100</v>
      </c>
      <c r="G42" s="2088" t="s">
        <v>3251</v>
      </c>
      <c r="H42" s="393">
        <f>SUMIF(125:125,G42,126:126)-SUMIF(125:125,C42,126:126)+100</f>
        <v>100</v>
      </c>
      <c r="I42" s="2088" t="s">
        <v>3251</v>
      </c>
      <c r="J42" s="393">
        <f>SUMIF(125:125,I42,126:126)-SUMIF(125:125,C42,126:126)+100</f>
        <v>100</v>
      </c>
      <c r="K42" s="568">
        <v>1</v>
      </c>
      <c r="L42" s="2940"/>
      <c r="M42" s="2934"/>
      <c r="N42" s="2934"/>
      <c r="O42" s="2992"/>
      <c r="P42" s="3387" t="s">
        <v>2383</v>
      </c>
      <c r="Q42" s="1535" t="str">
        <f t="shared" si="14"/>
        <v>工程地质条件</v>
      </c>
      <c r="R42" s="713" t="s">
        <v>17</v>
      </c>
      <c r="S42" s="714">
        <f t="shared" si="10"/>
        <v>100</v>
      </c>
      <c r="T42" s="713" t="s">
        <v>17</v>
      </c>
      <c r="U42" s="714">
        <f t="shared" si="11"/>
        <v>100</v>
      </c>
      <c r="V42" s="713" t="s">
        <v>17</v>
      </c>
      <c r="W42" s="714">
        <f t="shared" si="12"/>
        <v>100</v>
      </c>
      <c r="X42" s="1538"/>
      <c r="Y42" s="3387" t="s">
        <v>2383</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0"/>
      <c r="M43" s="2934"/>
      <c r="N43" s="2934"/>
      <c r="O43" s="2992"/>
      <c r="P43" s="3387"/>
      <c r="Q43" s="1535">
        <f t="shared" si="14"/>
        <v>111</v>
      </c>
      <c r="R43" s="713" t="s">
        <v>17</v>
      </c>
      <c r="S43" s="714">
        <f t="shared" si="10"/>
        <v>100</v>
      </c>
      <c r="T43" s="713" t="s">
        <v>17</v>
      </c>
      <c r="U43" s="714">
        <f t="shared" si="11"/>
        <v>100</v>
      </c>
      <c r="V43" s="713" t="s">
        <v>17</v>
      </c>
      <c r="W43" s="714">
        <f t="shared" si="12"/>
        <v>100</v>
      </c>
      <c r="X43" s="1538"/>
      <c r="Y43" s="3387"/>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0"/>
      <c r="M44" s="2934"/>
      <c r="N44" s="2934"/>
      <c r="O44" s="2992"/>
      <c r="P44" s="3387"/>
      <c r="Q44" s="1535">
        <f t="shared" si="14"/>
        <v>111</v>
      </c>
      <c r="R44" s="713" t="s">
        <v>17</v>
      </c>
      <c r="S44" s="714">
        <f t="shared" si="10"/>
        <v>100</v>
      </c>
      <c r="T44" s="713" t="s">
        <v>17</v>
      </c>
      <c r="U44" s="714">
        <f t="shared" si="11"/>
        <v>100</v>
      </c>
      <c r="V44" s="713" t="s">
        <v>17</v>
      </c>
      <c r="W44" s="714">
        <f t="shared" si="12"/>
        <v>100</v>
      </c>
      <c r="X44" s="1538"/>
      <c r="Y44" s="3387"/>
      <c r="Z44" s="1539">
        <f t="shared" si="13"/>
        <v>111</v>
      </c>
      <c r="AA44" s="1536">
        <f t="shared" si="3"/>
        <v>1</v>
      </c>
      <c r="AB44" s="1536">
        <f t="shared" si="4"/>
        <v>1</v>
      </c>
      <c r="AC44" s="1536">
        <f t="shared" si="5"/>
        <v>1</v>
      </c>
    </row>
    <row r="45" spans="1:29" s="429" customFormat="1" ht="15.75" thickBot="1">
      <c r="A45" s="426"/>
      <c r="B45" s="1294">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39"/>
      <c r="M45" s="2941"/>
      <c r="N45" s="2941"/>
      <c r="O45" s="2993"/>
      <c r="P45" s="3387"/>
      <c r="Q45" s="1535">
        <f t="shared" si="14"/>
        <v>111</v>
      </c>
      <c r="R45" s="716" t="s">
        <v>17</v>
      </c>
      <c r="S45" s="717">
        <f t="shared" si="10"/>
        <v>100</v>
      </c>
      <c r="T45" s="716" t="s">
        <v>17</v>
      </c>
      <c r="U45" s="717">
        <f t="shared" si="11"/>
        <v>100</v>
      </c>
      <c r="V45" s="716" t="s">
        <v>17</v>
      </c>
      <c r="W45" s="717">
        <f t="shared" si="12"/>
        <v>100</v>
      </c>
      <c r="X45" s="718"/>
      <c r="Y45" s="3387"/>
      <c r="Z45" s="719">
        <f t="shared" si="13"/>
        <v>111</v>
      </c>
      <c r="AA45" s="1536">
        <f t="shared" si="3"/>
        <v>1</v>
      </c>
      <c r="AB45" s="1536">
        <f t="shared" si="4"/>
        <v>1</v>
      </c>
      <c r="AC45" s="1536">
        <f t="shared" si="5"/>
        <v>1</v>
      </c>
    </row>
    <row r="46" spans="1:29" ht="15">
      <c r="A46" s="437" t="s">
        <v>2538</v>
      </c>
      <c r="B46" s="2162" t="s">
        <v>2573</v>
      </c>
      <c r="C46" s="637" t="s">
        <v>1</v>
      </c>
      <c r="D46" s="439"/>
      <c r="E46" s="440">
        <f>ROUND(土地案例!N6,0)</f>
        <v>8830</v>
      </c>
      <c r="F46" s="441"/>
      <c r="G46" s="442">
        <f>ROUND(土地案例!N8,0)</f>
        <v>9929</v>
      </c>
      <c r="H46" s="443"/>
      <c r="I46" s="440">
        <f>ROUND(土地案例!N9,0)</f>
        <v>10038</v>
      </c>
      <c r="J46" s="443"/>
      <c r="K46" s="722"/>
      <c r="L46" s="2942"/>
      <c r="M46" s="2943"/>
      <c r="N46" s="2934"/>
      <c r="O46" s="2943"/>
      <c r="P46" s="3380" t="str">
        <f>A46</f>
        <v>成交单价</v>
      </c>
      <c r="Q46" s="3380"/>
      <c r="R46" s="3411">
        <f>E46</f>
        <v>8830</v>
      </c>
      <c r="S46" s="3411"/>
      <c r="T46" s="3411">
        <f>G46</f>
        <v>9929</v>
      </c>
      <c r="U46" s="3411"/>
      <c r="V46" s="3411">
        <f>I46</f>
        <v>10038</v>
      </c>
      <c r="W46" s="3411"/>
      <c r="X46" s="698"/>
      <c r="Y46" s="720"/>
      <c r="Z46" s="698"/>
      <c r="AA46" s="698"/>
      <c r="AB46" s="698"/>
      <c r="AC46" s="698"/>
    </row>
    <row r="47" spans="1:29" ht="15.75" thickBot="1">
      <c r="A47" s="444" t="s">
        <v>2487</v>
      </c>
      <c r="B47" s="638"/>
      <c r="C47" s="447">
        <f>R48</f>
        <v>8140</v>
      </c>
      <c r="D47" s="2532" t="s">
        <v>2877</v>
      </c>
      <c r="E47" s="447">
        <f>R47</f>
        <v>8462</v>
      </c>
      <c r="F47" s="2533"/>
      <c r="G47" s="446">
        <f>T47</f>
        <v>8014</v>
      </c>
      <c r="H47" s="2533"/>
      <c r="I47" s="447">
        <f>V47</f>
        <v>7943</v>
      </c>
      <c r="J47" s="2533"/>
      <c r="K47" s="2535">
        <f>F47+H47+J47</f>
        <v>0</v>
      </c>
      <c r="L47" s="2942"/>
      <c r="M47" s="2943"/>
      <c r="N47" s="2943"/>
      <c r="O47" s="2943"/>
      <c r="P47" s="3380" t="str">
        <f>A47</f>
        <v>比较价值（元/平方米）</v>
      </c>
      <c r="Q47" s="3380"/>
      <c r="R47" s="3442">
        <f>ROUND(PRODUCT(R46,AA7:AA45),0)</f>
        <v>8462</v>
      </c>
      <c r="S47" s="3442"/>
      <c r="T47" s="3442">
        <f>ROUND(PRODUCT(T46,AB7:AB45),0)</f>
        <v>8014</v>
      </c>
      <c r="U47" s="3442"/>
      <c r="V47" s="3442">
        <f>ROUND(PRODUCT(V46,AC7:AC45),0)</f>
        <v>7943</v>
      </c>
      <c r="W47" s="3442"/>
      <c r="X47" s="698"/>
      <c r="Y47" s="698"/>
      <c r="Z47" s="698"/>
      <c r="AA47" s="698"/>
      <c r="AB47" s="698"/>
      <c r="AC47" s="698"/>
    </row>
    <row r="48" spans="1:29" ht="15.75" thickBot="1">
      <c r="A48" s="448" t="s">
        <v>2574</v>
      </c>
      <c r="B48" s="449"/>
      <c r="C48" s="450">
        <f>R48</f>
        <v>8140</v>
      </c>
      <c r="D48" s="450"/>
      <c r="E48" s="450"/>
      <c r="F48" s="450"/>
      <c r="G48" s="450"/>
      <c r="H48" s="450"/>
      <c r="I48" s="450"/>
      <c r="J48" s="450"/>
      <c r="K48" s="723"/>
      <c r="L48" s="2942"/>
      <c r="M48" s="2943"/>
      <c r="N48" s="2943"/>
      <c r="O48" s="2943"/>
      <c r="P48" s="3377" t="str">
        <f>A48</f>
        <v>估价对象XX用房的比较价值（楼面单价，元/平方米）</v>
      </c>
      <c r="Q48" s="3378"/>
      <c r="R48" s="3443">
        <f>ROUND(IF(D47="简单平均",AVERAGE(R47:W47),R47*F47+T47*H47+V47*J47),0)</f>
        <v>8140</v>
      </c>
      <c r="S48" s="3443"/>
      <c r="T48" s="3443"/>
      <c r="U48" s="3443"/>
      <c r="V48" s="3443"/>
      <c r="W48" s="3443"/>
      <c r="X48" s="698"/>
      <c r="Y48" s="698"/>
      <c r="Z48" s="698"/>
      <c r="AA48" s="698"/>
      <c r="AB48" s="698"/>
      <c r="AC48" s="698"/>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3" t="s">
        <v>2489</v>
      </c>
      <c r="D51" s="454"/>
      <c r="E51" s="455">
        <f>IF(E46&lt;E47,E47/E46-1,E46/E47-1)</f>
        <v>4.3488536988891546E-2</v>
      </c>
      <c r="F51" s="456" t="str">
        <f>IF(OR(E51&gt;=0.3,E51&lt;=-0.3),"超过30%","")</f>
        <v/>
      </c>
      <c r="G51" s="455">
        <f>IF(G46&lt;G47,G47/G46-1,G46/G47-1)</f>
        <v>0.23895682555527831</v>
      </c>
      <c r="H51" s="456" t="str">
        <f>IF(OR(G51&gt;=0.3,G51&lt;=-0.3),"超过30%","")</f>
        <v/>
      </c>
      <c r="I51" s="455">
        <f>IF(I46&lt;I47,I47/I46-1,I46/I47-1)</f>
        <v>0.26375424902429812</v>
      </c>
      <c r="J51" s="456"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3" t="s">
        <v>2490</v>
      </c>
      <c r="D52" s="457"/>
      <c r="E52" s="455">
        <f>IF(E47&lt;G47,G47/E47-1,E47/G47-1)</f>
        <v>5.5902171200399309E-2</v>
      </c>
      <c r="F52" s="456" t="str">
        <f>IF(OR(E52&gt;=0.2,E52&lt;=-0.2),"超过20%","")</f>
        <v/>
      </c>
      <c r="G52" s="455">
        <f>IF(G47&lt;I47,I47/G47-1,G47/I47-1)</f>
        <v>8.9386881530908457E-3</v>
      </c>
      <c r="H52" s="456" t="str">
        <f>IF(OR(G52&gt;=0.2,G52&lt;=-0.2),"超过20%","")</f>
        <v/>
      </c>
      <c r="I52" s="455">
        <f>IF(I47&lt;E47,E47/I47-1,I47/E47-1)</f>
        <v>6.5340551428931137E-2</v>
      </c>
      <c r="J52" s="456"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8" customFormat="1" ht="13.5" customHeight="1">
      <c r="A53" s="2946"/>
      <c r="B53" s="2946"/>
      <c r="C53" s="453" t="s">
        <v>2491</v>
      </c>
      <c r="D53" s="457"/>
      <c r="E53" s="455">
        <f>IF(E46&lt;G46,G46/E46-1,E46/G46-1)</f>
        <v>0.12446206115515279</v>
      </c>
      <c r="F53" s="456" t="str">
        <f>IF(OR(E53&gt;=0.3,E53&lt;=-0.3),"超过30%","")</f>
        <v/>
      </c>
      <c r="G53" s="455">
        <f>IF(G46&lt;I46,I46/G46-1,G46/I46-1)</f>
        <v>1.0977943398126744E-2</v>
      </c>
      <c r="H53" s="456" t="str">
        <f>IF(OR(G53&gt;=0.3,G53&lt;=-0.3),"超过30%","")</f>
        <v/>
      </c>
      <c r="I53" s="455">
        <f>IF(I46&lt;E46,E46/I46-1,I46/E46-1)</f>
        <v>0.13680634201585495</v>
      </c>
      <c r="J53" s="456"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8" customFormat="1" ht="15" thickBot="1">
      <c r="A54" s="2946"/>
      <c r="B54" s="2949"/>
      <c r="C54" s="701"/>
      <c r="D54" s="699"/>
      <c r="E54" s="699"/>
      <c r="F54" s="699"/>
      <c r="G54" s="699"/>
      <c r="H54" s="699"/>
      <c r="I54" s="699"/>
      <c r="J54" s="699"/>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2575</v>
      </c>
      <c r="B55" s="640" t="s">
        <v>2576</v>
      </c>
      <c r="C55" s="2163" t="s">
        <v>3300</v>
      </c>
      <c r="D55" s="2164" t="s">
        <v>2578</v>
      </c>
      <c r="E55" s="641" t="s">
        <v>2579</v>
      </c>
      <c r="F55" s="1019" t="s">
        <v>2580</v>
      </c>
      <c r="G55" s="3395" t="s">
        <v>2581</v>
      </c>
      <c r="H55" s="3444"/>
      <c r="I55" s="139" t="s">
        <v>2582</v>
      </c>
      <c r="J55" s="2165" t="str">
        <f>项目基本情况!F35</f>
        <v>天津</v>
      </c>
      <c r="K55" s="2166" t="s">
        <v>2583</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2584</v>
      </c>
      <c r="B56" s="644">
        <f>C48</f>
        <v>8140</v>
      </c>
      <c r="C56" s="645">
        <v>1</v>
      </c>
      <c r="D56" s="1073">
        <v>1</v>
      </c>
      <c r="E56" s="645">
        <f>'数据-汇总表'!E8+'数据-汇总表'!E9</f>
        <v>54761.34</v>
      </c>
      <c r="F56" s="1015">
        <f t="shared" ref="F56:F65" si="15">ROUND(B56*E56/10000,0)</f>
        <v>44576</v>
      </c>
      <c r="G56" s="3391"/>
      <c r="H56" s="3380"/>
      <c r="I56" s="1020">
        <v>1</v>
      </c>
      <c r="J56" s="1023">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2585</v>
      </c>
      <c r="B57" s="223">
        <f>ROUND($C$48*C57*D57,0)</f>
        <v>0</v>
      </c>
      <c r="C57" s="175">
        <f t="shared" ref="C57:C65" si="16">IF($C$55="北京市系数",I57,J57)</f>
        <v>0</v>
      </c>
      <c r="D57" s="1074">
        <v>0.25</v>
      </c>
      <c r="E57" s="649"/>
      <c r="F57" s="1015">
        <f t="shared" si="15"/>
        <v>0</v>
      </c>
      <c r="G57" s="3445" t="s">
        <v>2586</v>
      </c>
      <c r="H57" s="1016">
        <f>项目基本情况!B37</f>
        <v>0</v>
      </c>
      <c r="I57" s="1020">
        <f>SUMIF(修正!A45:A56,H57,修正!B45:B56)</f>
        <v>0</v>
      </c>
      <c r="J57" s="1024"/>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2587</v>
      </c>
      <c r="B58" s="223">
        <f t="shared" ref="B58:B65" si="17">ROUND($C$48*C58*D58,0)</f>
        <v>0</v>
      </c>
      <c r="C58" s="175">
        <f t="shared" si="16"/>
        <v>0</v>
      </c>
      <c r="D58" s="1074">
        <v>0.25</v>
      </c>
      <c r="E58" s="649"/>
      <c r="F58" s="1015">
        <f t="shared" si="15"/>
        <v>0</v>
      </c>
      <c r="G58" s="3445"/>
      <c r="H58" s="1016">
        <f>项目基本情况!B37</f>
        <v>0</v>
      </c>
      <c r="I58" s="1020">
        <f>SUMIF(修正!A45:A56,H58,修正!C45:C56)</f>
        <v>0</v>
      </c>
      <c r="J58" s="1024"/>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2588</v>
      </c>
      <c r="B59" s="223">
        <f t="shared" si="17"/>
        <v>0</v>
      </c>
      <c r="C59" s="175">
        <f t="shared" si="16"/>
        <v>0</v>
      </c>
      <c r="D59" s="1074">
        <v>0.25</v>
      </c>
      <c r="E59" s="649"/>
      <c r="F59" s="1015">
        <f t="shared" si="15"/>
        <v>0</v>
      </c>
      <c r="G59" s="3445"/>
      <c r="H59" s="1016">
        <f>项目基本情况!B37</f>
        <v>0</v>
      </c>
      <c r="I59" s="1020">
        <f>SUMIF(修正!A45:A56,H59,修正!D45:D56)</f>
        <v>0</v>
      </c>
      <c r="J59" s="1024"/>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2589</v>
      </c>
      <c r="B60" s="223">
        <f t="shared" si="17"/>
        <v>0</v>
      </c>
      <c r="C60" s="175">
        <f t="shared" si="16"/>
        <v>0</v>
      </c>
      <c r="D60" s="1074">
        <v>0.25</v>
      </c>
      <c r="E60" s="649"/>
      <c r="F60" s="1015">
        <f t="shared" si="15"/>
        <v>0</v>
      </c>
      <c r="G60" s="3445"/>
      <c r="H60" s="1016">
        <f>项目基本情况!B37</f>
        <v>0</v>
      </c>
      <c r="I60" s="1020">
        <f>SUMIF(修正!A45:A56,H60,修正!E45:E56)</f>
        <v>0</v>
      </c>
      <c r="J60" s="1024"/>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2590</v>
      </c>
      <c r="B61" s="223">
        <f t="shared" si="17"/>
        <v>0</v>
      </c>
      <c r="C61" s="175">
        <f t="shared" si="16"/>
        <v>0</v>
      </c>
      <c r="D61" s="1074">
        <v>0.25</v>
      </c>
      <c r="E61" s="222">
        <f>'数据-汇总表'!E11</f>
        <v>0</v>
      </c>
      <c r="F61" s="1015">
        <f t="shared" si="15"/>
        <v>0</v>
      </c>
      <c r="G61" s="2167" t="s">
        <v>2591</v>
      </c>
      <c r="H61" s="1016">
        <f>项目基本情况!C37</f>
        <v>0</v>
      </c>
      <c r="I61" s="1020">
        <f>SUMIF(修正!A45:A56,H61,修正!F45:F56)</f>
        <v>0</v>
      </c>
      <c r="J61" s="1024"/>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2592</v>
      </c>
      <c r="B62" s="223">
        <f t="shared" si="17"/>
        <v>0</v>
      </c>
      <c r="C62" s="175">
        <f t="shared" si="16"/>
        <v>0</v>
      </c>
      <c r="D62" s="1074">
        <v>0.25</v>
      </c>
      <c r="E62" s="222">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2594</v>
      </c>
      <c r="B63" s="223">
        <f t="shared" si="17"/>
        <v>0</v>
      </c>
      <c r="C63" s="175">
        <f t="shared" si="16"/>
        <v>0</v>
      </c>
      <c r="D63" s="1074">
        <v>0.25</v>
      </c>
      <c r="E63" s="222">
        <f>'数据-汇总表'!E13</f>
        <v>0</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2596</v>
      </c>
      <c r="B64" s="223">
        <f t="shared" si="17"/>
        <v>0</v>
      </c>
      <c r="C64" s="175">
        <f t="shared" si="16"/>
        <v>0</v>
      </c>
      <c r="D64" s="1074">
        <v>0.25</v>
      </c>
      <c r="E64" s="222">
        <f>'数据-汇总表'!E14</f>
        <v>0</v>
      </c>
      <c r="F64" s="1015">
        <f t="shared" si="15"/>
        <v>0</v>
      </c>
      <c r="G64" s="2167" t="s">
        <v>2586</v>
      </c>
      <c r="H64" s="1016">
        <f>项目基本情况!B37</f>
        <v>0</v>
      </c>
      <c r="I64" s="1020">
        <f>SUMIF(修正!A45:A56,H64,修正!H45:H56)</f>
        <v>0</v>
      </c>
      <c r="J64" s="1024"/>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2597</v>
      </c>
      <c r="B65" s="223">
        <f t="shared" si="17"/>
        <v>0</v>
      </c>
      <c r="C65" s="175">
        <f t="shared" si="16"/>
        <v>0</v>
      </c>
      <c r="D65" s="1074">
        <v>0.25</v>
      </c>
      <c r="E65" s="222">
        <f>'数据-汇总表'!E15</f>
        <v>0</v>
      </c>
      <c r="F65" s="1015">
        <f t="shared" si="15"/>
        <v>0</v>
      </c>
      <c r="G65" s="2168" t="s">
        <v>2591</v>
      </c>
      <c r="H65" s="1026">
        <f>项目基本情况!C37</f>
        <v>0</v>
      </c>
      <c r="I65" s="1022">
        <f>SUMIF(修正!A45:A56,H65,修正!H45:H56)</f>
        <v>0</v>
      </c>
      <c r="J65" s="1025"/>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2598</v>
      </c>
      <c r="B66" s="651" t="s">
        <v>28</v>
      </c>
      <c r="C66" s="651" t="s">
        <v>29</v>
      </c>
      <c r="D66" s="651" t="s">
        <v>997</v>
      </c>
      <c r="E66" s="651">
        <f>IF(B46="楼面地价",SUM(E56:E65),'数据-汇总表'!D3)</f>
        <v>54761.34</v>
      </c>
      <c r="F66" s="652">
        <f>IF(B46="楼面地价",SUM(F56:F65),ROUND(C48*E66/10000,0))</f>
        <v>44576</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6"/>
      <c r="K67" s="1017"/>
      <c r="L67" s="1018"/>
      <c r="M67" s="1056"/>
      <c r="N67" s="1056"/>
      <c r="O67" s="1056"/>
      <c r="P67" s="2943"/>
      <c r="Q67" s="2943"/>
      <c r="R67" s="2943"/>
      <c r="S67" s="2943"/>
      <c r="T67" s="2943"/>
      <c r="U67" s="2943"/>
      <c r="V67" s="2943"/>
      <c r="W67" s="2943"/>
      <c r="X67" s="2943"/>
      <c r="Y67" s="2943"/>
      <c r="Z67" s="2943"/>
      <c r="AA67" s="2943"/>
      <c r="AB67" s="2943"/>
      <c r="AC67" s="294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3"/>
      <c r="Q68" s="2943"/>
      <c r="R68" s="2943"/>
      <c r="S68" s="2943"/>
      <c r="T68" s="2943"/>
      <c r="U68" s="2943"/>
      <c r="V68" s="2943"/>
      <c r="W68" s="2943"/>
      <c r="X68" s="2943"/>
      <c r="Y68" s="2943"/>
      <c r="Z68" s="2943"/>
      <c r="AA68" s="2943"/>
      <c r="AB68" s="2943"/>
      <c r="AC68" s="2943"/>
    </row>
    <row r="69" spans="1:29" ht="21.75" thickBot="1">
      <c r="A69" s="702" t="s">
        <v>2492</v>
      </c>
      <c r="B69" s="698"/>
      <c r="C69" s="703"/>
      <c r="D69" s="703"/>
      <c r="E69" s="703"/>
      <c r="F69" s="704"/>
      <c r="G69" s="704"/>
      <c r="H69" s="703"/>
      <c r="I69" s="703"/>
      <c r="J69" s="1069"/>
      <c r="K69" s="1070"/>
      <c r="L69" s="1071"/>
      <c r="M69" s="1069"/>
      <c r="N69" s="2987"/>
      <c r="O69" s="2987"/>
      <c r="P69" s="2987"/>
      <c r="Q69" s="2957"/>
      <c r="R69" s="2943"/>
      <c r="S69" s="2943"/>
      <c r="T69" s="2943"/>
      <c r="U69" s="2943"/>
      <c r="V69" s="2943"/>
      <c r="W69" s="2943"/>
      <c r="X69" s="2943"/>
      <c r="Y69" s="2943"/>
      <c r="Z69" s="2943"/>
      <c r="AA69" s="2943"/>
      <c r="AB69" s="2943"/>
      <c r="AC69" s="2943"/>
    </row>
    <row r="70" spans="1:29" s="464" customFormat="1" ht="15">
      <c r="A70" s="2169" t="s">
        <v>2599</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2600</v>
      </c>
      <c r="B71" s="293" t="str">
        <f>"北京市平均增长率"&amp;TEXT(SUMIF(基准地价修正!N21:N25,A71,基准地价修正!P21:P25),"0.00%")</f>
        <v>北京市平均增长率1.85%</v>
      </c>
      <c r="C71" s="559">
        <v>100</v>
      </c>
      <c r="D71" s="551">
        <f>C71-0.2</f>
        <v>99.8</v>
      </c>
      <c r="E71" s="551">
        <f t="shared" ref="E71:M71" si="20">D71-0.5</f>
        <v>99.3</v>
      </c>
      <c r="F71" s="551">
        <f t="shared" si="20"/>
        <v>98.8</v>
      </c>
      <c r="G71" s="551">
        <f t="shared" si="20"/>
        <v>98.3</v>
      </c>
      <c r="H71" s="551">
        <f t="shared" si="20"/>
        <v>97.8</v>
      </c>
      <c r="I71" s="551">
        <f t="shared" si="20"/>
        <v>97.3</v>
      </c>
      <c r="J71" s="551">
        <f t="shared" si="20"/>
        <v>96.8</v>
      </c>
      <c r="K71" s="551">
        <f t="shared" si="20"/>
        <v>96.3</v>
      </c>
      <c r="L71" s="551">
        <f t="shared" si="20"/>
        <v>95.8</v>
      </c>
      <c r="M71" s="551">
        <f t="shared" si="20"/>
        <v>95.3</v>
      </c>
      <c r="N71" s="551"/>
      <c r="O71" s="1339"/>
      <c r="P71" s="2957"/>
      <c r="Q71" s="2878"/>
      <c r="R71" s="2878"/>
      <c r="S71" s="2878"/>
      <c r="T71" s="2878"/>
      <c r="U71" s="2878"/>
      <c r="V71" s="2878"/>
      <c r="W71" s="2878"/>
      <c r="X71" s="2878"/>
      <c r="Y71" s="2878"/>
      <c r="Z71" s="2878"/>
      <c r="AA71" s="2878"/>
      <c r="AB71" s="2878"/>
      <c r="AC71" s="2878"/>
    </row>
    <row r="72" spans="1:29" s="113" customFormat="1" ht="15.75" thickBot="1">
      <c r="A72" s="471" t="s">
        <v>2403</v>
      </c>
      <c r="B72" s="472"/>
      <c r="C72" s="473"/>
      <c r="D72" s="474"/>
      <c r="E72" s="474"/>
      <c r="F72" s="474"/>
      <c r="G72" s="474"/>
      <c r="H72" s="474"/>
      <c r="I72" s="474"/>
      <c r="J72" s="474"/>
      <c r="K72" s="474"/>
      <c r="L72" s="474"/>
      <c r="M72" s="475"/>
      <c r="N72" s="474"/>
      <c r="O72" s="1072"/>
      <c r="P72" s="2957"/>
      <c r="Q72" s="2957"/>
      <c r="R72" s="2878"/>
      <c r="S72" s="2878"/>
      <c r="T72" s="2878"/>
      <c r="U72" s="2878"/>
      <c r="V72" s="2878"/>
      <c r="W72" s="2878"/>
      <c r="X72" s="2878"/>
      <c r="Y72" s="2878"/>
      <c r="Z72" s="2878"/>
      <c r="AA72" s="2878"/>
      <c r="AB72" s="2878"/>
      <c r="AC72" s="2878"/>
    </row>
    <row r="73" spans="1:29" s="113" customFormat="1" ht="15">
      <c r="A73" s="477" t="s">
        <v>2368</v>
      </c>
      <c r="B73" s="466"/>
      <c r="C73" s="478" t="s">
        <v>2470</v>
      </c>
      <c r="D73" s="479"/>
      <c r="E73" s="479"/>
      <c r="F73" s="479"/>
      <c r="G73" s="479"/>
      <c r="H73" s="479"/>
      <c r="I73" s="479"/>
      <c r="J73" s="479"/>
      <c r="K73" s="479"/>
      <c r="L73" s="480"/>
      <c r="M73" s="481"/>
      <c r="N73" s="2970"/>
      <c r="O73" s="2970"/>
      <c r="P73" s="2995"/>
      <c r="Q73" s="2957"/>
      <c r="R73" s="2878"/>
      <c r="S73" s="2878"/>
      <c r="T73" s="2878"/>
      <c r="U73" s="2878"/>
      <c r="V73" s="2878"/>
      <c r="W73" s="2878"/>
      <c r="X73" s="2878"/>
      <c r="Y73" s="2878"/>
      <c r="Z73" s="2878"/>
      <c r="AA73" s="2878"/>
      <c r="AB73" s="2878"/>
      <c r="AC73" s="2878"/>
    </row>
    <row r="74" spans="1:29" s="113" customFormat="1" ht="15.75" thickBot="1">
      <c r="A74" s="477"/>
      <c r="B74" s="466"/>
      <c r="C74" s="594">
        <v>100</v>
      </c>
      <c r="D74" s="468"/>
      <c r="E74" s="468"/>
      <c r="F74" s="468"/>
      <c r="G74" s="468"/>
      <c r="H74" s="468"/>
      <c r="I74" s="468"/>
      <c r="J74" s="468"/>
      <c r="K74" s="468"/>
      <c r="L74" s="468"/>
      <c r="M74" s="470"/>
      <c r="N74" s="2970"/>
      <c r="O74" s="2970"/>
      <c r="P74" s="2957"/>
      <c r="Q74" s="2957"/>
      <c r="R74" s="2878"/>
      <c r="S74" s="2878"/>
      <c r="T74" s="2878"/>
      <c r="U74" s="2878"/>
      <c r="V74" s="2878"/>
      <c r="W74" s="2878"/>
      <c r="X74" s="2878"/>
      <c r="Y74" s="2878"/>
      <c r="Z74" s="2878"/>
      <c r="AA74" s="2878"/>
      <c r="AB74" s="2878"/>
      <c r="AC74" s="2878"/>
    </row>
    <row r="75" spans="1:29">
      <c r="A75" s="483" t="s">
        <v>2406</v>
      </c>
      <c r="B75" s="484" t="s">
        <v>2372</v>
      </c>
      <c r="C75" s="3105" t="s">
        <v>3248</v>
      </c>
      <c r="D75" s="486"/>
      <c r="E75" s="486"/>
      <c r="F75" s="486"/>
      <c r="G75" s="486"/>
      <c r="H75" s="486"/>
      <c r="I75" s="486"/>
      <c r="J75" s="486"/>
      <c r="K75" s="487"/>
      <c r="L75" s="488"/>
      <c r="M75" s="489"/>
      <c r="N75" s="2971"/>
      <c r="O75" s="2971"/>
      <c r="P75" s="2996"/>
      <c r="Q75" s="2957"/>
      <c r="R75" s="2943"/>
      <c r="S75" s="2943"/>
      <c r="T75" s="2943"/>
      <c r="U75" s="2943"/>
      <c r="V75" s="2943"/>
      <c r="W75" s="2943"/>
      <c r="X75" s="2943"/>
      <c r="Y75" s="2943"/>
      <c r="Z75" s="2943"/>
      <c r="AA75" s="2943"/>
      <c r="AB75" s="2943"/>
      <c r="AC75" s="2943"/>
    </row>
    <row r="76" spans="1:29" ht="15.75" thickBot="1">
      <c r="A76" s="490"/>
      <c r="B76" s="491"/>
      <c r="C76" s="492">
        <v>100</v>
      </c>
      <c r="D76" s="492"/>
      <c r="E76" s="492"/>
      <c r="F76" s="492"/>
      <c r="G76" s="492"/>
      <c r="H76" s="492"/>
      <c r="I76" s="492"/>
      <c r="J76" s="492"/>
      <c r="K76" s="492"/>
      <c r="L76" s="492"/>
      <c r="M76" s="493"/>
      <c r="N76" s="2972"/>
      <c r="O76" s="2972"/>
      <c r="P76" s="2996"/>
      <c r="Q76" s="2957"/>
      <c r="R76" s="2943"/>
      <c r="S76" s="2943"/>
      <c r="T76" s="2943"/>
      <c r="U76" s="2943"/>
      <c r="V76" s="2943"/>
      <c r="W76" s="2943"/>
      <c r="X76" s="2943"/>
      <c r="Y76" s="2943"/>
      <c r="Z76" s="2943"/>
      <c r="AA76" s="2943"/>
      <c r="AB76" s="2943"/>
      <c r="AC76" s="2943"/>
    </row>
    <row r="77" spans="1:29" ht="27.75" thickTop="1">
      <c r="A77" s="490"/>
      <c r="B77" s="494" t="s">
        <v>2375</v>
      </c>
      <c r="C77" s="495"/>
      <c r="D77" s="495"/>
      <c r="E77" s="495"/>
      <c r="F77" s="495"/>
      <c r="G77" s="495"/>
      <c r="H77" s="495"/>
      <c r="I77" s="495"/>
      <c r="J77" s="495"/>
      <c r="K77" s="496"/>
      <c r="L77" s="497"/>
      <c r="M77" s="498"/>
      <c r="N77" s="2971"/>
      <c r="O77" s="2971"/>
      <c r="P77" s="2996"/>
      <c r="Q77" s="2957"/>
      <c r="R77" s="2943"/>
      <c r="S77" s="2943"/>
      <c r="T77" s="2943"/>
      <c r="U77" s="2943"/>
      <c r="V77" s="2943"/>
      <c r="W77" s="2943"/>
      <c r="X77" s="2943"/>
      <c r="Y77" s="2943"/>
      <c r="Z77" s="2943"/>
      <c r="AA77" s="2943"/>
      <c r="AB77" s="2943"/>
      <c r="AC77" s="2943"/>
    </row>
    <row r="78" spans="1:29" ht="15.75" thickBot="1">
      <c r="A78" s="490"/>
      <c r="B78" s="499"/>
      <c r="C78" s="500"/>
      <c r="D78" s="500"/>
      <c r="E78" s="500"/>
      <c r="F78" s="500"/>
      <c r="G78" s="500"/>
      <c r="H78" s="500"/>
      <c r="I78" s="500"/>
      <c r="J78" s="500"/>
      <c r="K78" s="500"/>
      <c r="L78" s="500"/>
      <c r="M78" s="501"/>
      <c r="N78" s="2972"/>
      <c r="O78" s="2972"/>
      <c r="P78" s="2996"/>
      <c r="Q78" s="2957"/>
      <c r="R78" s="2943"/>
      <c r="S78" s="2943"/>
      <c r="T78" s="2943"/>
      <c r="U78" s="2943"/>
      <c r="V78" s="2943"/>
      <c r="W78" s="2943"/>
      <c r="X78" s="2943"/>
      <c r="Y78" s="2943"/>
      <c r="Z78" s="2943"/>
      <c r="AA78" s="2943"/>
      <c r="AB78" s="2943"/>
      <c r="AC78" s="2943"/>
    </row>
    <row r="79" spans="1:29" ht="15.75" thickTop="1">
      <c r="A79" s="490"/>
      <c r="B79" s="502" t="s">
        <v>2376</v>
      </c>
      <c r="C79" s="503" t="str">
        <f>C80&amp;"（含）"&amp;"-"&amp;D80</f>
        <v>0（含）-1</v>
      </c>
      <c r="D79" s="503" t="str">
        <f t="shared" ref="D79:L79" si="21">D80&amp;"（含）"&amp;"-"&amp;E80</f>
        <v>1（含）-2</v>
      </c>
      <c r="E79" s="503" t="str">
        <f t="shared" si="21"/>
        <v>2（含）-3</v>
      </c>
      <c r="F79" s="503" t="str">
        <f t="shared" si="21"/>
        <v>3（含）-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0"/>
      <c r="B80" s="504"/>
      <c r="C80" s="505">
        <v>0</v>
      </c>
      <c r="D80" s="505">
        <v>1</v>
      </c>
      <c r="E80" s="505">
        <v>2</v>
      </c>
      <c r="F80" s="505">
        <v>3</v>
      </c>
      <c r="G80" s="505"/>
      <c r="H80" s="505"/>
      <c r="I80" s="505"/>
      <c r="J80" s="505"/>
      <c r="K80" s="506"/>
      <c r="L80" s="507"/>
      <c r="M80" s="508"/>
      <c r="N80" s="2971"/>
      <c r="O80" s="2971"/>
      <c r="P80" s="2996"/>
      <c r="Q80" s="2957"/>
      <c r="R80" s="2943"/>
      <c r="S80" s="2943"/>
      <c r="T80" s="2943"/>
      <c r="U80" s="2943"/>
      <c r="V80" s="2943"/>
      <c r="W80" s="2943"/>
      <c r="X80" s="2943"/>
      <c r="Y80" s="2943"/>
      <c r="Z80" s="2943"/>
      <c r="AA80" s="2943"/>
      <c r="AB80" s="2943"/>
      <c r="AC80" s="2943"/>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72"/>
      <c r="O81" s="2972"/>
      <c r="P81" s="2996"/>
      <c r="Q81" s="2957"/>
      <c r="R81" s="2943"/>
      <c r="S81" s="2943"/>
      <c r="T81" s="2943"/>
      <c r="U81" s="2943"/>
      <c r="V81" s="2943"/>
      <c r="W81" s="2943"/>
      <c r="X81" s="2943"/>
      <c r="Y81" s="2943"/>
      <c r="Z81" s="2943"/>
      <c r="AA81" s="2943"/>
      <c r="AB81" s="2943"/>
      <c r="AC81" s="2943"/>
    </row>
    <row r="82" spans="1:29" s="429" customFormat="1" ht="15.75" thickTop="1">
      <c r="A82" s="509"/>
      <c r="B82" s="494" t="str">
        <f>B12</f>
        <v>是否自持</v>
      </c>
      <c r="C82" s="3154">
        <v>0.1</v>
      </c>
      <c r="D82" s="3154">
        <v>0.3</v>
      </c>
      <c r="E82" s="3154">
        <v>0.5</v>
      </c>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5.75" thickBot="1">
      <c r="A83" s="509"/>
      <c r="B83" s="499"/>
      <c r="C83" s="516">
        <v>100</v>
      </c>
      <c r="D83" s="492">
        <v>80</v>
      </c>
      <c r="E83" s="492">
        <v>70</v>
      </c>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5.75" thickTop="1">
      <c r="A84" s="509"/>
      <c r="B84" s="494">
        <f>B13</f>
        <v>111</v>
      </c>
      <c r="C84" s="510"/>
      <c r="D84" s="510"/>
      <c r="E84" s="510"/>
      <c r="F84" s="510"/>
      <c r="G84" s="510"/>
      <c r="H84" s="511"/>
      <c r="I84" s="511"/>
      <c r="J84" s="511"/>
      <c r="K84" s="511"/>
      <c r="L84" s="512"/>
      <c r="M84" s="513"/>
      <c r="N84" s="2973"/>
      <c r="O84" s="2973"/>
      <c r="P84" s="2941"/>
      <c r="Q84" s="2967"/>
      <c r="R84" s="2965"/>
      <c r="S84" s="2965"/>
      <c r="T84" s="2965"/>
      <c r="U84" s="2965"/>
      <c r="V84" s="2965"/>
      <c r="W84" s="2965"/>
      <c r="X84" s="2965"/>
      <c r="Y84" s="2965"/>
      <c r="Z84" s="2965"/>
      <c r="AA84" s="2965"/>
      <c r="AB84" s="2965"/>
      <c r="AC84" s="2965"/>
    </row>
    <row r="85" spans="1:29" s="429" customFormat="1" ht="15.75"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5.75"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5.75"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c r="A88" s="483" t="s">
        <v>2377</v>
      </c>
      <c r="B88" s="484" t="s">
        <v>2414</v>
      </c>
      <c r="C88" s="529" t="s">
        <v>2415</v>
      </c>
      <c r="D88" s="529" t="s">
        <v>2416</v>
      </c>
      <c r="E88" s="529" t="s">
        <v>2417</v>
      </c>
      <c r="F88" s="529" t="s">
        <v>2418</v>
      </c>
      <c r="G88" s="529" t="s">
        <v>2419</v>
      </c>
      <c r="H88" s="485"/>
      <c r="I88" s="485"/>
      <c r="J88" s="485"/>
      <c r="K88" s="530"/>
      <c r="L88" s="531"/>
      <c r="M88" s="532"/>
      <c r="N88" s="2971"/>
      <c r="O88" s="2971"/>
      <c r="P88" s="2998"/>
      <c r="Q88" s="2957"/>
      <c r="R88" s="2943"/>
      <c r="S88" s="2943"/>
      <c r="T88" s="2943"/>
      <c r="U88" s="2943"/>
      <c r="V88" s="2943"/>
      <c r="W88" s="2943"/>
      <c r="X88" s="2943"/>
      <c r="Y88" s="2943"/>
      <c r="Z88" s="2943"/>
      <c r="AA88" s="2943"/>
      <c r="AB88" s="2943"/>
      <c r="AC88" s="2943"/>
    </row>
    <row r="89" spans="1:29" ht="15.75" thickBot="1">
      <c r="A89" s="490"/>
      <c r="B89" s="499"/>
      <c r="C89" s="500">
        <v>100</v>
      </c>
      <c r="D89" s="500">
        <f>C89-$K15</f>
        <v>98</v>
      </c>
      <c r="E89" s="500">
        <f>D89-$K15</f>
        <v>96</v>
      </c>
      <c r="F89" s="500">
        <f>E89-$K15</f>
        <v>94</v>
      </c>
      <c r="G89" s="500">
        <f>F89-$K15</f>
        <v>92</v>
      </c>
      <c r="H89" s="500"/>
      <c r="I89" s="500"/>
      <c r="J89" s="500"/>
      <c r="K89" s="500"/>
      <c r="L89" s="500"/>
      <c r="M89" s="501"/>
      <c r="N89" s="2972"/>
      <c r="O89" s="2972"/>
      <c r="P89" s="2996"/>
      <c r="Q89" s="2957"/>
      <c r="R89" s="2943"/>
      <c r="S89" s="2943"/>
      <c r="T89" s="2943"/>
      <c r="U89" s="2943"/>
      <c r="V89" s="2943"/>
      <c r="W89" s="2943"/>
      <c r="X89" s="2943"/>
      <c r="Y89" s="2943"/>
      <c r="Z89" s="2943"/>
      <c r="AA89" s="2943"/>
      <c r="AB89" s="2943"/>
      <c r="AC89" s="2943"/>
    </row>
    <row r="90" spans="1:29" ht="15.75" thickTop="1">
      <c r="A90" s="490"/>
      <c r="B90" s="494" t="s">
        <v>2601</v>
      </c>
      <c r="C90" s="534" t="s">
        <v>2415</v>
      </c>
      <c r="D90" s="534" t="s">
        <v>2416</v>
      </c>
      <c r="E90" s="534" t="s">
        <v>2417</v>
      </c>
      <c r="F90" s="534" t="s">
        <v>2418</v>
      </c>
      <c r="G90" s="534" t="s">
        <v>2419</v>
      </c>
      <c r="H90" s="495"/>
      <c r="I90" s="495"/>
      <c r="J90" s="495"/>
      <c r="K90" s="496"/>
      <c r="L90" s="497"/>
      <c r="M90" s="498"/>
      <c r="N90" s="2971"/>
      <c r="O90" s="2971"/>
      <c r="P90" s="2996"/>
      <c r="Q90" s="2957"/>
      <c r="R90" s="2943"/>
      <c r="S90" s="2943"/>
      <c r="T90" s="2943"/>
      <c r="U90" s="2943"/>
      <c r="V90" s="2943"/>
      <c r="W90" s="2943"/>
      <c r="X90" s="2943"/>
      <c r="Y90" s="2943"/>
      <c r="Z90" s="2943"/>
      <c r="AA90" s="2943"/>
      <c r="AB90" s="2943"/>
      <c r="AC90" s="2943"/>
    </row>
    <row r="91" spans="1:29" ht="15.75" thickBot="1">
      <c r="A91" s="490"/>
      <c r="B91" s="499"/>
      <c r="C91" s="500">
        <v>100</v>
      </c>
      <c r="D91" s="500">
        <f>C91-$K17</f>
        <v>98</v>
      </c>
      <c r="E91" s="500">
        <f>D91-$K17</f>
        <v>96</v>
      </c>
      <c r="F91" s="500">
        <f>E91-$K17</f>
        <v>94</v>
      </c>
      <c r="G91" s="500">
        <f>F91-$K17</f>
        <v>92</v>
      </c>
      <c r="H91" s="500"/>
      <c r="I91" s="500"/>
      <c r="J91" s="500"/>
      <c r="K91" s="500"/>
      <c r="L91" s="500"/>
      <c r="M91" s="501"/>
      <c r="N91" s="2972"/>
      <c r="O91" s="2972"/>
      <c r="P91" s="2996"/>
      <c r="Q91" s="2957"/>
      <c r="R91" s="2943"/>
      <c r="S91" s="2943"/>
      <c r="T91" s="2943"/>
      <c r="U91" s="2943"/>
      <c r="V91" s="2943"/>
      <c r="W91" s="2943"/>
      <c r="X91" s="2943"/>
      <c r="Y91" s="2943"/>
      <c r="Z91" s="2943"/>
      <c r="AA91" s="2943"/>
      <c r="AB91" s="2943"/>
      <c r="AC91" s="2943"/>
    </row>
    <row r="92" spans="1:29" ht="15.75" thickTop="1">
      <c r="A92" s="490"/>
      <c r="B92" s="494" t="s">
        <v>2515</v>
      </c>
      <c r="C92" s="534" t="s">
        <v>2415</v>
      </c>
      <c r="D92" s="534" t="s">
        <v>2416</v>
      </c>
      <c r="E92" s="534" t="s">
        <v>2417</v>
      </c>
      <c r="F92" s="534" t="s">
        <v>2418</v>
      </c>
      <c r="G92" s="534" t="s">
        <v>2419</v>
      </c>
      <c r="H92" s="495"/>
      <c r="I92" s="495"/>
      <c r="J92" s="495"/>
      <c r="K92" s="496"/>
      <c r="L92" s="497"/>
      <c r="M92" s="498"/>
      <c r="N92" s="2971"/>
      <c r="O92" s="2971"/>
      <c r="P92" s="2996"/>
      <c r="Q92" s="2957"/>
      <c r="R92" s="2943"/>
      <c r="S92" s="2943"/>
      <c r="T92" s="2943"/>
      <c r="U92" s="2943"/>
      <c r="V92" s="2943"/>
      <c r="W92" s="2943"/>
      <c r="X92" s="2943"/>
      <c r="Y92" s="2943"/>
      <c r="Z92" s="2943"/>
      <c r="AA92" s="2943"/>
      <c r="AB92" s="2943"/>
      <c r="AC92" s="294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7"/>
      <c r="R93" s="2943"/>
      <c r="S93" s="2943"/>
      <c r="T93" s="2943"/>
      <c r="U93" s="2943"/>
      <c r="V93" s="2943"/>
      <c r="W93" s="2943"/>
      <c r="X93" s="2943"/>
      <c r="Y93" s="2943"/>
      <c r="Z93" s="2943"/>
      <c r="AA93" s="2943"/>
      <c r="AB93" s="2943"/>
      <c r="AC93" s="2943"/>
    </row>
    <row r="94" spans="1:29" ht="15.75" thickTop="1">
      <c r="A94" s="490"/>
      <c r="B94" s="494" t="s">
        <v>2420</v>
      </c>
      <c r="C94" s="534" t="s">
        <v>2415</v>
      </c>
      <c r="D94" s="534" t="s">
        <v>2416</v>
      </c>
      <c r="E94" s="534" t="s">
        <v>2417</v>
      </c>
      <c r="F94" s="534" t="s">
        <v>2418</v>
      </c>
      <c r="G94" s="534" t="s">
        <v>2419</v>
      </c>
      <c r="H94" s="495"/>
      <c r="I94" s="495"/>
      <c r="J94" s="495"/>
      <c r="K94" s="496"/>
      <c r="L94" s="497"/>
      <c r="M94" s="498"/>
      <c r="N94" s="2971"/>
      <c r="O94" s="2971"/>
      <c r="P94" s="2996"/>
      <c r="Q94" s="2957"/>
      <c r="R94" s="2943"/>
      <c r="S94" s="2943"/>
      <c r="T94" s="2943"/>
      <c r="U94" s="2943"/>
      <c r="V94" s="2943"/>
      <c r="W94" s="2943"/>
      <c r="X94" s="2943"/>
      <c r="Y94" s="2943"/>
      <c r="Z94" s="2943"/>
      <c r="AA94" s="2943"/>
      <c r="AB94" s="2943"/>
      <c r="AC94" s="2943"/>
    </row>
    <row r="95" spans="1:29" ht="15.75" thickBot="1">
      <c r="A95" s="490"/>
      <c r="B95" s="499"/>
      <c r="C95" s="500">
        <v>100</v>
      </c>
      <c r="D95" s="500">
        <f>C95-$K21</f>
        <v>98</v>
      </c>
      <c r="E95" s="500">
        <f>D95-$K21</f>
        <v>96</v>
      </c>
      <c r="F95" s="500">
        <f>E95-$K21</f>
        <v>94</v>
      </c>
      <c r="G95" s="500">
        <f>F95-$K21</f>
        <v>92</v>
      </c>
      <c r="H95" s="500"/>
      <c r="I95" s="500"/>
      <c r="J95" s="500"/>
      <c r="K95" s="500"/>
      <c r="L95" s="500"/>
      <c r="M95" s="501"/>
      <c r="N95" s="2972"/>
      <c r="O95" s="2972"/>
      <c r="P95" s="2996"/>
      <c r="Q95" s="2957"/>
      <c r="R95" s="2943"/>
      <c r="S95" s="2943"/>
      <c r="T95" s="2943"/>
      <c r="U95" s="2943"/>
      <c r="V95" s="2943"/>
      <c r="W95" s="2943"/>
      <c r="X95" s="2943"/>
      <c r="Y95" s="2943"/>
      <c r="Z95" s="2943"/>
      <c r="AA95" s="2943"/>
      <c r="AB95" s="2943"/>
      <c r="AC95" s="2943"/>
    </row>
    <row r="96" spans="1:29" s="113" customFormat="1" ht="15.75" thickTop="1">
      <c r="A96" s="535"/>
      <c r="B96" s="494" t="s">
        <v>2602</v>
      </c>
      <c r="C96" s="534" t="s">
        <v>2415</v>
      </c>
      <c r="D96" s="534" t="s">
        <v>2416</v>
      </c>
      <c r="E96" s="534" t="s">
        <v>2417</v>
      </c>
      <c r="F96" s="534" t="s">
        <v>2418</v>
      </c>
      <c r="G96" s="534" t="s">
        <v>2419</v>
      </c>
      <c r="H96" s="534"/>
      <c r="I96" s="534"/>
      <c r="J96" s="534"/>
      <c r="K96" s="534"/>
      <c r="L96" s="653"/>
      <c r="M96" s="577"/>
      <c r="N96" s="2970"/>
      <c r="O96" s="2970"/>
      <c r="P96" s="2996"/>
      <c r="Q96" s="2957"/>
      <c r="R96" s="2878"/>
      <c r="S96" s="2878"/>
      <c r="T96" s="2878"/>
      <c r="U96" s="2878"/>
      <c r="V96" s="2878"/>
      <c r="W96" s="2878"/>
      <c r="X96" s="2878"/>
      <c r="Y96" s="2878"/>
      <c r="Z96" s="2878"/>
      <c r="AA96" s="2878"/>
      <c r="AB96" s="2878"/>
      <c r="AC96" s="2878"/>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2"/>
      <c r="O97" s="2972"/>
      <c r="P97" s="2996"/>
      <c r="Q97" s="2957"/>
      <c r="R97" s="2878"/>
      <c r="S97" s="2878"/>
      <c r="T97" s="2878"/>
      <c r="U97" s="2878"/>
      <c r="V97" s="2878"/>
      <c r="W97" s="2878"/>
      <c r="X97" s="2878"/>
      <c r="Y97" s="2878"/>
      <c r="Z97" s="2878"/>
      <c r="AA97" s="2878"/>
      <c r="AB97" s="2878"/>
      <c r="AC97" s="2878"/>
    </row>
    <row r="98" spans="1:29" s="113" customFormat="1" ht="27.75" thickTop="1">
      <c r="A98" s="535"/>
      <c r="B98" s="494" t="s">
        <v>2603</v>
      </c>
      <c r="C98" s="529" t="s">
        <v>2415</v>
      </c>
      <c r="D98" s="529" t="s">
        <v>2416</v>
      </c>
      <c r="E98" s="529" t="s">
        <v>2417</v>
      </c>
      <c r="F98" s="529" t="s">
        <v>2418</v>
      </c>
      <c r="G98" s="529" t="s">
        <v>2419</v>
      </c>
      <c r="H98" s="534"/>
      <c r="I98" s="534"/>
      <c r="J98" s="534"/>
      <c r="K98" s="534"/>
      <c r="L98" s="534"/>
      <c r="M98" s="577"/>
      <c r="N98" s="2970"/>
      <c r="O98" s="2970"/>
      <c r="P98" s="2996"/>
      <c r="Q98" s="2957"/>
      <c r="R98" s="2878"/>
      <c r="S98" s="2878"/>
      <c r="T98" s="2878"/>
      <c r="U98" s="2878"/>
      <c r="V98" s="2878"/>
      <c r="W98" s="2878"/>
      <c r="X98" s="2878"/>
      <c r="Y98" s="2878"/>
      <c r="Z98" s="2878"/>
      <c r="AA98" s="2878"/>
      <c r="AB98" s="2878"/>
      <c r="AC98" s="2878"/>
    </row>
    <row r="99" spans="1:29" s="113" customFormat="1" ht="15.75" thickBot="1">
      <c r="A99" s="535"/>
      <c r="B99" s="499"/>
      <c r="C99" s="500">
        <v>100</v>
      </c>
      <c r="D99" s="500">
        <f>C99-$K25</f>
        <v>99</v>
      </c>
      <c r="E99" s="500">
        <f>D99-$K25</f>
        <v>98</v>
      </c>
      <c r="F99" s="500">
        <f>E99-$K25</f>
        <v>97</v>
      </c>
      <c r="G99" s="500">
        <f>F99-$K25</f>
        <v>96</v>
      </c>
      <c r="H99" s="500"/>
      <c r="I99" s="500"/>
      <c r="J99" s="500"/>
      <c r="K99" s="500"/>
      <c r="L99" s="500"/>
      <c r="M99" s="501"/>
      <c r="N99" s="2972"/>
      <c r="O99" s="2972"/>
      <c r="P99" s="2996"/>
      <c r="Q99" s="2957"/>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5.75" thickBot="1">
      <c r="A101" s="509"/>
      <c r="B101" s="499"/>
      <c r="C101" s="500">
        <v>100</v>
      </c>
      <c r="D101" s="500">
        <f>C101-$K27</f>
        <v>99</v>
      </c>
      <c r="E101" s="500">
        <f>D101-$K27</f>
        <v>98</v>
      </c>
      <c r="F101" s="500">
        <f>E101-$K27</f>
        <v>97</v>
      </c>
      <c r="G101" s="500">
        <f>F101-$K27</f>
        <v>96</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73"/>
      <c r="O102" s="2973"/>
      <c r="P102" s="2997"/>
      <c r="Q102" s="2964"/>
      <c r="R102" s="2965"/>
      <c r="S102" s="2965"/>
      <c r="T102" s="2965"/>
      <c r="U102" s="2965"/>
      <c r="V102" s="2965"/>
      <c r="W102" s="2965"/>
      <c r="X102" s="2965"/>
      <c r="Y102" s="2965"/>
      <c r="Z102" s="2965"/>
      <c r="AA102" s="2965"/>
      <c r="AB102" s="2965"/>
      <c r="AC102" s="2965"/>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92"/>
      <c r="N103" s="2973"/>
      <c r="O103" s="2973"/>
      <c r="P103" s="2997"/>
      <c r="Q103" s="2964"/>
      <c r="R103" s="2965"/>
      <c r="S103" s="2965"/>
      <c r="T103" s="2965"/>
      <c r="U103" s="2965"/>
      <c r="V103" s="2965"/>
      <c r="W103" s="2965"/>
      <c r="X103" s="2965"/>
      <c r="Y103" s="2965"/>
      <c r="Z103" s="2965"/>
      <c r="AA103" s="2965"/>
      <c r="AB103" s="2965"/>
      <c r="AC103" s="2965"/>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1"/>
      <c r="O104" s="2971"/>
      <c r="P104" s="2996"/>
      <c r="Q104" s="2957"/>
      <c r="R104" s="2943"/>
      <c r="S104" s="2943"/>
      <c r="T104" s="2943"/>
      <c r="U104" s="2943"/>
      <c r="V104" s="2943"/>
      <c r="W104" s="2943"/>
      <c r="X104" s="2943"/>
      <c r="Y104" s="2943"/>
      <c r="Z104" s="2943"/>
      <c r="AA104" s="2943"/>
      <c r="AB104" s="2943"/>
      <c r="AC104" s="2943"/>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0"/>
      <c r="B106" s="494" t="s">
        <v>2509</v>
      </c>
      <c r="C106" s="510"/>
      <c r="D106" s="510"/>
      <c r="E106" s="510"/>
      <c r="F106" s="510"/>
      <c r="G106" s="510"/>
      <c r="H106" s="539"/>
      <c r="I106" s="539"/>
      <c r="J106" s="539"/>
      <c r="K106" s="540"/>
      <c r="L106" s="541"/>
      <c r="M106" s="542"/>
      <c r="N106" s="2971"/>
      <c r="O106" s="2971"/>
      <c r="P106" s="2996"/>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0"/>
      <c r="B108" s="494" t="s">
        <v>2567</v>
      </c>
      <c r="C108" s="539"/>
      <c r="D108" s="539"/>
      <c r="E108" s="539"/>
      <c r="F108" s="539"/>
      <c r="G108" s="539"/>
      <c r="H108" s="539"/>
      <c r="I108" s="539"/>
      <c r="J108" s="539"/>
      <c r="K108" s="540"/>
      <c r="L108" s="541"/>
      <c r="M108" s="542"/>
      <c r="N108" s="2971"/>
      <c r="O108" s="2971"/>
      <c r="P108" s="2996"/>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0"/>
      <c r="B110" s="502">
        <f>B35</f>
        <v>111</v>
      </c>
      <c r="C110" s="510"/>
      <c r="D110" s="510"/>
      <c r="E110" s="510"/>
      <c r="F110" s="510"/>
      <c r="G110" s="543"/>
      <c r="H110" s="543"/>
      <c r="I110" s="543"/>
      <c r="J110" s="543"/>
      <c r="K110" s="544"/>
      <c r="L110" s="545"/>
      <c r="M110" s="546"/>
      <c r="N110" s="2971"/>
      <c r="O110" s="2971"/>
      <c r="P110" s="2996"/>
      <c r="Q110" s="2957"/>
      <c r="R110" s="2943"/>
      <c r="S110" s="2943"/>
      <c r="T110" s="2943"/>
      <c r="U110" s="2943"/>
      <c r="V110" s="2943"/>
      <c r="W110" s="2943"/>
      <c r="X110" s="2943"/>
      <c r="Y110" s="2943"/>
      <c r="Z110" s="2943"/>
      <c r="AA110" s="2943"/>
      <c r="AB110" s="2943"/>
      <c r="AC110" s="2943"/>
    </row>
    <row r="111" spans="1:29" ht="15.75" thickBot="1">
      <c r="A111" s="490"/>
      <c r="B111" s="525"/>
      <c r="C111" s="516"/>
      <c r="D111" s="516"/>
      <c r="E111" s="516"/>
      <c r="F111" s="516"/>
      <c r="G111" s="547"/>
      <c r="H111" s="547"/>
      <c r="I111" s="547"/>
      <c r="J111" s="547"/>
      <c r="K111" s="547"/>
      <c r="L111" s="547"/>
      <c r="M111" s="548"/>
      <c r="N111" s="2972"/>
      <c r="O111" s="2972"/>
      <c r="P111" s="2996"/>
      <c r="Q111" s="2957"/>
      <c r="R111" s="2943"/>
      <c r="S111" s="2943"/>
      <c r="T111" s="2943"/>
      <c r="U111" s="2943"/>
      <c r="V111" s="2943"/>
      <c r="W111" s="2943"/>
      <c r="X111" s="2943"/>
      <c r="Y111" s="2943"/>
      <c r="Z111" s="2943"/>
      <c r="AA111" s="2943"/>
      <c r="AB111" s="2943"/>
      <c r="AC111" s="2943"/>
    </row>
    <row r="112" spans="1:29" ht="15" thickTop="1">
      <c r="A112" s="630"/>
      <c r="B112" s="494">
        <f>B36</f>
        <v>111</v>
      </c>
      <c r="C112" s="479"/>
      <c r="D112" s="479"/>
      <c r="E112" s="479"/>
      <c r="F112" s="479"/>
      <c r="G112" s="539"/>
      <c r="H112" s="539"/>
      <c r="I112" s="539"/>
      <c r="J112" s="539"/>
      <c r="K112" s="540"/>
      <c r="L112" s="541"/>
      <c r="M112" s="542"/>
      <c r="N112" s="2971"/>
      <c r="O112" s="2971"/>
      <c r="P112" s="2996"/>
      <c r="Q112" s="2957"/>
      <c r="R112" s="2943"/>
      <c r="S112" s="2943"/>
      <c r="T112" s="2943"/>
      <c r="U112" s="2943"/>
      <c r="V112" s="2943"/>
      <c r="W112" s="2943"/>
      <c r="X112" s="2943"/>
      <c r="Y112" s="2943"/>
      <c r="Z112" s="2943"/>
      <c r="AA112" s="2943"/>
      <c r="AB112" s="2943"/>
      <c r="AC112" s="2943"/>
    </row>
    <row r="113" spans="1:29" ht="15.75" thickBot="1">
      <c r="A113" s="490"/>
      <c r="B113" s="499"/>
      <c r="C113" s="526"/>
      <c r="D113" s="526"/>
      <c r="E113" s="526"/>
      <c r="F113" s="526"/>
      <c r="G113" s="492"/>
      <c r="H113" s="492"/>
      <c r="I113" s="492"/>
      <c r="J113" s="492"/>
      <c r="K113" s="492"/>
      <c r="L113" s="492"/>
      <c r="M113" s="493"/>
      <c r="N113" s="2972"/>
      <c r="O113" s="2972"/>
      <c r="P113" s="2996"/>
      <c r="Q113" s="2957"/>
      <c r="R113" s="2943"/>
      <c r="S113" s="2943"/>
      <c r="T113" s="2943"/>
      <c r="U113" s="2943"/>
      <c r="V113" s="2943"/>
      <c r="W113" s="2943"/>
      <c r="X113" s="2943"/>
      <c r="Y113" s="2943"/>
      <c r="Z113" s="2943"/>
      <c r="AA113" s="2943"/>
      <c r="AB113" s="2943"/>
      <c r="AC113" s="2943"/>
    </row>
    <row r="114" spans="1:29" s="429" customFormat="1" ht="15"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5.75"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ht="28.5">
      <c r="A116" s="483" t="s">
        <v>2381</v>
      </c>
      <c r="B116" s="484" t="s">
        <v>2608</v>
      </c>
      <c r="C116" s="485" t="str">
        <f>C117&amp;"(含)"&amp;"-"&amp;D117</f>
        <v>0(含)-30000</v>
      </c>
      <c r="D116" s="485" t="str">
        <f t="shared" ref="D116:M116" si="26">D117&amp;"(含)"&amp;"-"&amp;E117</f>
        <v>30000(含)-50000</v>
      </c>
      <c r="E116" s="485" t="str">
        <f t="shared" si="26"/>
        <v>50000(含)-100000</v>
      </c>
      <c r="F116" s="485" t="str">
        <f t="shared" si="26"/>
        <v>100000(含)-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71"/>
      <c r="O116" s="2971"/>
      <c r="P116" s="2996"/>
      <c r="Q116" s="2957"/>
      <c r="R116" s="2943"/>
      <c r="S116" s="2943"/>
      <c r="T116" s="2943"/>
      <c r="U116" s="2943"/>
      <c r="V116" s="2943"/>
      <c r="W116" s="2943"/>
      <c r="X116" s="2943"/>
      <c r="Y116" s="2943"/>
      <c r="Z116" s="2943"/>
      <c r="AA116" s="2943"/>
      <c r="AB116" s="2943"/>
      <c r="AC116" s="2943"/>
    </row>
    <row r="117" spans="1:29" ht="15">
      <c r="A117" s="490"/>
      <c r="B117" s="502"/>
      <c r="C117" s="551">
        <v>0</v>
      </c>
      <c r="D117" s="551">
        <v>30000</v>
      </c>
      <c r="E117" s="551">
        <v>50000</v>
      </c>
      <c r="F117" s="551">
        <v>100000</v>
      </c>
      <c r="G117" s="551"/>
      <c r="H117" s="551"/>
      <c r="I117" s="551"/>
      <c r="J117" s="552"/>
      <c r="K117" s="552"/>
      <c r="L117" s="553"/>
      <c r="M117" s="554"/>
      <c r="N117" s="2971"/>
      <c r="O117" s="2971"/>
      <c r="P117" s="2996"/>
      <c r="Q117" s="2957"/>
      <c r="R117" s="2943"/>
      <c r="S117" s="2943"/>
      <c r="T117" s="2943"/>
      <c r="U117" s="2943"/>
      <c r="V117" s="2943"/>
      <c r="W117" s="2943"/>
      <c r="X117" s="2943"/>
      <c r="Y117" s="2943"/>
      <c r="Z117" s="2943"/>
      <c r="AA117" s="2943"/>
      <c r="AB117" s="2943"/>
      <c r="AC117" s="2943"/>
    </row>
    <row r="118" spans="1:29" ht="15.75" thickBot="1">
      <c r="A118" s="490"/>
      <c r="B118" s="499"/>
      <c r="C118" s="526">
        <v>98</v>
      </c>
      <c r="D118" s="547">
        <v>100</v>
      </c>
      <c r="E118" s="547">
        <v>98</v>
      </c>
      <c r="F118" s="547">
        <v>96</v>
      </c>
      <c r="G118" s="547"/>
      <c r="H118" s="547"/>
      <c r="I118" s="547"/>
      <c r="J118" s="547"/>
      <c r="K118" s="547"/>
      <c r="L118" s="547"/>
      <c r="M118" s="548"/>
      <c r="N118" s="2972"/>
      <c r="O118" s="2972"/>
      <c r="P118" s="2996"/>
      <c r="Q118" s="2957"/>
      <c r="R118" s="2943"/>
      <c r="S118" s="2943"/>
      <c r="T118" s="2943"/>
      <c r="U118" s="2943"/>
      <c r="V118" s="2943"/>
      <c r="W118" s="2943"/>
      <c r="X118" s="2943"/>
      <c r="Y118" s="2943"/>
      <c r="Z118" s="2943"/>
      <c r="AA118" s="2943"/>
      <c r="AB118" s="2943"/>
      <c r="AC118" s="2943"/>
    </row>
    <row r="119" spans="1:29" ht="15" thickTop="1">
      <c r="A119" s="555"/>
      <c r="B119" s="494" t="s">
        <v>2609</v>
      </c>
      <c r="C119" s="3137" t="s">
        <v>3296</v>
      </c>
      <c r="D119" s="539"/>
      <c r="E119" s="539"/>
      <c r="F119" s="539"/>
      <c r="G119" s="539"/>
      <c r="H119" s="539"/>
      <c r="I119" s="539"/>
      <c r="J119" s="539"/>
      <c r="K119" s="540"/>
      <c r="L119" s="541"/>
      <c r="M119" s="542"/>
      <c r="N119" s="2971"/>
      <c r="O119" s="2971"/>
      <c r="P119" s="2996"/>
      <c r="Q119" s="2957"/>
      <c r="R119" s="2943"/>
      <c r="S119" s="2943"/>
      <c r="T119" s="2943"/>
      <c r="U119" s="2943"/>
      <c r="V119" s="2943"/>
      <c r="W119" s="2943"/>
      <c r="X119" s="2943"/>
      <c r="Y119" s="2943"/>
      <c r="Z119" s="2943"/>
      <c r="AA119" s="2943"/>
      <c r="AB119" s="2943"/>
      <c r="AC119" s="2943"/>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5"/>
      <c r="B121" s="494" t="s">
        <v>2610</v>
      </c>
      <c r="C121" s="510"/>
      <c r="D121" s="510"/>
      <c r="E121" s="510"/>
      <c r="F121" s="539"/>
      <c r="G121" s="539"/>
      <c r="H121" s="539"/>
      <c r="I121" s="539"/>
      <c r="J121" s="539"/>
      <c r="K121" s="540"/>
      <c r="L121" s="541"/>
      <c r="M121" s="542"/>
      <c r="N121" s="2971"/>
      <c r="O121" s="2971"/>
      <c r="P121" s="2996"/>
      <c r="Q121" s="2957"/>
      <c r="R121" s="2943"/>
      <c r="S121" s="2943"/>
      <c r="T121" s="2943"/>
      <c r="U121" s="2943"/>
      <c r="V121" s="2943"/>
      <c r="W121" s="2943"/>
      <c r="X121" s="2943"/>
      <c r="Y121" s="2943"/>
      <c r="Z121" s="2943"/>
      <c r="AA121" s="2943"/>
      <c r="AB121" s="2943"/>
      <c r="AC121" s="2943"/>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72"/>
      <c r="O122" s="2972"/>
      <c r="P122" s="2996"/>
      <c r="Q122" s="2957"/>
      <c r="R122" s="2943"/>
      <c r="S122" s="2943"/>
      <c r="T122" s="2943"/>
      <c r="U122" s="2943"/>
      <c r="V122" s="2943"/>
      <c r="W122" s="2943"/>
      <c r="X122" s="2943"/>
      <c r="Y122" s="2943"/>
      <c r="Z122" s="2943"/>
      <c r="AA122" s="2943"/>
      <c r="AB122" s="2943"/>
      <c r="AC122" s="2943"/>
    </row>
    <row r="123" spans="1:29" s="429" customFormat="1" ht="15" thickTop="1">
      <c r="A123" s="549"/>
      <c r="B123" s="494" t="s">
        <v>2611</v>
      </c>
      <c r="C123" s="3138" t="s">
        <v>3294</v>
      </c>
      <c r="D123" s="510" t="s">
        <v>3325</v>
      </c>
      <c r="E123" s="510" t="s">
        <v>3326</v>
      </c>
      <c r="F123" s="510" t="s">
        <v>3327</v>
      </c>
      <c r="G123" s="510" t="s">
        <v>3328</v>
      </c>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5.75" thickBot="1">
      <c r="A124" s="509"/>
      <c r="B124" s="499"/>
      <c r="C124" s="500">
        <v>100</v>
      </c>
      <c r="D124" s="500">
        <f>C124-$K41</f>
        <v>98</v>
      </c>
      <c r="E124" s="500">
        <f t="shared" ref="E124:M124" si="29">D124-$K41</f>
        <v>96</v>
      </c>
      <c r="F124" s="500">
        <f t="shared" si="29"/>
        <v>94</v>
      </c>
      <c r="G124" s="500">
        <f t="shared" si="29"/>
        <v>92</v>
      </c>
      <c r="H124" s="500">
        <f t="shared" si="29"/>
        <v>90</v>
      </c>
      <c r="I124" s="500">
        <f t="shared" si="29"/>
        <v>88</v>
      </c>
      <c r="J124" s="500">
        <f t="shared" si="29"/>
        <v>86</v>
      </c>
      <c r="K124" s="500">
        <f t="shared" si="29"/>
        <v>84</v>
      </c>
      <c r="L124" s="500">
        <f t="shared" si="29"/>
        <v>82</v>
      </c>
      <c r="M124" s="501">
        <f t="shared" si="29"/>
        <v>80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2612</v>
      </c>
      <c r="C125" s="3138" t="s">
        <v>3297</v>
      </c>
      <c r="D125" s="510"/>
      <c r="E125" s="539"/>
      <c r="F125" s="539"/>
      <c r="G125" s="539"/>
      <c r="H125" s="539"/>
      <c r="I125" s="539"/>
      <c r="J125" s="539"/>
      <c r="K125" s="540"/>
      <c r="L125" s="541"/>
      <c r="M125" s="542"/>
      <c r="N125" s="2971"/>
      <c r="O125" s="2971"/>
      <c r="P125" s="2996"/>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5"/>
      <c r="B127" s="494">
        <f>B43</f>
        <v>111</v>
      </c>
      <c r="C127" s="510"/>
      <c r="D127" s="510"/>
      <c r="E127" s="510"/>
      <c r="F127" s="510"/>
      <c r="G127" s="510"/>
      <c r="H127" s="539"/>
      <c r="I127" s="539"/>
      <c r="J127" s="539"/>
      <c r="K127" s="540"/>
      <c r="L127" s="541"/>
      <c r="M127" s="542"/>
      <c r="N127" s="2971"/>
      <c r="O127" s="2971"/>
      <c r="P127" s="2996"/>
      <c r="Q127" s="2957"/>
      <c r="R127" s="2943"/>
      <c r="S127" s="2943"/>
      <c r="T127" s="2943"/>
      <c r="U127" s="2943"/>
      <c r="V127" s="2943"/>
      <c r="W127" s="2943"/>
      <c r="X127" s="2943"/>
      <c r="Y127" s="2943"/>
      <c r="Z127" s="2943"/>
      <c r="AA127" s="2943"/>
      <c r="AB127" s="2943"/>
      <c r="AC127" s="2943"/>
    </row>
    <row r="128" spans="1:29" ht="15.75" thickBot="1">
      <c r="A128" s="490"/>
      <c r="B128" s="499"/>
      <c r="C128" s="516"/>
      <c r="D128" s="516"/>
      <c r="E128" s="516"/>
      <c r="F128" s="516"/>
      <c r="G128" s="492"/>
      <c r="H128" s="492"/>
      <c r="I128" s="492"/>
      <c r="J128" s="492"/>
      <c r="K128" s="492"/>
      <c r="L128" s="492"/>
      <c r="M128" s="493"/>
      <c r="N128" s="2972"/>
      <c r="O128" s="2972"/>
      <c r="P128" s="2996"/>
      <c r="Q128" s="2957"/>
      <c r="R128" s="2943"/>
      <c r="S128" s="2943"/>
      <c r="T128" s="2943"/>
      <c r="U128" s="2943"/>
      <c r="V128" s="2943"/>
      <c r="W128" s="2943"/>
      <c r="X128" s="2943"/>
      <c r="Y128" s="2943"/>
      <c r="Z128" s="2943"/>
      <c r="AA128" s="2943"/>
      <c r="AB128" s="2943"/>
      <c r="AC128" s="2943"/>
    </row>
    <row r="129" spans="1:29" ht="15" thickTop="1">
      <c r="A129" s="555"/>
      <c r="B129" s="494">
        <f>B44</f>
        <v>111</v>
      </c>
      <c r="C129" s="479"/>
      <c r="D129" s="479"/>
      <c r="E129" s="479"/>
      <c r="F129" s="479"/>
      <c r="G129" s="539"/>
      <c r="H129" s="539"/>
      <c r="I129" s="539"/>
      <c r="J129" s="539"/>
      <c r="K129" s="540"/>
      <c r="L129" s="541"/>
      <c r="M129" s="542"/>
      <c r="N129" s="2971"/>
      <c r="O129" s="2971"/>
      <c r="P129" s="2996"/>
      <c r="Q129" s="2957"/>
      <c r="R129" s="2943"/>
      <c r="S129" s="2943"/>
      <c r="T129" s="2943"/>
      <c r="U129" s="2943"/>
      <c r="V129" s="2943"/>
      <c r="W129" s="2943"/>
      <c r="X129" s="2943"/>
      <c r="Y129" s="2943"/>
      <c r="Z129" s="2943"/>
      <c r="AA129" s="2943"/>
      <c r="AB129" s="2943"/>
      <c r="AC129" s="2943"/>
    </row>
    <row r="130" spans="1:29" ht="15.75" thickBot="1">
      <c r="A130" s="490"/>
      <c r="B130" s="499"/>
      <c r="C130" s="526"/>
      <c r="D130" s="526"/>
      <c r="E130" s="526"/>
      <c r="F130" s="526"/>
      <c r="G130" s="492"/>
      <c r="H130" s="492"/>
      <c r="I130" s="492"/>
      <c r="J130" s="492"/>
      <c r="K130" s="492"/>
      <c r="L130" s="492"/>
      <c r="M130" s="493"/>
      <c r="N130" s="2972"/>
      <c r="O130" s="2972"/>
      <c r="P130" s="2996"/>
      <c r="Q130" s="2957"/>
      <c r="R130" s="2943"/>
      <c r="S130" s="2943"/>
      <c r="T130" s="2943"/>
      <c r="U130" s="2943"/>
      <c r="V130" s="2943"/>
      <c r="W130" s="2943"/>
      <c r="X130" s="2943"/>
      <c r="Y130" s="2943"/>
      <c r="Z130" s="2943"/>
      <c r="AA130" s="2943"/>
      <c r="AB130" s="2943"/>
      <c r="AC130" s="2943"/>
    </row>
    <row r="131" spans="1:29" s="429" customFormat="1" ht="15"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5.75"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3"/>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405" t="s">
        <v>2465</v>
      </c>
      <c r="S4" s="3406"/>
      <c r="T4" s="3405" t="s">
        <v>2466</v>
      </c>
      <c r="U4" s="3406"/>
      <c r="V4" s="3411" t="s">
        <v>2467</v>
      </c>
      <c r="W4" s="3411"/>
      <c r="X4" s="1538"/>
      <c r="Y4" s="3405" t="s">
        <v>2469</v>
      </c>
      <c r="Z4" s="3406"/>
      <c r="AA4" s="3392" t="s">
        <v>2465</v>
      </c>
      <c r="AB4" s="3393" t="s">
        <v>2466</v>
      </c>
      <c r="AC4" s="3392" t="s">
        <v>2467</v>
      </c>
    </row>
    <row r="5" spans="1:29" ht="15">
      <c r="A5" s="363"/>
      <c r="B5" s="364"/>
      <c r="C5" s="3423" t="s">
        <v>2360</v>
      </c>
      <c r="D5" s="3415"/>
      <c r="E5" s="3424" t="s">
        <v>2361</v>
      </c>
      <c r="F5" s="3422"/>
      <c r="G5" s="3423" t="s">
        <v>2362</v>
      </c>
      <c r="H5" s="3415"/>
      <c r="I5" s="3423" t="s">
        <v>2363</v>
      </c>
      <c r="J5" s="3415"/>
      <c r="K5" s="566"/>
      <c r="L5" s="2933"/>
      <c r="M5" s="2934"/>
      <c r="N5" s="2934"/>
      <c r="O5" s="2934"/>
      <c r="P5" s="3401"/>
      <c r="Q5" s="3402"/>
      <c r="R5" s="3407"/>
      <c r="S5" s="3408"/>
      <c r="T5" s="3407"/>
      <c r="U5" s="3408"/>
      <c r="V5" s="3411"/>
      <c r="W5" s="3411"/>
      <c r="X5" s="1538"/>
      <c r="Y5" s="3407"/>
      <c r="Z5" s="3408"/>
      <c r="AA5" s="3393"/>
      <c r="AB5" s="3393"/>
      <c r="AC5" s="3393"/>
    </row>
    <row r="6" spans="1:29" ht="15.75" thickBot="1">
      <c r="A6" s="365"/>
      <c r="B6" s="366"/>
      <c r="C6" s="3446" t="s">
        <v>2614</v>
      </c>
      <c r="D6" s="3447"/>
      <c r="E6" s="3448" t="s">
        <v>2614</v>
      </c>
      <c r="F6" s="3449"/>
      <c r="G6" s="3446" t="s">
        <v>2614</v>
      </c>
      <c r="H6" s="3447"/>
      <c r="I6" s="3446" t="s">
        <v>2614</v>
      </c>
      <c r="J6" s="3447"/>
      <c r="K6" s="566" t="s">
        <v>2365</v>
      </c>
      <c r="L6" s="2933"/>
      <c r="M6" s="2934"/>
      <c r="N6" s="2934"/>
      <c r="O6" s="2934"/>
      <c r="P6" s="3403"/>
      <c r="Q6" s="3404"/>
      <c r="R6" s="3407"/>
      <c r="S6" s="3408"/>
      <c r="T6" s="3409"/>
      <c r="U6" s="3410"/>
      <c r="V6" s="3411"/>
      <c r="W6" s="3411"/>
      <c r="X6" s="1538"/>
      <c r="Y6" s="3409"/>
      <c r="Z6" s="3410"/>
      <c r="AA6" s="3394"/>
      <c r="AB6" s="3394"/>
      <c r="AC6" s="3394"/>
    </row>
    <row r="7" spans="1:29" s="113" customFormat="1" ht="15.75" thickBot="1">
      <c r="A7" s="367" t="s">
        <v>2366</v>
      </c>
      <c r="B7" s="368"/>
      <c r="C7" s="369">
        <f>'数据-取费表'!B2</f>
        <v>44259</v>
      </c>
      <c r="D7" s="370">
        <v>100</v>
      </c>
      <c r="E7" s="371"/>
      <c r="F7" s="372">
        <f>SUMIF(65:65,YEAR(E7)&amp;"-"&amp;INT((MONTH(E7)+2)/3),66:66)</f>
        <v>0</v>
      </c>
      <c r="G7" s="2154"/>
      <c r="H7" s="370">
        <f>SUMIF(65:65,YEAR(G7)&amp;"-"&amp;INT((MONTH(G7)+2)/3),66:66)</f>
        <v>0</v>
      </c>
      <c r="I7" s="2154"/>
      <c r="J7" s="370">
        <f>SUMIF(65:65,YEAR(I7)&amp;"-"&amp;INT((MONTH(I7)+2)/3),66:66)</f>
        <v>0</v>
      </c>
      <c r="K7" s="567"/>
      <c r="L7" s="2935"/>
      <c r="M7" s="2936"/>
      <c r="N7" s="2936"/>
      <c r="O7" s="2936"/>
      <c r="P7" s="3416" t="s">
        <v>2367</v>
      </c>
      <c r="Q7" s="3418"/>
      <c r="R7" s="709" t="s">
        <v>17</v>
      </c>
      <c r="S7" s="710">
        <f t="shared" ref="S7:S15" si="0">F7</f>
        <v>0</v>
      </c>
      <c r="T7" s="709" t="s">
        <v>17</v>
      </c>
      <c r="U7" s="710">
        <f t="shared" ref="U7:U15" si="1">H7</f>
        <v>0</v>
      </c>
      <c r="V7" s="709" t="s">
        <v>17</v>
      </c>
      <c r="W7" s="710">
        <f t="shared" ref="W7:W15" si="2">J7</f>
        <v>0</v>
      </c>
      <c r="X7" s="711"/>
      <c r="Y7" s="3416" t="s">
        <v>2367</v>
      </c>
      <c r="Z7" s="3417"/>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5"/>
      <c r="M8" s="2936"/>
      <c r="N8" s="2936"/>
      <c r="O8" s="2936"/>
      <c r="P8" s="3416" t="s">
        <v>2370</v>
      </c>
      <c r="Q8" s="3417"/>
      <c r="R8" s="709" t="s">
        <v>17</v>
      </c>
      <c r="S8" s="710">
        <f t="shared" si="0"/>
        <v>0</v>
      </c>
      <c r="T8" s="709" t="s">
        <v>17</v>
      </c>
      <c r="U8" s="710">
        <f t="shared" si="1"/>
        <v>0</v>
      </c>
      <c r="V8" s="709" t="s">
        <v>17</v>
      </c>
      <c r="W8" s="710">
        <f t="shared" si="2"/>
        <v>0</v>
      </c>
      <c r="X8" s="711"/>
      <c r="Y8" s="3416" t="s">
        <v>2370</v>
      </c>
      <c r="Z8" s="3417"/>
      <c r="AA8" s="712" t="e">
        <f t="shared" ref="AA8:AA40" si="3">D8/F8</f>
        <v>#DIV/0!</v>
      </c>
      <c r="AB8" s="712" t="e">
        <f t="shared" ref="AB8:AB40" si="4">D8/H8</f>
        <v>#DIV/0!</v>
      </c>
      <c r="AC8" s="712" t="e">
        <f t="shared" ref="AC8:AC40" si="5">D8/J8</f>
        <v>#DIV/0!</v>
      </c>
    </row>
    <row r="9" spans="1:29" s="113" customFormat="1">
      <c r="A9" s="374" t="s">
        <v>2371</v>
      </c>
      <c r="B9" s="67" t="s">
        <v>2372</v>
      </c>
      <c r="C9" s="2157"/>
      <c r="D9" s="130">
        <v>100</v>
      </c>
      <c r="E9" s="2157"/>
      <c r="F9" s="130">
        <f>SUMIF(70:70,E9,71:71)-SUMIF(70:70,C9,71:71)+100</f>
        <v>100</v>
      </c>
      <c r="G9" s="2157"/>
      <c r="H9" s="130">
        <f>SUMIF(70:70,G9,71:71)-SUMIF(70:70,C9,71:71)+100</f>
        <v>100</v>
      </c>
      <c r="I9" s="2157"/>
      <c r="J9" s="130">
        <f>SUMIF(70:70,I9,71:71)-SUMIF(70:70,C9,71:71)+100</f>
        <v>100</v>
      </c>
      <c r="K9" s="567"/>
      <c r="L9" s="2935"/>
      <c r="M9" s="2936"/>
      <c r="N9" s="2936"/>
      <c r="O9" s="2990"/>
      <c r="P9" s="3380" t="s">
        <v>2373</v>
      </c>
      <c r="Q9" s="1526" t="str">
        <f t="shared" ref="Q9:Q15" si="6">B9</f>
        <v>用途</v>
      </c>
      <c r="R9" s="709" t="s">
        <v>17</v>
      </c>
      <c r="S9" s="710">
        <f t="shared" si="0"/>
        <v>100</v>
      </c>
      <c r="T9" s="709" t="s">
        <v>17</v>
      </c>
      <c r="U9" s="710">
        <f t="shared" si="1"/>
        <v>100</v>
      </c>
      <c r="V9" s="709" t="s">
        <v>17</v>
      </c>
      <c r="W9" s="710">
        <f t="shared" si="2"/>
        <v>100</v>
      </c>
      <c r="X9" s="711"/>
      <c r="Y9" s="3250"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100</v>
      </c>
      <c r="G10" s="390"/>
      <c r="H10" s="131">
        <f>ROUND(100/'数据-取费表'!G16,0)</f>
        <v>100</v>
      </c>
      <c r="I10" s="390"/>
      <c r="J10" s="131">
        <f>ROUND(100/'数据-取费表'!G16,0)</f>
        <v>100</v>
      </c>
      <c r="K10" s="627"/>
      <c r="L10" s="2937"/>
      <c r="M10" s="2938"/>
      <c r="N10" s="2938"/>
      <c r="O10" s="2991"/>
      <c r="P10" s="3380"/>
      <c r="Q10" s="1526"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9"/>
      <c r="M11" s="2934"/>
      <c r="N11" s="2934"/>
      <c r="O11" s="2992"/>
      <c r="P11" s="3380"/>
      <c r="Q11" s="1526"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35"/>
      <c r="M12" s="2936"/>
      <c r="N12" s="2936"/>
      <c r="O12" s="2990"/>
      <c r="P12" s="3380"/>
      <c r="Q12" s="1526">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0"/>
      <c r="M13" s="2934"/>
      <c r="N13" s="2934"/>
      <c r="O13" s="2992"/>
      <c r="P13" s="3380"/>
      <c r="Q13" s="1526">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0"/>
      <c r="M14" s="2934"/>
      <c r="N14" s="2934"/>
      <c r="O14" s="2992"/>
      <c r="P14" s="3380"/>
      <c r="Q14" s="1526">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8" t="s">
        <v>2377</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0"/>
      <c r="M15" s="2934"/>
      <c r="N15" s="2934"/>
      <c r="O15" s="2992"/>
      <c r="P15" s="3382" t="s">
        <v>2378</v>
      </c>
      <c r="Q15" s="1535" t="str">
        <f t="shared" si="6"/>
        <v>产业集聚程度</v>
      </c>
      <c r="R15" s="713" t="s">
        <v>17</v>
      </c>
      <c r="S15" s="714">
        <f t="shared" si="0"/>
        <v>100</v>
      </c>
      <c r="T15" s="713" t="s">
        <v>17</v>
      </c>
      <c r="U15" s="714">
        <f t="shared" si="1"/>
        <v>100</v>
      </c>
      <c r="V15" s="713" t="s">
        <v>17</v>
      </c>
      <c r="W15" s="714">
        <f t="shared" si="2"/>
        <v>100</v>
      </c>
      <c r="X15" s="1538"/>
      <c r="Y15" s="3382" t="s">
        <v>2378</v>
      </c>
      <c r="Z15" s="1539" t="str">
        <f t="shared" si="7"/>
        <v>产业集聚程度</v>
      </c>
      <c r="AA15" s="1536">
        <f t="shared" si="3"/>
        <v>1</v>
      </c>
      <c r="AB15" s="1536">
        <f t="shared" si="4"/>
        <v>1</v>
      </c>
      <c r="AC15" s="1536">
        <f t="shared" si="5"/>
        <v>1</v>
      </c>
    </row>
    <row r="16" spans="1:29" ht="15">
      <c r="A16" s="386"/>
      <c r="B16" s="585"/>
      <c r="C16" s="405"/>
      <c r="D16" s="406"/>
      <c r="E16" s="2086"/>
      <c r="F16" s="406"/>
      <c r="G16" s="2086"/>
      <c r="H16" s="408"/>
      <c r="I16" s="2086"/>
      <c r="J16" s="406"/>
      <c r="K16" s="627"/>
      <c r="L16" s="2940"/>
      <c r="M16" s="2934"/>
      <c r="N16" s="2934"/>
      <c r="O16" s="2992"/>
      <c r="P16" s="3383"/>
      <c r="Q16" s="1535"/>
      <c r="R16" s="713"/>
      <c r="S16" s="714"/>
      <c r="T16" s="713"/>
      <c r="U16" s="714"/>
      <c r="V16" s="713"/>
      <c r="W16" s="714"/>
      <c r="X16" s="1538"/>
      <c r="Y16" s="3383"/>
      <c r="Z16" s="1539"/>
      <c r="AA16" s="1536">
        <v>1</v>
      </c>
      <c r="AB16" s="1536">
        <v>1</v>
      </c>
      <c r="AC16" s="1536">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0"/>
      <c r="M17" s="2934"/>
      <c r="N17" s="2934"/>
      <c r="O17" s="2992"/>
      <c r="P17" s="3383"/>
      <c r="Q17" s="1535" t="str">
        <f>B17</f>
        <v>交通便捷度</v>
      </c>
      <c r="R17" s="713" t="s">
        <v>17</v>
      </c>
      <c r="S17" s="714">
        <f>F17</f>
        <v>100</v>
      </c>
      <c r="T17" s="713" t="s">
        <v>17</v>
      </c>
      <c r="U17" s="714">
        <f>H17</f>
        <v>100</v>
      </c>
      <c r="V17" s="713" t="s">
        <v>17</v>
      </c>
      <c r="W17" s="714">
        <f>J17</f>
        <v>100</v>
      </c>
      <c r="X17" s="1538"/>
      <c r="Y17" s="3383"/>
      <c r="Z17" s="1539" t="str">
        <f>Q17</f>
        <v>交通便捷度</v>
      </c>
      <c r="AA17" s="1536">
        <f t="shared" si="3"/>
        <v>1</v>
      </c>
      <c r="AB17" s="1536">
        <f t="shared" si="4"/>
        <v>1</v>
      </c>
      <c r="AC17" s="1536">
        <f t="shared" si="5"/>
        <v>1</v>
      </c>
    </row>
    <row r="18" spans="1:29" ht="15">
      <c r="A18" s="386"/>
      <c r="B18" s="587"/>
      <c r="C18" s="405"/>
      <c r="D18" s="406"/>
      <c r="E18" s="2080"/>
      <c r="F18" s="406"/>
      <c r="G18" s="2080"/>
      <c r="H18" s="406"/>
      <c r="I18" s="2079"/>
      <c r="J18" s="406"/>
      <c r="K18" s="627"/>
      <c r="L18" s="2940"/>
      <c r="M18" s="2934"/>
      <c r="N18" s="2934"/>
      <c r="O18" s="2992"/>
      <c r="P18" s="3383"/>
      <c r="Q18" s="1535"/>
      <c r="R18" s="713"/>
      <c r="S18" s="714"/>
      <c r="T18" s="713"/>
      <c r="U18" s="714"/>
      <c r="V18" s="713"/>
      <c r="W18" s="714"/>
      <c r="X18" s="1538"/>
      <c r="Y18" s="3383"/>
      <c r="Z18" s="1539"/>
      <c r="AA18" s="1536">
        <v>1</v>
      </c>
      <c r="AB18" s="1536">
        <v>1</v>
      </c>
      <c r="AC18" s="1536">
        <v>1</v>
      </c>
    </row>
    <row r="19" spans="1:29" ht="15">
      <c r="A19" s="386"/>
      <c r="B19" s="586" t="s">
        <v>2565</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0"/>
      <c r="M19" s="2934"/>
      <c r="N19" s="2934"/>
      <c r="O19" s="2992"/>
      <c r="P19" s="3383"/>
      <c r="Q19" s="1535" t="str">
        <f t="shared" ref="Q19:Q33" si="8">B19</f>
        <v>区域土地利用方向</v>
      </c>
      <c r="R19" s="713" t="s">
        <v>17</v>
      </c>
      <c r="S19" s="714">
        <f>F19</f>
        <v>100</v>
      </c>
      <c r="T19" s="713" t="s">
        <v>17</v>
      </c>
      <c r="U19" s="714">
        <f>H19</f>
        <v>100</v>
      </c>
      <c r="V19" s="713" t="s">
        <v>17</v>
      </c>
      <c r="W19" s="714">
        <f>J19</f>
        <v>100</v>
      </c>
      <c r="X19" s="1538"/>
      <c r="Y19" s="3383"/>
      <c r="Z19" s="1539" t="str">
        <f>Q19</f>
        <v>区域土地利用方向</v>
      </c>
      <c r="AA19" s="1536">
        <f t="shared" si="3"/>
        <v>1</v>
      </c>
      <c r="AB19" s="1536">
        <f t="shared" si="4"/>
        <v>1</v>
      </c>
      <c r="AC19" s="1536">
        <f t="shared" si="5"/>
        <v>1</v>
      </c>
    </row>
    <row r="20" spans="1:29" ht="15">
      <c r="A20" s="363"/>
      <c r="B20" s="587"/>
      <c r="C20" s="405"/>
      <c r="D20" s="406"/>
      <c r="E20" s="2080"/>
      <c r="F20" s="406"/>
      <c r="G20" s="2080"/>
      <c r="H20" s="406"/>
      <c r="I20" s="2080"/>
      <c r="J20" s="406"/>
      <c r="K20" s="749"/>
      <c r="L20" s="2940"/>
      <c r="M20" s="2934"/>
      <c r="N20" s="2934"/>
      <c r="O20" s="2992"/>
      <c r="P20" s="3383"/>
      <c r="Q20" s="1535"/>
      <c r="R20" s="713"/>
      <c r="S20" s="714"/>
      <c r="T20" s="713"/>
      <c r="U20" s="714"/>
      <c r="V20" s="713"/>
      <c r="W20" s="714"/>
      <c r="X20" s="1538"/>
      <c r="Y20" s="3383"/>
      <c r="Z20" s="1539"/>
      <c r="AA20" s="1536"/>
      <c r="AB20" s="1536"/>
      <c r="AC20" s="1536"/>
    </row>
    <row r="21" spans="1:29" ht="71.25">
      <c r="A21" s="363"/>
      <c r="B21" s="586" t="s">
        <v>2616</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0"/>
      <c r="M21" s="2934"/>
      <c r="N21" s="2934"/>
      <c r="O21" s="2992"/>
      <c r="P21" s="3383"/>
      <c r="Q21" s="1535" t="str">
        <f t="shared" si="8"/>
        <v>环境状况</v>
      </c>
      <c r="R21" s="713" t="s">
        <v>17</v>
      </c>
      <c r="S21" s="714">
        <f>F21</f>
        <v>100</v>
      </c>
      <c r="T21" s="713" t="s">
        <v>17</v>
      </c>
      <c r="U21" s="714">
        <f>H21</f>
        <v>100</v>
      </c>
      <c r="V21" s="713" t="s">
        <v>17</v>
      </c>
      <c r="W21" s="714">
        <f>J21</f>
        <v>100</v>
      </c>
      <c r="X21" s="1538"/>
      <c r="Y21" s="3383"/>
      <c r="Z21" s="1539" t="str">
        <f>Q21</f>
        <v>环境状况</v>
      </c>
      <c r="AA21" s="1536">
        <f t="shared" si="3"/>
        <v>1</v>
      </c>
      <c r="AB21" s="1536">
        <f t="shared" si="4"/>
        <v>1</v>
      </c>
      <c r="AC21" s="1536">
        <f t="shared" si="5"/>
        <v>1</v>
      </c>
    </row>
    <row r="22" spans="1:29" ht="15">
      <c r="A22" s="363"/>
      <c r="B22" s="587"/>
      <c r="C22" s="405"/>
      <c r="D22" s="406"/>
      <c r="E22" s="2086"/>
      <c r="F22" s="406"/>
      <c r="G22" s="2086"/>
      <c r="H22" s="406"/>
      <c r="I22" s="405"/>
      <c r="J22" s="406"/>
      <c r="K22" s="627"/>
      <c r="L22" s="2940"/>
      <c r="M22" s="2934"/>
      <c r="N22" s="2934"/>
      <c r="O22" s="2992"/>
      <c r="P22" s="3383"/>
      <c r="Q22" s="1535"/>
      <c r="R22" s="713"/>
      <c r="S22" s="714"/>
      <c r="T22" s="713"/>
      <c r="U22" s="714"/>
      <c r="V22" s="713"/>
      <c r="W22" s="714"/>
      <c r="X22" s="1538"/>
      <c r="Y22" s="3383"/>
      <c r="Z22" s="1539"/>
      <c r="AA22" s="1536">
        <v>1</v>
      </c>
      <c r="AB22" s="1536">
        <v>1</v>
      </c>
      <c r="AC22" s="1536">
        <v>1</v>
      </c>
    </row>
    <row r="23" spans="1:29" s="113"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5"/>
      <c r="M23" s="2936"/>
      <c r="N23" s="2936"/>
      <c r="O23" s="2990"/>
      <c r="P23" s="3383"/>
      <c r="Q23" s="1526" t="str">
        <f t="shared" si="8"/>
        <v>公共配套设施</v>
      </c>
      <c r="R23" s="709" t="s">
        <v>17</v>
      </c>
      <c r="S23" s="710">
        <f>F23</f>
        <v>100</v>
      </c>
      <c r="T23" s="709" t="s">
        <v>17</v>
      </c>
      <c r="U23" s="710">
        <f>H23</f>
        <v>100</v>
      </c>
      <c r="V23" s="709" t="s">
        <v>17</v>
      </c>
      <c r="W23" s="710">
        <f>J23</f>
        <v>100</v>
      </c>
      <c r="X23" s="711"/>
      <c r="Y23" s="3383"/>
      <c r="Z23" s="55" t="str">
        <f>Q23</f>
        <v>公共配套设施</v>
      </c>
      <c r="AA23" s="1536">
        <f>D23/F23</f>
        <v>1</v>
      </c>
      <c r="AB23" s="1536">
        <f>D23/H23</f>
        <v>1</v>
      </c>
      <c r="AC23" s="1536">
        <f>D23/J23</f>
        <v>1</v>
      </c>
    </row>
    <row r="24" spans="1:29" s="113" customFormat="1" ht="15">
      <c r="A24" s="604"/>
      <c r="B24" s="587"/>
      <c r="C24" s="2158"/>
      <c r="D24" s="406"/>
      <c r="E24" s="2086"/>
      <c r="F24" s="406"/>
      <c r="G24" s="2086"/>
      <c r="H24" s="406"/>
      <c r="I24" s="405"/>
      <c r="J24" s="406"/>
      <c r="K24" s="627"/>
      <c r="L24" s="2935"/>
      <c r="M24" s="2936"/>
      <c r="N24" s="2936"/>
      <c r="O24" s="2990"/>
      <c r="P24" s="3383"/>
      <c r="Q24" s="1526"/>
      <c r="R24" s="709"/>
      <c r="S24" s="710"/>
      <c r="T24" s="709"/>
      <c r="U24" s="710"/>
      <c r="V24" s="709"/>
      <c r="W24" s="710"/>
      <c r="X24" s="711"/>
      <c r="Y24" s="3383"/>
      <c r="Z24" s="55"/>
      <c r="AA24" s="712">
        <v>1</v>
      </c>
      <c r="AB24" s="712">
        <v>1</v>
      </c>
      <c r="AC24" s="712">
        <v>1</v>
      </c>
    </row>
    <row r="25" spans="1:29" s="113"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5"/>
      <c r="M25" s="2936"/>
      <c r="N25" s="2936"/>
      <c r="O25" s="2990"/>
      <c r="P25" s="3383"/>
      <c r="Q25" s="1526" t="str">
        <f t="shared" ref="Q25" si="9">B25</f>
        <v>基础设施水平</v>
      </c>
      <c r="R25" s="709" t="s">
        <v>17</v>
      </c>
      <c r="S25" s="710">
        <f>F25</f>
        <v>100</v>
      </c>
      <c r="T25" s="709" t="s">
        <v>17</v>
      </c>
      <c r="U25" s="710">
        <f>H25</f>
        <v>100</v>
      </c>
      <c r="V25" s="709" t="s">
        <v>17</v>
      </c>
      <c r="W25" s="710">
        <f>J25</f>
        <v>100</v>
      </c>
      <c r="X25" s="711"/>
      <c r="Y25" s="3383"/>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35"/>
      <c r="M26" s="2936"/>
      <c r="N26" s="2936"/>
      <c r="O26" s="2990"/>
      <c r="P26" s="3383"/>
      <c r="Q26" s="1526"/>
      <c r="R26" s="709"/>
      <c r="S26" s="710"/>
      <c r="T26" s="709"/>
      <c r="U26" s="710"/>
      <c r="V26" s="709"/>
      <c r="W26" s="710"/>
      <c r="X26" s="711"/>
      <c r="Y26" s="3383"/>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0"/>
      <c r="M27" s="2934"/>
      <c r="N27" s="2934"/>
      <c r="O27" s="2992"/>
      <c r="P27" s="3383"/>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83"/>
      <c r="Z27" s="1539" t="str">
        <f t="shared" ref="Z27:Z40" si="13">Q27</f>
        <v>临街状况</v>
      </c>
      <c r="AA27" s="1536">
        <f t="shared" si="3"/>
        <v>1</v>
      </c>
      <c r="AB27" s="1536">
        <f t="shared" si="4"/>
        <v>1</v>
      </c>
      <c r="AC27" s="1536">
        <f t="shared" si="5"/>
        <v>1</v>
      </c>
    </row>
    <row r="28" spans="1:29" ht="27">
      <c r="A28" s="386"/>
      <c r="B28" s="588" t="s">
        <v>2509</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0"/>
      <c r="M28" s="2934"/>
      <c r="N28" s="2934"/>
      <c r="O28" s="2992"/>
      <c r="P28" s="3383"/>
      <c r="Q28" s="1535" t="str">
        <f t="shared" si="8"/>
        <v>毗邻道路的类型与等级</v>
      </c>
      <c r="R28" s="713" t="s">
        <v>17</v>
      </c>
      <c r="S28" s="714">
        <f t="shared" si="10"/>
        <v>100</v>
      </c>
      <c r="T28" s="713" t="s">
        <v>17</v>
      </c>
      <c r="U28" s="714">
        <f t="shared" si="11"/>
        <v>100</v>
      </c>
      <c r="V28" s="713" t="s">
        <v>17</v>
      </c>
      <c r="W28" s="714">
        <f t="shared" si="12"/>
        <v>100</v>
      </c>
      <c r="X28" s="1538"/>
      <c r="Y28" s="3383"/>
      <c r="Z28" s="1539" t="str">
        <f t="shared" si="13"/>
        <v>毗邻道路的类型与等级</v>
      </c>
      <c r="AA28" s="1536">
        <f t="shared" si="3"/>
        <v>1</v>
      </c>
      <c r="AB28" s="1536">
        <f t="shared" si="4"/>
        <v>1</v>
      </c>
      <c r="AC28" s="1536">
        <f t="shared" si="5"/>
        <v>1</v>
      </c>
    </row>
    <row r="29" spans="1:29" ht="15">
      <c r="A29" s="386"/>
      <c r="B29" s="587"/>
      <c r="C29" s="405"/>
      <c r="D29" s="406"/>
      <c r="E29" s="2086"/>
      <c r="F29" s="406"/>
      <c r="G29" s="2086"/>
      <c r="H29" s="406"/>
      <c r="I29" s="2086"/>
      <c r="J29" s="406"/>
      <c r="K29" s="569"/>
      <c r="L29" s="2940"/>
      <c r="M29" s="2934"/>
      <c r="N29" s="2934"/>
      <c r="O29" s="2992"/>
      <c r="P29" s="3383"/>
      <c r="Q29" s="1535"/>
      <c r="R29" s="713"/>
      <c r="S29" s="714"/>
      <c r="T29" s="713"/>
      <c r="U29" s="714"/>
      <c r="V29" s="713"/>
      <c r="W29" s="714"/>
      <c r="X29" s="1538"/>
      <c r="Y29" s="3383"/>
      <c r="Z29" s="1539"/>
      <c r="AA29" s="1536">
        <v>1</v>
      </c>
      <c r="AB29" s="1536">
        <v>1</v>
      </c>
      <c r="AC29" s="1536">
        <v>1</v>
      </c>
    </row>
    <row r="30" spans="1:29" ht="15">
      <c r="A30" s="386"/>
      <c r="B30" s="609" t="s">
        <v>2567</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0"/>
      <c r="M30" s="2934"/>
      <c r="N30" s="2934"/>
      <c r="O30" s="2992"/>
      <c r="P30" s="3383"/>
      <c r="Q30" s="1535" t="str">
        <f t="shared" si="8"/>
        <v>土地级别</v>
      </c>
      <c r="R30" s="713" t="s">
        <v>17</v>
      </c>
      <c r="S30" s="714">
        <f t="shared" si="10"/>
        <v>100</v>
      </c>
      <c r="T30" s="713" t="s">
        <v>17</v>
      </c>
      <c r="U30" s="714">
        <f t="shared" si="11"/>
        <v>100</v>
      </c>
      <c r="V30" s="713" t="s">
        <v>17</v>
      </c>
      <c r="W30" s="714">
        <f t="shared" si="12"/>
        <v>100</v>
      </c>
      <c r="X30" s="1538"/>
      <c r="Y30" s="3383"/>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0"/>
      <c r="M31" s="2934"/>
      <c r="N31" s="2934"/>
      <c r="O31" s="2992"/>
      <c r="P31" s="3383"/>
      <c r="Q31" s="1535">
        <f t="shared" si="8"/>
        <v>111</v>
      </c>
      <c r="R31" s="713" t="s">
        <v>17</v>
      </c>
      <c r="S31" s="714">
        <f t="shared" si="10"/>
        <v>100</v>
      </c>
      <c r="T31" s="713" t="s">
        <v>17</v>
      </c>
      <c r="U31" s="714">
        <f t="shared" si="11"/>
        <v>100</v>
      </c>
      <c r="V31" s="713" t="s">
        <v>17</v>
      </c>
      <c r="W31" s="714">
        <f t="shared" si="12"/>
        <v>100</v>
      </c>
      <c r="X31" s="1538"/>
      <c r="Y31" s="3383"/>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0"/>
      <c r="M32" s="2934"/>
      <c r="N32" s="2934"/>
      <c r="O32" s="2992"/>
      <c r="P32" s="3440" t="s">
        <v>2383</v>
      </c>
      <c r="Q32" s="1535">
        <f t="shared" si="8"/>
        <v>111</v>
      </c>
      <c r="R32" s="713" t="s">
        <v>17</v>
      </c>
      <c r="S32" s="714">
        <f t="shared" si="10"/>
        <v>100</v>
      </c>
      <c r="T32" s="713" t="s">
        <v>17</v>
      </c>
      <c r="U32" s="714">
        <f t="shared" si="11"/>
        <v>100</v>
      </c>
      <c r="V32" s="713" t="s">
        <v>17</v>
      </c>
      <c r="W32" s="714">
        <f t="shared" si="12"/>
        <v>100</v>
      </c>
      <c r="X32" s="1538"/>
      <c r="Y32" s="3387" t="s">
        <v>2383</v>
      </c>
      <c r="Z32" s="1539">
        <f t="shared" si="13"/>
        <v>111</v>
      </c>
      <c r="AA32" s="1536">
        <f t="shared" si="3"/>
        <v>1</v>
      </c>
      <c r="AB32" s="1536">
        <f t="shared" si="4"/>
        <v>1</v>
      </c>
      <c r="AC32" s="1536">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9"/>
      <c r="M33" s="2941"/>
      <c r="N33" s="2941"/>
      <c r="O33" s="2993"/>
      <c r="P33" s="3387"/>
      <c r="Q33" s="1535">
        <f t="shared" si="8"/>
        <v>111</v>
      </c>
      <c r="R33" s="716" t="s">
        <v>17</v>
      </c>
      <c r="S33" s="717">
        <f t="shared" si="10"/>
        <v>100</v>
      </c>
      <c r="T33" s="716" t="s">
        <v>17</v>
      </c>
      <c r="U33" s="717">
        <f t="shared" si="11"/>
        <v>100</v>
      </c>
      <c r="V33" s="716" t="s">
        <v>17</v>
      </c>
      <c r="W33" s="717">
        <f t="shared" si="12"/>
        <v>100</v>
      </c>
      <c r="X33" s="718"/>
      <c r="Y33" s="3387"/>
      <c r="Z33" s="719">
        <f t="shared" si="13"/>
        <v>111</v>
      </c>
      <c r="AA33" s="1536">
        <f t="shared" si="3"/>
        <v>1</v>
      </c>
      <c r="AB33" s="1536">
        <f t="shared" si="4"/>
        <v>1</v>
      </c>
      <c r="AC33" s="1536">
        <f t="shared" si="5"/>
        <v>1</v>
      </c>
    </row>
    <row r="34" spans="1:31" ht="15">
      <c r="A34" s="398" t="s">
        <v>2381</v>
      </c>
      <c r="B34" s="414" t="s">
        <v>2568</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0"/>
      <c r="M34" s="2934"/>
      <c r="N34" s="2934"/>
      <c r="O34" s="2992"/>
      <c r="P34" s="3387"/>
      <c r="Q34" s="1535" t="str">
        <f>B34</f>
        <v>宗地面积</v>
      </c>
      <c r="R34" s="713" t="s">
        <v>17</v>
      </c>
      <c r="S34" s="714" t="e">
        <f t="shared" si="10"/>
        <v>#N/A</v>
      </c>
      <c r="T34" s="713" t="s">
        <v>17</v>
      </c>
      <c r="U34" s="714" t="e">
        <f t="shared" si="11"/>
        <v>#N/A</v>
      </c>
      <c r="V34" s="713" t="s">
        <v>17</v>
      </c>
      <c r="W34" s="714" t="e">
        <f t="shared" si="12"/>
        <v>#N/A</v>
      </c>
      <c r="X34" s="1538"/>
      <c r="Y34" s="3387"/>
      <c r="Z34" s="1539" t="str">
        <f t="shared" si="13"/>
        <v>宗地面积</v>
      </c>
      <c r="AA34" s="1536" t="e">
        <f t="shared" si="3"/>
        <v>#N/A</v>
      </c>
      <c r="AB34" s="1536" t="e">
        <f t="shared" si="4"/>
        <v>#N/A</v>
      </c>
      <c r="AC34" s="1536" t="e">
        <f t="shared" si="5"/>
        <v>#N/A</v>
      </c>
    </row>
    <row r="35" spans="1:31" ht="15">
      <c r="A35" s="430"/>
      <c r="B35" s="380" t="s">
        <v>2569</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0"/>
      <c r="M35" s="2934"/>
      <c r="N35" s="2934"/>
      <c r="O35" s="2992"/>
      <c r="P35" s="3387"/>
      <c r="Q35" s="1535" t="str">
        <f t="shared" ref="Q35:Q40" si="14">B35</f>
        <v>宗地形状</v>
      </c>
      <c r="R35" s="713" t="s">
        <v>17</v>
      </c>
      <c r="S35" s="714">
        <f t="shared" si="10"/>
        <v>100</v>
      </c>
      <c r="T35" s="713" t="s">
        <v>17</v>
      </c>
      <c r="U35" s="714">
        <f t="shared" si="11"/>
        <v>100</v>
      </c>
      <c r="V35" s="713" t="s">
        <v>17</v>
      </c>
      <c r="W35" s="714">
        <f t="shared" si="12"/>
        <v>100</v>
      </c>
      <c r="X35" s="1538"/>
      <c r="Y35" s="3387"/>
      <c r="Z35" s="1539" t="str">
        <f t="shared" si="13"/>
        <v>宗地形状</v>
      </c>
      <c r="AA35" s="1536">
        <f t="shared" si="3"/>
        <v>1</v>
      </c>
      <c r="AB35" s="1536">
        <f t="shared" si="4"/>
        <v>1</v>
      </c>
      <c r="AC35" s="1536">
        <f t="shared" si="5"/>
        <v>1</v>
      </c>
    </row>
    <row r="36" spans="1:31" s="113" customFormat="1" ht="15">
      <c r="A36" s="431"/>
      <c r="B36" s="380" t="s">
        <v>2571</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5"/>
      <c r="M36" s="2936"/>
      <c r="N36" s="2936"/>
      <c r="O36" s="2990"/>
      <c r="P36" s="3387"/>
      <c r="Q36" s="1535" t="str">
        <f t="shared" si="14"/>
        <v>宗地开发程度</v>
      </c>
      <c r="R36" s="709" t="s">
        <v>17</v>
      </c>
      <c r="S36" s="710">
        <f t="shared" si="10"/>
        <v>100</v>
      </c>
      <c r="T36" s="709" t="s">
        <v>17</v>
      </c>
      <c r="U36" s="710">
        <f t="shared" si="11"/>
        <v>100</v>
      </c>
      <c r="V36" s="709" t="s">
        <v>17</v>
      </c>
      <c r="W36" s="710">
        <f t="shared" si="12"/>
        <v>100</v>
      </c>
      <c r="X36" s="711"/>
      <c r="Y36" s="3387"/>
      <c r="Z36" s="55" t="str">
        <f t="shared" si="13"/>
        <v>宗地开发程度</v>
      </c>
      <c r="AA36" s="712">
        <f t="shared" si="3"/>
        <v>1</v>
      </c>
      <c r="AB36" s="712">
        <f t="shared" si="4"/>
        <v>1</v>
      </c>
      <c r="AC36" s="712">
        <f t="shared" si="5"/>
        <v>1</v>
      </c>
    </row>
    <row r="37" spans="1:31" ht="15">
      <c r="A37" s="430"/>
      <c r="B37" s="380" t="s">
        <v>2572</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0"/>
      <c r="M37" s="2934"/>
      <c r="N37" s="2934"/>
      <c r="O37" s="2992"/>
      <c r="P37" s="3387" t="s">
        <v>2383</v>
      </c>
      <c r="Q37" s="1535" t="str">
        <f t="shared" si="14"/>
        <v>工程地质条件</v>
      </c>
      <c r="R37" s="713" t="s">
        <v>17</v>
      </c>
      <c r="S37" s="714">
        <f t="shared" si="10"/>
        <v>100</v>
      </c>
      <c r="T37" s="713" t="s">
        <v>17</v>
      </c>
      <c r="U37" s="714">
        <f t="shared" si="11"/>
        <v>100</v>
      </c>
      <c r="V37" s="713" t="s">
        <v>17</v>
      </c>
      <c r="W37" s="714">
        <f t="shared" si="12"/>
        <v>100</v>
      </c>
      <c r="X37" s="1538"/>
      <c r="Y37" s="3387" t="s">
        <v>2383</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0"/>
      <c r="M38" s="2934"/>
      <c r="N38" s="2934"/>
      <c r="O38" s="2992"/>
      <c r="P38" s="3387"/>
      <c r="Q38" s="1535">
        <f t="shared" si="14"/>
        <v>111</v>
      </c>
      <c r="R38" s="713" t="s">
        <v>17</v>
      </c>
      <c r="S38" s="714">
        <f t="shared" si="10"/>
        <v>100</v>
      </c>
      <c r="T38" s="713" t="s">
        <v>17</v>
      </c>
      <c r="U38" s="714">
        <f t="shared" si="11"/>
        <v>100</v>
      </c>
      <c r="V38" s="713" t="s">
        <v>17</v>
      </c>
      <c r="W38" s="714">
        <f t="shared" si="12"/>
        <v>100</v>
      </c>
      <c r="X38" s="1538"/>
      <c r="Y38" s="3387"/>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0"/>
      <c r="M39" s="2934"/>
      <c r="N39" s="2934"/>
      <c r="O39" s="2992"/>
      <c r="P39" s="3387"/>
      <c r="Q39" s="1535">
        <f t="shared" si="14"/>
        <v>111</v>
      </c>
      <c r="R39" s="713" t="s">
        <v>17</v>
      </c>
      <c r="S39" s="714">
        <f t="shared" si="10"/>
        <v>100</v>
      </c>
      <c r="T39" s="713" t="s">
        <v>17</v>
      </c>
      <c r="U39" s="714">
        <f t="shared" si="11"/>
        <v>100</v>
      </c>
      <c r="V39" s="713" t="s">
        <v>17</v>
      </c>
      <c r="W39" s="714">
        <f t="shared" si="12"/>
        <v>100</v>
      </c>
      <c r="X39" s="1538"/>
      <c r="Y39" s="3387"/>
      <c r="Z39" s="1539">
        <f t="shared" si="13"/>
        <v>111</v>
      </c>
      <c r="AA39" s="1536">
        <f t="shared" si="3"/>
        <v>1</v>
      </c>
      <c r="AB39" s="1536">
        <f t="shared" si="4"/>
        <v>1</v>
      </c>
      <c r="AC39" s="1536">
        <f t="shared" si="5"/>
        <v>1</v>
      </c>
    </row>
    <row r="40" spans="1:31" s="429" customFormat="1" ht="15.75" thickBot="1">
      <c r="A40" s="426"/>
      <c r="B40" s="1294">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39"/>
      <c r="M40" s="2941"/>
      <c r="N40" s="2941"/>
      <c r="O40" s="2993"/>
      <c r="P40" s="3387"/>
      <c r="Q40" s="1535">
        <f t="shared" si="14"/>
        <v>111</v>
      </c>
      <c r="R40" s="716" t="s">
        <v>17</v>
      </c>
      <c r="S40" s="717">
        <f t="shared" si="10"/>
        <v>100</v>
      </c>
      <c r="T40" s="716" t="s">
        <v>17</v>
      </c>
      <c r="U40" s="717">
        <f t="shared" si="11"/>
        <v>100</v>
      </c>
      <c r="V40" s="716" t="s">
        <v>17</v>
      </c>
      <c r="W40" s="717">
        <f t="shared" si="12"/>
        <v>100</v>
      </c>
      <c r="X40" s="718"/>
      <c r="Y40" s="3387"/>
      <c r="Z40" s="719">
        <f t="shared" si="13"/>
        <v>111</v>
      </c>
      <c r="AA40" s="1536">
        <f t="shared" si="3"/>
        <v>1</v>
      </c>
      <c r="AB40" s="1536">
        <f t="shared" si="4"/>
        <v>1</v>
      </c>
      <c r="AC40" s="1536">
        <f t="shared" si="5"/>
        <v>1</v>
      </c>
    </row>
    <row r="41" spans="1:31" ht="15">
      <c r="A41" s="437" t="s">
        <v>2538</v>
      </c>
      <c r="B41" s="2162" t="s">
        <v>2617</v>
      </c>
      <c r="C41" s="637" t="s">
        <v>1</v>
      </c>
      <c r="D41" s="439"/>
      <c r="E41" s="440"/>
      <c r="F41" s="441"/>
      <c r="G41" s="442"/>
      <c r="H41" s="443"/>
      <c r="I41" s="440"/>
      <c r="J41" s="443"/>
      <c r="K41" s="722"/>
      <c r="L41" s="2942"/>
      <c r="M41" s="2934"/>
      <c r="N41" s="2934"/>
      <c r="O41" s="2943"/>
      <c r="P41" s="3380" t="str">
        <f>A41</f>
        <v>成交单价</v>
      </c>
      <c r="Q41" s="3380"/>
      <c r="R41" s="3411">
        <f>E41</f>
        <v>0</v>
      </c>
      <c r="S41" s="3411"/>
      <c r="T41" s="3411">
        <f>G41</f>
        <v>0</v>
      </c>
      <c r="U41" s="3411"/>
      <c r="V41" s="3411">
        <f>I41</f>
        <v>0</v>
      </c>
      <c r="W41" s="3411"/>
      <c r="X41" s="698"/>
      <c r="Y41" s="720"/>
      <c r="Z41" s="698"/>
      <c r="AA41" s="698"/>
      <c r="AB41" s="698"/>
      <c r="AC41" s="698"/>
    </row>
    <row r="42" spans="1:31" ht="15.75" thickBot="1">
      <c r="A42" s="444" t="s">
        <v>2487</v>
      </c>
      <c r="B42" s="638"/>
      <c r="C42" s="447" t="e">
        <f>R43</f>
        <v>#DIV/0!</v>
      </c>
      <c r="D42" s="2532" t="s">
        <v>2877</v>
      </c>
      <c r="E42" s="447" t="e">
        <f>R42</f>
        <v>#DIV/0!</v>
      </c>
      <c r="F42" s="2533"/>
      <c r="G42" s="446" t="e">
        <f>T42</f>
        <v>#DIV/0!</v>
      </c>
      <c r="H42" s="2533"/>
      <c r="I42" s="447" t="e">
        <f>V42</f>
        <v>#DIV/0!</v>
      </c>
      <c r="J42" s="2533"/>
      <c r="K42" s="2535">
        <f>F42+H42+J42</f>
        <v>0</v>
      </c>
      <c r="L42" s="2942"/>
      <c r="M42" s="2934"/>
      <c r="N42" s="2934"/>
      <c r="O42" s="2943"/>
      <c r="P42" s="3380" t="str">
        <f>A42</f>
        <v>比较价值（元/平方米）</v>
      </c>
      <c r="Q42" s="3380"/>
      <c r="R42" s="3442" t="e">
        <f>ROUND(PRODUCT(R41,AA7:AA40),0)</f>
        <v>#DIV/0!</v>
      </c>
      <c r="S42" s="3442"/>
      <c r="T42" s="3442" t="e">
        <f>ROUND(PRODUCT(T41,AB7:AB40),0)</f>
        <v>#DIV/0!</v>
      </c>
      <c r="U42" s="3442"/>
      <c r="V42" s="3442" t="e">
        <f>ROUND(PRODUCT(V41,AC7:AC40),0)</f>
        <v>#DIV/0!</v>
      </c>
      <c r="W42" s="3442"/>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2"/>
      <c r="M43" s="2934"/>
      <c r="N43" s="2934"/>
      <c r="O43" s="2943"/>
      <c r="P43" s="3377" t="str">
        <f>A43</f>
        <v>估价对象XX用房的比较价值（楼面单价，元/平方米）</v>
      </c>
      <c r="Q43" s="3378"/>
      <c r="R43" s="3443" t="e">
        <f>ROUND(IF(D42="简单平均",AVERAGE(R42:W42),R42*F42+T42*H42+V42*J42),0)</f>
        <v>#DIV/0!</v>
      </c>
      <c r="S43" s="3443"/>
      <c r="T43" s="3443"/>
      <c r="U43" s="3443"/>
      <c r="V43" s="3443"/>
      <c r="W43" s="3443"/>
      <c r="X43" s="698"/>
      <c r="Y43" s="698"/>
      <c r="Z43" s="698"/>
      <c r="AA43" s="698"/>
      <c r="AB43" s="698"/>
      <c r="AC43" s="698"/>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8" customFormat="1" ht="15" thickBot="1">
      <c r="A49" s="2946"/>
      <c r="B49" s="2949"/>
      <c r="C49" s="701"/>
      <c r="D49" s="699"/>
      <c r="E49" s="699"/>
      <c r="F49" s="699"/>
      <c r="G49" s="699"/>
      <c r="H49" s="699"/>
      <c r="I49" s="699"/>
      <c r="J49" s="699"/>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9" t="s">
        <v>2575</v>
      </c>
      <c r="B50" s="640" t="s">
        <v>2576</v>
      </c>
      <c r="C50" s="2163" t="s">
        <v>2577</v>
      </c>
      <c r="D50" s="2164" t="s">
        <v>2578</v>
      </c>
      <c r="E50" s="641" t="s">
        <v>2579</v>
      </c>
      <c r="F50" s="642" t="s">
        <v>2580</v>
      </c>
      <c r="G50" s="3395" t="s">
        <v>2581</v>
      </c>
      <c r="H50" s="3444"/>
      <c r="I50" s="1539" t="s">
        <v>2618</v>
      </c>
      <c r="J50" s="1539" t="str">
        <f>项目基本情况!F35</f>
        <v>天津</v>
      </c>
      <c r="K50" s="2166" t="s">
        <v>2583</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2584</v>
      </c>
      <c r="B51" s="644" t="e">
        <f>C43</f>
        <v>#DIV/0!</v>
      </c>
      <c r="C51" s="645">
        <v>1</v>
      </c>
      <c r="D51" s="1073">
        <v>1</v>
      </c>
      <c r="E51" s="645">
        <f>'数据-汇总表'!E8+'数据-汇总表'!E9</f>
        <v>54761.34</v>
      </c>
      <c r="F51" s="646" t="e">
        <f t="shared" ref="F51:F60" si="15">ROUND(B51*E51/10000,0)</f>
        <v>#DIV/0!</v>
      </c>
      <c r="G51" s="3391"/>
      <c r="H51" s="3380"/>
      <c r="I51" s="877">
        <v>1</v>
      </c>
      <c r="J51" s="877">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2585</v>
      </c>
      <c r="B52" s="223" t="e">
        <f>ROUND($C$43*C52*D52,0)</f>
        <v>#DIV/0!</v>
      </c>
      <c r="C52" s="175">
        <f t="shared" ref="C52:C60" si="16">IF($C$50="北京市系数",I52,J52)</f>
        <v>0</v>
      </c>
      <c r="D52" s="1074">
        <v>0.25</v>
      </c>
      <c r="E52" s="649"/>
      <c r="F52" s="646" t="e">
        <f t="shared" si="15"/>
        <v>#DIV/0!</v>
      </c>
      <c r="G52" s="3445" t="s">
        <v>2586</v>
      </c>
      <c r="H52" s="1016">
        <f>项目基本情况!B37</f>
        <v>0</v>
      </c>
      <c r="I52" s="877">
        <f>SUMIF(修正!A45:A56,H52,修正!B45:B56)</f>
        <v>0</v>
      </c>
      <c r="J52" s="878"/>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2587</v>
      </c>
      <c r="B53" s="223" t="e">
        <f t="shared" ref="B53:B60" si="17">ROUND($C$43*C53*D53,0)</f>
        <v>#DIV/0!</v>
      </c>
      <c r="C53" s="175">
        <f t="shared" si="16"/>
        <v>0</v>
      </c>
      <c r="D53" s="1074">
        <v>0.25</v>
      </c>
      <c r="E53" s="649"/>
      <c r="F53" s="646" t="e">
        <f t="shared" si="15"/>
        <v>#DIV/0!</v>
      </c>
      <c r="G53" s="3445"/>
      <c r="H53" s="1016">
        <f>项目基本情况!B37</f>
        <v>0</v>
      </c>
      <c r="I53" s="877">
        <f>SUMIF(修正!A45:A56,H53,修正!C45:C56)</f>
        <v>0</v>
      </c>
      <c r="J53" s="878"/>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2588</v>
      </c>
      <c r="B54" s="223" t="e">
        <f t="shared" si="17"/>
        <v>#DIV/0!</v>
      </c>
      <c r="C54" s="175">
        <f t="shared" si="16"/>
        <v>0</v>
      </c>
      <c r="D54" s="1074">
        <v>0.25</v>
      </c>
      <c r="E54" s="649"/>
      <c r="F54" s="646" t="e">
        <f t="shared" si="15"/>
        <v>#DIV/0!</v>
      </c>
      <c r="G54" s="3445"/>
      <c r="H54" s="1016">
        <f>项目基本情况!B37</f>
        <v>0</v>
      </c>
      <c r="I54" s="877">
        <f>SUMIF(修正!A45:A56,H54,修正!D45:D56)</f>
        <v>0</v>
      </c>
      <c r="J54" s="878"/>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2589</v>
      </c>
      <c r="B55" s="223" t="e">
        <f t="shared" si="17"/>
        <v>#DIV/0!</v>
      </c>
      <c r="C55" s="175">
        <f t="shared" si="16"/>
        <v>0</v>
      </c>
      <c r="D55" s="1074">
        <v>0.25</v>
      </c>
      <c r="E55" s="649"/>
      <c r="F55" s="646" t="e">
        <f t="shared" si="15"/>
        <v>#DIV/0!</v>
      </c>
      <c r="G55" s="3445"/>
      <c r="H55" s="1016">
        <f>项目基本情况!B37</f>
        <v>0</v>
      </c>
      <c r="I55" s="877">
        <f>SUMIF(修正!A45:A56,H55,修正!E45:E56)</f>
        <v>0</v>
      </c>
      <c r="J55" s="878"/>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2590</v>
      </c>
      <c r="B56" s="223" t="e">
        <f t="shared" si="17"/>
        <v>#DIV/0!</v>
      </c>
      <c r="C56" s="175">
        <f t="shared" si="16"/>
        <v>0</v>
      </c>
      <c r="D56" s="1074">
        <v>0.25</v>
      </c>
      <c r="E56" s="222">
        <f>'数据-汇总表'!E11</f>
        <v>0</v>
      </c>
      <c r="F56" s="646" t="e">
        <f t="shared" si="15"/>
        <v>#DIV/0!</v>
      </c>
      <c r="G56" s="2167" t="s">
        <v>2591</v>
      </c>
      <c r="H56" s="1016">
        <f>项目基本情况!C37</f>
        <v>0</v>
      </c>
      <c r="I56" s="877">
        <f>SUMIF(修正!A45:A56,H56,修正!F45:F56)</f>
        <v>0</v>
      </c>
      <c r="J56" s="878"/>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2592</v>
      </c>
      <c r="B57" s="223" t="e">
        <f t="shared" si="17"/>
        <v>#DIV/0!</v>
      </c>
      <c r="C57" s="175">
        <f t="shared" si="16"/>
        <v>0</v>
      </c>
      <c r="D57" s="1074">
        <v>0.25</v>
      </c>
      <c r="E57" s="222">
        <f>'数据-汇总表'!E12</f>
        <v>0</v>
      </c>
      <c r="F57" s="646" t="e">
        <f t="shared" si="15"/>
        <v>#DIV/0!</v>
      </c>
      <c r="G57" s="1021" t="s">
        <v>2593</v>
      </c>
      <c r="H57" s="1016">
        <f>IF(G57="商业",项目基本情况!B37,IF(G57="办公",项目基本情况!C37,IF(G57="住宅",项目基本情况!D37,项目基本情况!E37)))</f>
        <v>0</v>
      </c>
      <c r="I57" s="877">
        <f>SUMIF(修正!A45:A56,H57,修正!G45:G56)</f>
        <v>0</v>
      </c>
      <c r="J57" s="878"/>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2594</v>
      </c>
      <c r="B58" s="223" t="e">
        <f t="shared" si="17"/>
        <v>#DIV/0!</v>
      </c>
      <c r="C58" s="175">
        <f t="shared" si="16"/>
        <v>0</v>
      </c>
      <c r="D58" s="1074">
        <v>0.25</v>
      </c>
      <c r="E58" s="222">
        <f>'数据-汇总表'!E13</f>
        <v>0</v>
      </c>
      <c r="F58" s="646" t="e">
        <f t="shared" si="15"/>
        <v>#DIV/0!</v>
      </c>
      <c r="G58" s="1021" t="s">
        <v>2595</v>
      </c>
      <c r="H58" s="1016">
        <f>IF(G58="商业",项目基本情况!B37,IF(G58="办公",项目基本情况!C37,IF(G58="住宅",项目基本情况!D37,项目基本情况!E37)))</f>
        <v>0</v>
      </c>
      <c r="I58" s="877">
        <f>SUMIF(修正!A45:A56,H58,修正!H45:H56)</f>
        <v>0</v>
      </c>
      <c r="J58" s="878"/>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2596</v>
      </c>
      <c r="B59" s="223" t="e">
        <f t="shared" si="17"/>
        <v>#DIV/0!</v>
      </c>
      <c r="C59" s="175">
        <f t="shared" si="16"/>
        <v>0</v>
      </c>
      <c r="D59" s="1074">
        <v>0.25</v>
      </c>
      <c r="E59" s="222">
        <f>'数据-汇总表'!E14</f>
        <v>0</v>
      </c>
      <c r="F59" s="646" t="e">
        <f t="shared" si="15"/>
        <v>#DIV/0!</v>
      </c>
      <c r="G59" s="2167" t="s">
        <v>2586</v>
      </c>
      <c r="H59" s="1016">
        <f>项目基本情况!B37</f>
        <v>0</v>
      </c>
      <c r="I59" s="877">
        <f>SUMIF(修正!A45:A56,H59,修正!H45:H56)</f>
        <v>0</v>
      </c>
      <c r="J59" s="878"/>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2597</v>
      </c>
      <c r="B60" s="223" t="e">
        <f t="shared" si="17"/>
        <v>#DIV/0!</v>
      </c>
      <c r="C60" s="175">
        <f t="shared" si="16"/>
        <v>0</v>
      </c>
      <c r="D60" s="1074">
        <v>0.25</v>
      </c>
      <c r="E60" s="222">
        <f>'数据-汇总表'!E15</f>
        <v>0</v>
      </c>
      <c r="F60" s="646" t="e">
        <f t="shared" si="15"/>
        <v>#DIV/0!</v>
      </c>
      <c r="G60" s="2168" t="s">
        <v>2591</v>
      </c>
      <c r="H60" s="1026">
        <f>项目基本情况!C37</f>
        <v>0</v>
      </c>
      <c r="I60" s="877">
        <f>SUMIF(修正!A45:A56,H60,修正!H45:H56)</f>
        <v>0</v>
      </c>
      <c r="J60" s="878"/>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2598</v>
      </c>
      <c r="B61" s="651" t="s">
        <v>28</v>
      </c>
      <c r="C61" s="651" t="s">
        <v>29</v>
      </c>
      <c r="D61" s="651" t="s">
        <v>997</v>
      </c>
      <c r="E61" s="651">
        <f>IF(B41="楼面地价",SUM(E51:E60),'数据-汇总表'!D3)</f>
        <v>30643.66</v>
      </c>
      <c r="F61" s="652" t="e">
        <f>IF(B41="楼面地价",SUM(F51:F60),ROUND(C43*E61/10000,0))</f>
        <v>#DIV/0!</v>
      </c>
      <c r="G61" s="1068"/>
      <c r="H61" s="1068"/>
      <c r="I61" s="1068"/>
      <c r="J61" s="1068"/>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6"/>
      <c r="B62" s="1058"/>
      <c r="C62" s="1060"/>
      <c r="D62" s="1056"/>
      <c r="E62" s="1056"/>
      <c r="F62" s="1056"/>
      <c r="G62" s="1056"/>
      <c r="H62" s="1056"/>
      <c r="I62" s="1056"/>
      <c r="J62" s="1056"/>
      <c r="K62" s="1017"/>
      <c r="L62" s="1018"/>
      <c r="M62" s="1056"/>
      <c r="N62" s="1056"/>
      <c r="O62" s="1056"/>
      <c r="P62" s="2943"/>
      <c r="Q62" s="2943"/>
      <c r="R62" s="2943"/>
      <c r="S62" s="2943"/>
      <c r="T62" s="2943"/>
      <c r="U62" s="2943"/>
      <c r="V62" s="2943"/>
      <c r="W62" s="2943"/>
      <c r="X62" s="2943"/>
      <c r="Y62" s="2943"/>
      <c r="Z62" s="2943"/>
      <c r="AA62" s="2943"/>
      <c r="AB62" s="2943"/>
      <c r="AC62" s="2943"/>
      <c r="AD62" s="2943"/>
      <c r="AE62" s="294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2" t="s">
        <v>2492</v>
      </c>
      <c r="B64" s="698"/>
      <c r="C64" s="703"/>
      <c r="D64" s="703"/>
      <c r="E64" s="703"/>
      <c r="F64" s="704"/>
      <c r="G64" s="704"/>
      <c r="H64" s="703"/>
      <c r="I64" s="703"/>
      <c r="J64" s="703"/>
      <c r="K64" s="705"/>
      <c r="L64" s="706"/>
      <c r="M64" s="703"/>
      <c r="N64" s="703"/>
      <c r="O64" s="1069"/>
      <c r="P64" s="2987"/>
      <c r="Q64" s="2957"/>
      <c r="R64" s="2943"/>
      <c r="S64" s="2943"/>
      <c r="T64" s="2943"/>
      <c r="U64" s="2943"/>
      <c r="V64" s="2943"/>
      <c r="W64" s="2943"/>
      <c r="X64" s="2943"/>
      <c r="Y64" s="2943"/>
      <c r="Z64" s="2943"/>
      <c r="AA64" s="2943"/>
      <c r="AB64" s="2943"/>
      <c r="AC64" s="2943"/>
      <c r="AD64" s="2943"/>
      <c r="AE64" s="2943"/>
    </row>
    <row r="65" spans="1:31" s="464" customFormat="1" ht="15">
      <c r="A65" s="2169" t="s">
        <v>2599</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2619</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71" t="s">
        <v>2403</v>
      </c>
      <c r="B67" s="472"/>
      <c r="C67" s="473"/>
      <c r="D67" s="474"/>
      <c r="E67" s="474"/>
      <c r="F67" s="474"/>
      <c r="G67" s="474"/>
      <c r="H67" s="474"/>
      <c r="I67" s="474"/>
      <c r="J67" s="474"/>
      <c r="K67" s="474"/>
      <c r="L67" s="474"/>
      <c r="M67" s="475"/>
      <c r="N67" s="475"/>
      <c r="O67" s="476"/>
      <c r="P67" s="2957"/>
      <c r="Q67" s="2957"/>
      <c r="R67" s="2878"/>
      <c r="S67" s="2878"/>
      <c r="T67" s="2878"/>
      <c r="U67" s="2878"/>
      <c r="V67" s="2878"/>
      <c r="W67" s="2878"/>
      <c r="X67" s="2878"/>
      <c r="Y67" s="2878"/>
      <c r="Z67" s="2878"/>
      <c r="AA67" s="2878"/>
      <c r="AB67" s="2878"/>
      <c r="AC67" s="2878"/>
      <c r="AD67" s="2878"/>
      <c r="AE67" s="2878"/>
    </row>
    <row r="68" spans="1:31" s="113" customFormat="1" ht="15">
      <c r="A68" s="477" t="s">
        <v>2368</v>
      </c>
      <c r="B68" s="466"/>
      <c r="C68" s="478" t="s">
        <v>2470</v>
      </c>
      <c r="D68" s="479"/>
      <c r="E68" s="479"/>
      <c r="F68" s="479"/>
      <c r="G68" s="479"/>
      <c r="H68" s="479"/>
      <c r="I68" s="479"/>
      <c r="J68" s="479"/>
      <c r="K68" s="479"/>
      <c r="L68" s="480"/>
      <c r="M68" s="481"/>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7"/>
      <c r="B69" s="466"/>
      <c r="C69" s="594">
        <v>100</v>
      </c>
      <c r="D69" s="468"/>
      <c r="E69" s="468"/>
      <c r="F69" s="468"/>
      <c r="G69" s="468"/>
      <c r="H69" s="468"/>
      <c r="I69" s="468"/>
      <c r="J69" s="468"/>
      <c r="K69" s="468"/>
      <c r="L69" s="468"/>
      <c r="M69" s="470"/>
      <c r="N69" s="2970"/>
      <c r="O69" s="2970"/>
      <c r="P69" s="2957"/>
      <c r="Q69" s="2957"/>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0"/>
      <c r="B71" s="491"/>
      <c r="C71" s="492"/>
      <c r="D71" s="492"/>
      <c r="E71" s="492"/>
      <c r="F71" s="492"/>
      <c r="G71" s="492"/>
      <c r="H71" s="492"/>
      <c r="I71" s="492"/>
      <c r="J71" s="492"/>
      <c r="K71" s="492"/>
      <c r="L71" s="492"/>
      <c r="M71" s="493"/>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0"/>
      <c r="B72" s="494" t="s">
        <v>2375</v>
      </c>
      <c r="C72" s="495"/>
      <c r="D72" s="495"/>
      <c r="E72" s="495"/>
      <c r="F72" s="495"/>
      <c r="G72" s="495"/>
      <c r="H72" s="495"/>
      <c r="I72" s="495"/>
      <c r="J72" s="495"/>
      <c r="K72" s="496"/>
      <c r="L72" s="497"/>
      <c r="M72" s="498"/>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0"/>
      <c r="B73" s="499"/>
      <c r="C73" s="500"/>
      <c r="D73" s="500"/>
      <c r="E73" s="500"/>
      <c r="F73" s="500"/>
      <c r="G73" s="500"/>
      <c r="H73" s="500"/>
      <c r="I73" s="500"/>
      <c r="J73" s="500"/>
      <c r="K73" s="500"/>
      <c r="L73" s="500"/>
      <c r="M73" s="501"/>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0"/>
      <c r="B75" s="504"/>
      <c r="C75" s="505"/>
      <c r="D75" s="505"/>
      <c r="E75" s="505"/>
      <c r="F75" s="505"/>
      <c r="G75" s="505"/>
      <c r="H75" s="505"/>
      <c r="I75" s="505"/>
      <c r="J75" s="505"/>
      <c r="K75" s="506"/>
      <c r="L75" s="507"/>
      <c r="M75" s="508"/>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29" customFormat="1" ht="15.75"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5.75"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5.75" thickTop="1">
      <c r="A79" s="509"/>
      <c r="B79" s="494">
        <f>B13</f>
        <v>111</v>
      </c>
      <c r="C79" s="510"/>
      <c r="D79" s="510"/>
      <c r="E79" s="510"/>
      <c r="F79" s="510"/>
      <c r="G79" s="510"/>
      <c r="H79" s="511"/>
      <c r="I79" s="511"/>
      <c r="J79" s="511"/>
      <c r="K79" s="511"/>
      <c r="L79" s="512"/>
      <c r="M79" s="513"/>
      <c r="N79" s="2973"/>
      <c r="O79" s="2973"/>
      <c r="P79" s="2941"/>
      <c r="Q79" s="2967"/>
      <c r="R79" s="2965"/>
      <c r="S79" s="2965"/>
      <c r="T79" s="2965"/>
      <c r="U79" s="2965"/>
      <c r="V79" s="2965"/>
      <c r="W79" s="2965"/>
      <c r="X79" s="2965"/>
      <c r="Y79" s="2965"/>
      <c r="Z79" s="2965"/>
      <c r="AA79" s="2965"/>
      <c r="AB79" s="2965"/>
      <c r="AC79" s="2965"/>
      <c r="AD79" s="2965"/>
      <c r="AE79" s="2965"/>
    </row>
    <row r="80" spans="1:31" s="429" customFormat="1" ht="15.75"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5.75"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5.75"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c r="A83" s="483" t="s">
        <v>2377</v>
      </c>
      <c r="B83" s="484" t="s">
        <v>2523</v>
      </c>
      <c r="C83" s="529" t="s">
        <v>2415</v>
      </c>
      <c r="D83" s="529" t="s">
        <v>2416</v>
      </c>
      <c r="E83" s="529" t="s">
        <v>2417</v>
      </c>
      <c r="F83" s="529" t="s">
        <v>2418</v>
      </c>
      <c r="G83" s="529" t="s">
        <v>2419</v>
      </c>
      <c r="H83" s="485"/>
      <c r="I83" s="485"/>
      <c r="J83" s="485"/>
      <c r="K83" s="530"/>
      <c r="L83" s="531"/>
      <c r="M83" s="532"/>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0"/>
      <c r="B85" s="494" t="s">
        <v>2420</v>
      </c>
      <c r="C85" s="534" t="s">
        <v>2415</v>
      </c>
      <c r="D85" s="534" t="s">
        <v>2416</v>
      </c>
      <c r="E85" s="534" t="s">
        <v>2417</v>
      </c>
      <c r="F85" s="534" t="s">
        <v>2418</v>
      </c>
      <c r="G85" s="534" t="s">
        <v>2419</v>
      </c>
      <c r="H85" s="495"/>
      <c r="I85" s="495"/>
      <c r="J85" s="495"/>
      <c r="K85" s="496"/>
      <c r="L85" s="497"/>
      <c r="M85" s="498"/>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5"/>
      <c r="B87" s="494" t="s">
        <v>2602</v>
      </c>
      <c r="C87" s="529" t="s">
        <v>2415</v>
      </c>
      <c r="D87" s="529" t="s">
        <v>2416</v>
      </c>
      <c r="E87" s="529" t="s">
        <v>2417</v>
      </c>
      <c r="F87" s="529" t="s">
        <v>2418</v>
      </c>
      <c r="G87" s="529" t="s">
        <v>2419</v>
      </c>
      <c r="H87" s="534"/>
      <c r="I87" s="534"/>
      <c r="J87" s="534"/>
      <c r="K87" s="534"/>
      <c r="L87" s="653"/>
      <c r="M87" s="577"/>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5"/>
      <c r="B89" s="494" t="s">
        <v>2603</v>
      </c>
      <c r="C89" s="529" t="s">
        <v>2415</v>
      </c>
      <c r="D89" s="529" t="s">
        <v>2416</v>
      </c>
      <c r="E89" s="529" t="s">
        <v>2417</v>
      </c>
      <c r="F89" s="529" t="s">
        <v>2418</v>
      </c>
      <c r="G89" s="529" t="s">
        <v>2419</v>
      </c>
      <c r="H89" s="534"/>
      <c r="I89" s="534"/>
      <c r="J89" s="534"/>
      <c r="K89" s="534"/>
      <c r="L89" s="534"/>
      <c r="M89" s="577"/>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7"/>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0"/>
      <c r="B97" s="494" t="s">
        <v>2509</v>
      </c>
      <c r="C97" s="510"/>
      <c r="D97" s="510"/>
      <c r="E97" s="510"/>
      <c r="F97" s="510"/>
      <c r="G97" s="510"/>
      <c r="H97" s="539"/>
      <c r="I97" s="539"/>
      <c r="J97" s="539"/>
      <c r="K97" s="540"/>
      <c r="L97" s="541"/>
      <c r="M97" s="542"/>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0"/>
      <c r="B99" s="494" t="s">
        <v>2567</v>
      </c>
      <c r="C99" s="539"/>
      <c r="D99" s="539"/>
      <c r="E99" s="539"/>
      <c r="F99" s="539"/>
      <c r="G99" s="539"/>
      <c r="H99" s="539"/>
      <c r="I99" s="539"/>
      <c r="J99" s="539"/>
      <c r="K99" s="540"/>
      <c r="L99" s="541"/>
      <c r="M99" s="542"/>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0"/>
      <c r="B101" s="502">
        <f>B31</f>
        <v>111</v>
      </c>
      <c r="C101" s="510"/>
      <c r="D101" s="510"/>
      <c r="E101" s="510"/>
      <c r="F101" s="510"/>
      <c r="G101" s="543"/>
      <c r="H101" s="543"/>
      <c r="I101" s="543"/>
      <c r="J101" s="543"/>
      <c r="K101" s="544"/>
      <c r="L101" s="545"/>
      <c r="M101" s="546"/>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0"/>
      <c r="B102" s="525"/>
      <c r="C102" s="516"/>
      <c r="D102" s="492"/>
      <c r="E102" s="492"/>
      <c r="F102" s="492"/>
      <c r="G102" s="547"/>
      <c r="H102" s="547"/>
      <c r="I102" s="547"/>
      <c r="J102" s="547"/>
      <c r="K102" s="547"/>
      <c r="L102" s="547"/>
      <c r="M102" s="548"/>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0"/>
      <c r="B103" s="494">
        <f>B32</f>
        <v>111</v>
      </c>
      <c r="C103" s="510"/>
      <c r="D103" s="510"/>
      <c r="E103" s="510"/>
      <c r="F103" s="510"/>
      <c r="G103" s="539"/>
      <c r="H103" s="539"/>
      <c r="I103" s="539"/>
      <c r="J103" s="539"/>
      <c r="K103" s="540"/>
      <c r="L103" s="541"/>
      <c r="M103" s="542"/>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0"/>
      <c r="B104" s="499"/>
      <c r="C104" s="516"/>
      <c r="D104" s="516"/>
      <c r="E104" s="516"/>
      <c r="F104" s="516"/>
      <c r="G104" s="492"/>
      <c r="H104" s="492"/>
      <c r="I104" s="492"/>
      <c r="J104" s="492"/>
      <c r="K104" s="492"/>
      <c r="L104" s="492"/>
      <c r="M104" s="493"/>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9" customFormat="1" ht="15"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5.75"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3" t="s">
        <v>2381</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0"/>
      <c r="B108" s="502"/>
      <c r="C108" s="551"/>
      <c r="D108" s="551"/>
      <c r="E108" s="551"/>
      <c r="F108" s="551"/>
      <c r="G108" s="551"/>
      <c r="H108" s="551"/>
      <c r="I108" s="551"/>
      <c r="J108" s="552"/>
      <c r="K108" s="552"/>
      <c r="L108" s="553"/>
      <c r="M108" s="554"/>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0"/>
      <c r="B109" s="499"/>
      <c r="C109" s="526"/>
      <c r="D109" s="547"/>
      <c r="E109" s="547"/>
      <c r="F109" s="547"/>
      <c r="G109" s="547"/>
      <c r="H109" s="547"/>
      <c r="I109" s="547"/>
      <c r="J109" s="547"/>
      <c r="K109" s="547"/>
      <c r="L109" s="547"/>
      <c r="M109" s="548"/>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5"/>
      <c r="B110" s="494" t="s">
        <v>2609</v>
      </c>
      <c r="C110" s="539"/>
      <c r="D110" s="539"/>
      <c r="E110" s="539"/>
      <c r="F110" s="539"/>
      <c r="G110" s="539"/>
      <c r="H110" s="539"/>
      <c r="I110" s="539"/>
      <c r="J110" s="539"/>
      <c r="K110" s="540"/>
      <c r="L110" s="541"/>
      <c r="M110" s="542"/>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9" customFormat="1" ht="15" thickTop="1">
      <c r="A112" s="549"/>
      <c r="B112" s="494" t="s">
        <v>2611</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2612</v>
      </c>
      <c r="C114" s="510"/>
      <c r="D114" s="510"/>
      <c r="E114" s="539"/>
      <c r="F114" s="539"/>
      <c r="G114" s="539"/>
      <c r="H114" s="539"/>
      <c r="I114" s="539"/>
      <c r="J114" s="539"/>
      <c r="K114" s="540"/>
      <c r="L114" s="541"/>
      <c r="M114" s="542"/>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5"/>
      <c r="B116" s="494">
        <f>B38</f>
        <v>111</v>
      </c>
      <c r="C116" s="510"/>
      <c r="D116" s="510"/>
      <c r="E116" s="510"/>
      <c r="F116" s="510"/>
      <c r="G116" s="510"/>
      <c r="H116" s="539"/>
      <c r="I116" s="539"/>
      <c r="J116" s="539"/>
      <c r="K116" s="540"/>
      <c r="L116" s="541"/>
      <c r="M116" s="542"/>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0"/>
      <c r="B117" s="499"/>
      <c r="C117" s="516"/>
      <c r="D117" s="492"/>
      <c r="E117" s="492"/>
      <c r="F117" s="492"/>
      <c r="G117" s="492"/>
      <c r="H117" s="492"/>
      <c r="I117" s="492"/>
      <c r="J117" s="492"/>
      <c r="K117" s="492"/>
      <c r="L117" s="492"/>
      <c r="M117" s="493"/>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5"/>
      <c r="B118" s="494">
        <f>B39</f>
        <v>111</v>
      </c>
      <c r="C118" s="510"/>
      <c r="D118" s="510"/>
      <c r="E118" s="510"/>
      <c r="F118" s="510"/>
      <c r="G118" s="539"/>
      <c r="H118" s="539"/>
      <c r="I118" s="539"/>
      <c r="J118" s="539"/>
      <c r="K118" s="540"/>
      <c r="L118" s="541"/>
      <c r="M118" s="542"/>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0"/>
      <c r="B119" s="499"/>
      <c r="C119" s="516"/>
      <c r="D119" s="516"/>
      <c r="E119" s="516"/>
      <c r="F119" s="516"/>
      <c r="G119" s="492"/>
      <c r="H119" s="492"/>
      <c r="I119" s="492"/>
      <c r="J119" s="492"/>
      <c r="K119" s="492"/>
      <c r="L119" s="492"/>
      <c r="M119" s="493"/>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9" customFormat="1" ht="15"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5.75"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1" t="s">
        <v>2621</v>
      </c>
      <c r="B1" s="202"/>
      <c r="C1" s="206" t="s">
        <v>2622</v>
      </c>
      <c r="D1" s="347">
        <f>SUM(D29:D30,D33:D39)</f>
        <v>0</v>
      </c>
      <c r="E1" s="2175"/>
      <c r="F1" s="2175"/>
      <c r="G1" s="2175"/>
      <c r="H1" s="2175"/>
      <c r="I1" s="2175"/>
      <c r="J1" s="2175"/>
      <c r="K1" s="1278"/>
      <c r="L1" s="2176" t="s">
        <v>2623</v>
      </c>
      <c r="M1" s="992">
        <f>SUMPRODUCT((区片价!B5:B9=I2)*(区片价!C3:F3=E2)*(区片价!C5:F9))</f>
        <v>0</v>
      </c>
      <c r="N1" s="995">
        <f>SUMPRODUCT((因素修正幅度!B5:B9=I2)*(因素修正幅度!C3:F3=E2)*(因素修正幅度!C5:F9))</f>
        <v>0</v>
      </c>
      <c r="O1" s="2177"/>
      <c r="P1" s="2177"/>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75">
      <c r="A2" s="206" t="s">
        <v>2629</v>
      </c>
      <c r="B2" s="209" t="e">
        <f>C26</f>
        <v>#DIV/0!</v>
      </c>
      <c r="C2" s="2179" t="s">
        <v>2630</v>
      </c>
      <c r="D2" s="2180" t="s">
        <v>2631</v>
      </c>
      <c r="E2" s="2181"/>
      <c r="F2" s="2180" t="s">
        <v>2632</v>
      </c>
      <c r="G2" s="2182">
        <f>IF(E2="商业",项目基本情况!B37,IF(E2="办公",项目基本情况!C37,IF(E2="住宅",项目基本情况!D37,项目基本情况!E37)))</f>
        <v>0</v>
      </c>
      <c r="H2" s="2180" t="s">
        <v>2633</v>
      </c>
      <c r="I2" s="2182">
        <f>IF(E2="商业",项目基本情况!B38,IF(E2="办公",项目基本情况!C38,IF(E2="住宅",项目基本情况!D38,项目基本情况!E38)))</f>
        <v>0</v>
      </c>
      <c r="J2" s="2183"/>
      <c r="K2" s="1278"/>
      <c r="L2" s="2184"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2635</v>
      </c>
      <c r="B3" s="209" t="e">
        <f>ROUND(B2*10000/D1,0)</f>
        <v>#DIV/0!</v>
      </c>
      <c r="C3" s="2179" t="s">
        <v>2636</v>
      </c>
      <c r="D3" s="2180" t="s">
        <v>2637</v>
      </c>
      <c r="E3" s="2185"/>
      <c r="F3" s="2186" t="s">
        <v>2638</v>
      </c>
      <c r="G3" s="853">
        <f>IF(F3="宗地容积率",'数据-汇总表'!I4,IF(F3="估价对象容积率",'数据-汇总表'!I6,'数据-汇总表'!I7))</f>
        <v>1.36</v>
      </c>
      <c r="H3" s="174" t="s">
        <v>2639</v>
      </c>
      <c r="I3" s="879"/>
      <c r="J3" s="2183" t="s">
        <v>2640</v>
      </c>
      <c r="K3" s="1278"/>
      <c r="L3" s="2184" t="s">
        <v>2641</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53"/>
      <c r="B4" s="3454"/>
      <c r="C4" s="3454"/>
      <c r="D4" s="3455"/>
      <c r="E4" s="3455"/>
      <c r="F4" s="3455"/>
      <c r="G4" s="3455"/>
      <c r="H4" s="3455"/>
      <c r="I4" s="3455"/>
      <c r="J4" s="3456"/>
      <c r="K4" s="1278"/>
      <c r="L4" s="2184" t="s">
        <v>2642</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6" customFormat="1" ht="15.75" thickBot="1">
      <c r="A5" s="2187" t="s">
        <v>807</v>
      </c>
      <c r="B5" s="2188" t="s">
        <v>2643</v>
      </c>
      <c r="C5" s="854" t="e">
        <f>ROUND(IF(E2="商业",C6*C7+C16,(IF(E2="住宅",C6*C12+C16,C6+C16))),0)</f>
        <v>#DIV/0!</v>
      </c>
      <c r="D5" s="1522" t="e">
        <f>ROUND(C6+C16,0)</f>
        <v>#DIV/0!</v>
      </c>
      <c r="E5" s="1522"/>
      <c r="F5" s="2189"/>
      <c r="G5" s="2190"/>
      <c r="H5" s="2190"/>
      <c r="I5" s="2190"/>
      <c r="J5" s="2191"/>
      <c r="K5" s="2192"/>
      <c r="L5" s="2184" t="s">
        <v>2644</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3"/>
      <c r="AD5" s="2194"/>
      <c r="AE5" s="2194"/>
      <c r="AF5" s="2194"/>
      <c r="AG5" s="2194"/>
      <c r="AH5" s="2194"/>
      <c r="AI5" s="2194"/>
      <c r="AJ5" s="2195"/>
    </row>
    <row r="6" spans="1:36" ht="15.75" thickBot="1">
      <c r="A6" s="2197" t="s">
        <v>2645</v>
      </c>
      <c r="B6" s="2198" t="s">
        <v>2646</v>
      </c>
      <c r="C6" s="855">
        <f>SUMIF(L1:L12,G2,M1:M12)</f>
        <v>0</v>
      </c>
      <c r="D6" s="2199" t="s">
        <v>2647</v>
      </c>
      <c r="E6" s="2200"/>
      <c r="F6" s="2200"/>
      <c r="G6" s="2201"/>
      <c r="H6" s="2201"/>
      <c r="I6" s="2201"/>
      <c r="J6" s="2202"/>
      <c r="K6" s="1567"/>
      <c r="L6" s="2184" t="s">
        <v>2648</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3"/>
      <c r="AD6" s="2194"/>
      <c r="AE6" s="2194"/>
      <c r="AF6" s="2194"/>
      <c r="AG6" s="2194"/>
      <c r="AH6" s="2194"/>
      <c r="AI6" s="2194"/>
      <c r="AJ6" s="2195"/>
    </row>
    <row r="7" spans="1:36" ht="24">
      <c r="A7" s="3457" t="str">
        <f>IF(E2="商业",IF(C8="不临58条商业街","",2),"")</f>
        <v/>
      </c>
      <c r="B7" s="2203" t="s">
        <v>2649</v>
      </c>
      <c r="C7" s="856" t="e">
        <f>IF(C8="不临58条商业街",1,ROUND(1+(1.6*E8+1.2*E9+0.8*E10+0.4*E11)*C9,4))</f>
        <v>#DIV/0!</v>
      </c>
      <c r="D7" s="2204" t="s">
        <v>2650</v>
      </c>
      <c r="E7" s="880"/>
      <c r="F7" s="2205"/>
      <c r="G7" s="2206"/>
      <c r="H7" s="2206"/>
      <c r="I7" s="2206"/>
      <c r="J7" s="2207"/>
      <c r="K7" s="1567"/>
      <c r="L7" s="2184" t="s">
        <v>2651</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2652</v>
      </c>
      <c r="X7" s="1374">
        <f>G2</f>
        <v>0</v>
      </c>
      <c r="Y7" s="1374" t="s">
        <v>2653</v>
      </c>
      <c r="Z7" s="1375">
        <f>G3</f>
        <v>1.36</v>
      </c>
      <c r="AA7" s="1376"/>
      <c r="AB7" s="1376"/>
      <c r="AC7" s="1377"/>
      <c r="AD7" s="1378"/>
      <c r="AE7" s="1378"/>
      <c r="AF7" s="1378"/>
      <c r="AG7" s="1378"/>
      <c r="AH7" s="1378"/>
      <c r="AI7" s="1378"/>
      <c r="AJ7" s="1379"/>
    </row>
    <row r="8" spans="1:36" ht="15">
      <c r="A8" s="3458"/>
      <c r="B8" s="174" t="s">
        <v>2654</v>
      </c>
      <c r="C8" s="2208"/>
      <c r="D8" s="857" t="s">
        <v>139</v>
      </c>
      <c r="E8" s="858" t="e">
        <f>ROUND(C11/E7,4)</f>
        <v>#DIV/0!</v>
      </c>
      <c r="F8" s="2209" t="s">
        <v>2655</v>
      </c>
      <c r="G8" s="2210"/>
      <c r="H8" s="2210"/>
      <c r="I8" s="2210"/>
      <c r="J8" s="2211"/>
      <c r="K8" s="1278"/>
      <c r="L8" s="2184" t="s">
        <v>2656</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50" t="s">
        <v>2657</v>
      </c>
      <c r="X8" s="3451"/>
      <c r="Y8" s="1380" t="s">
        <v>2658</v>
      </c>
      <c r="Z8" s="1380" t="s">
        <v>2659</v>
      </c>
      <c r="AA8" s="1380" t="s">
        <v>2660</v>
      </c>
      <c r="AB8" s="1380" t="s">
        <v>2661</v>
      </c>
      <c r="AC8" s="1380" t="s">
        <v>2662</v>
      </c>
      <c r="AD8" s="1380" t="s">
        <v>2663</v>
      </c>
      <c r="AE8" s="1380" t="s">
        <v>2664</v>
      </c>
      <c r="AF8" s="1380" t="s">
        <v>2665</v>
      </c>
      <c r="AG8" s="1380" t="s">
        <v>2666</v>
      </c>
      <c r="AH8" s="1380" t="s">
        <v>2667</v>
      </c>
      <c r="AI8" s="1380" t="s">
        <v>2668</v>
      </c>
      <c r="AJ8" s="1380" t="s">
        <v>2669</v>
      </c>
    </row>
    <row r="9" spans="1:36" ht="15">
      <c r="A9" s="3458"/>
      <c r="B9" s="174" t="s">
        <v>2670</v>
      </c>
      <c r="C9" s="859">
        <f>SUMIF(修正!C59:C119,C8,修正!E59:E119)</f>
        <v>0</v>
      </c>
      <c r="D9" s="175" t="s">
        <v>140</v>
      </c>
      <c r="E9" s="175" t="e">
        <f>ROUND(C11/E7,4)</f>
        <v>#DIV/0!</v>
      </c>
      <c r="F9" s="2209" t="s">
        <v>2671</v>
      </c>
      <c r="G9" s="2210"/>
      <c r="H9" s="2210"/>
      <c r="I9" s="2210"/>
      <c r="J9" s="2211"/>
      <c r="K9" s="1278"/>
      <c r="L9" s="2184" t="s">
        <v>2672</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52" t="s">
        <v>2673</v>
      </c>
      <c r="X9" s="1381" t="s">
        <v>2674</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58"/>
      <c r="B10" s="174" t="s">
        <v>2675</v>
      </c>
      <c r="C10" s="175">
        <f>SUMIF(修正!C59:C119,C8,修正!F59:F119)</f>
        <v>0</v>
      </c>
      <c r="D10" s="175" t="s">
        <v>141</v>
      </c>
      <c r="E10" s="175" t="e">
        <f>ROUND(C11/E7,4)</f>
        <v>#DIV/0!</v>
      </c>
      <c r="F10" s="2209" t="s">
        <v>2676</v>
      </c>
      <c r="G10" s="2210"/>
      <c r="H10" s="2210"/>
      <c r="I10" s="2210"/>
      <c r="J10" s="2211"/>
      <c r="K10" s="1278"/>
      <c r="L10" s="2184" t="s">
        <v>2677</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5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58"/>
      <c r="B11" s="2212" t="s">
        <v>2678</v>
      </c>
      <c r="C11" s="860">
        <f>C10/4</f>
        <v>0</v>
      </c>
      <c r="D11" s="860" t="s">
        <v>142</v>
      </c>
      <c r="E11" s="860" t="e">
        <f>ROUND(C11/E7,4)</f>
        <v>#DIV/0!</v>
      </c>
      <c r="F11" s="2213" t="s">
        <v>2679</v>
      </c>
      <c r="G11" s="2214"/>
      <c r="H11" s="2214"/>
      <c r="I11" s="2214"/>
      <c r="J11" s="2215"/>
      <c r="K11" s="1278"/>
      <c r="L11" s="2184" t="s">
        <v>2680</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52" t="s">
        <v>2681</v>
      </c>
      <c r="X11" s="1384" t="s">
        <v>2682</v>
      </c>
      <c r="Y11" s="1385">
        <f>$G$3</f>
        <v>1.36</v>
      </c>
      <c r="Z11" s="1385">
        <f t="shared" ref="Z11:AJ11" si="3">$G$3</f>
        <v>1.36</v>
      </c>
      <c r="AA11" s="1385">
        <f t="shared" si="3"/>
        <v>1.36</v>
      </c>
      <c r="AB11" s="1385">
        <f t="shared" si="3"/>
        <v>1.36</v>
      </c>
      <c r="AC11" s="1385">
        <f t="shared" si="3"/>
        <v>1.36</v>
      </c>
      <c r="AD11" s="1385">
        <f t="shared" si="3"/>
        <v>1.36</v>
      </c>
      <c r="AE11" s="1385">
        <f t="shared" si="3"/>
        <v>1.36</v>
      </c>
      <c r="AF11" s="1385">
        <f t="shared" si="3"/>
        <v>1.36</v>
      </c>
      <c r="AG11" s="1385">
        <f t="shared" si="3"/>
        <v>1.36</v>
      </c>
      <c r="AH11" s="1385">
        <f t="shared" si="3"/>
        <v>1.36</v>
      </c>
      <c r="AI11" s="1385">
        <f t="shared" si="3"/>
        <v>1.36</v>
      </c>
      <c r="AJ11" s="1385">
        <f t="shared" si="3"/>
        <v>1.36</v>
      </c>
    </row>
    <row r="12" spans="1:36" ht="25.5" thickBot="1">
      <c r="A12" s="3457" t="s">
        <v>2683</v>
      </c>
      <c r="B12" s="2216" t="s">
        <v>2684</v>
      </c>
      <c r="C12" s="856">
        <f>ROUND(C15*D15*E15*F15*G15*H15*I15*J15,4)</f>
        <v>1</v>
      </c>
      <c r="D12" s="2217" t="s">
        <v>2685</v>
      </c>
      <c r="E12" s="2218"/>
      <c r="F12" s="2218"/>
      <c r="G12" s="2219"/>
      <c r="H12" s="2219"/>
      <c r="I12" s="2219"/>
      <c r="J12" s="2220"/>
      <c r="K12" s="1278"/>
      <c r="L12" s="2221" t="s">
        <v>2686</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52"/>
      <c r="X12" s="1386" t="s">
        <v>2687</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59"/>
      <c r="B13" s="2222" t="s">
        <v>2688</v>
      </c>
      <c r="C13" s="2223" t="s">
        <v>2689</v>
      </c>
      <c r="D13" s="1533" t="s">
        <v>2690</v>
      </c>
      <c r="E13" s="1533" t="s">
        <v>2691</v>
      </c>
      <c r="F13" s="30" t="s">
        <v>2692</v>
      </c>
      <c r="G13" s="2224" t="s">
        <v>2693</v>
      </c>
      <c r="H13" s="2224" t="s">
        <v>2693</v>
      </c>
      <c r="I13" s="2224" t="s">
        <v>2693</v>
      </c>
      <c r="J13" s="2225" t="s">
        <v>2693</v>
      </c>
      <c r="K13" s="1278"/>
      <c r="L13" s="1278"/>
      <c r="M13" s="1278"/>
      <c r="N13" s="1278"/>
      <c r="O13" s="1278"/>
      <c r="P13" s="1278"/>
      <c r="Q13" s="1278"/>
      <c r="R13" s="1372">
        <v>12</v>
      </c>
      <c r="S13" s="1373"/>
      <c r="T13" s="1372" t="e">
        <f t="shared" si="0"/>
        <v>#DIV/0!</v>
      </c>
      <c r="U13" s="1373"/>
      <c r="V13" s="1372" t="e">
        <f t="shared" si="1"/>
        <v>#DIV/0!</v>
      </c>
      <c r="W13" s="3452"/>
      <c r="X13" s="1386"/>
      <c r="Y13" s="1383">
        <f>(-0.163*(Y12^2)-0.59*Y12+7617)*(10^(-4))/Y11</f>
        <v>0.56007352941176469</v>
      </c>
      <c r="Z13" s="1383">
        <f t="shared" ref="Z13:AJ13" si="5">(-0.163*(Z12^2)-0.59*Z12+7617)*(10^(-4))/Z11</f>
        <v>0.56007352941176469</v>
      </c>
      <c r="AA13" s="1383">
        <f t="shared" si="5"/>
        <v>0.56007352941176469</v>
      </c>
      <c r="AB13" s="1383">
        <f t="shared" si="5"/>
        <v>0.56007352941176469</v>
      </c>
      <c r="AC13" s="1383">
        <f t="shared" si="5"/>
        <v>0.56007352941176469</v>
      </c>
      <c r="AD13" s="1383">
        <f t="shared" si="5"/>
        <v>0.56007352941176469</v>
      </c>
      <c r="AE13" s="1383">
        <f t="shared" si="5"/>
        <v>0.56007352941176469</v>
      </c>
      <c r="AF13" s="1383">
        <f t="shared" si="5"/>
        <v>0.56007352941176469</v>
      </c>
      <c r="AG13" s="1383">
        <f t="shared" si="5"/>
        <v>0.56007352941176469</v>
      </c>
      <c r="AH13" s="1383">
        <f t="shared" si="5"/>
        <v>0.56007352941176469</v>
      </c>
      <c r="AI13" s="1383">
        <f t="shared" si="5"/>
        <v>0.56007352941176469</v>
      </c>
      <c r="AJ13" s="1383">
        <f t="shared" si="5"/>
        <v>0.56007352941176469</v>
      </c>
    </row>
    <row r="14" spans="1:36" ht="15">
      <c r="A14" s="3459"/>
      <c r="B14" s="2226"/>
      <c r="C14" s="2227"/>
      <c r="D14" s="2228"/>
      <c r="E14" s="2228"/>
      <c r="F14" s="2229"/>
      <c r="G14" s="2230" t="s">
        <v>2694</v>
      </c>
      <c r="H14" s="2231"/>
      <c r="I14" s="2232"/>
      <c r="J14" s="2233"/>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09"/>
      <c r="AE14" s="3009"/>
      <c r="AF14" s="3009"/>
      <c r="AG14" s="3009"/>
      <c r="AH14" s="3009"/>
      <c r="AI14" s="3009"/>
      <c r="AJ14" s="3010"/>
    </row>
    <row r="15" spans="1:36" ht="15.75" thickBot="1">
      <c r="A15" s="3460"/>
      <c r="B15" s="2234" t="s">
        <v>2695</v>
      </c>
      <c r="C15" s="192">
        <f>IF(C14="有",1.1,1)</f>
        <v>1</v>
      </c>
      <c r="D15" s="192">
        <f>IF(D14="有",1.1,1)</f>
        <v>1</v>
      </c>
      <c r="E15" s="192">
        <f>IF(E14="有",1.1,1)</f>
        <v>1</v>
      </c>
      <c r="F15" s="192">
        <f>IF(F14="500米范围内",1.2,IF(F14="500-1000米",1.1,1))</f>
        <v>1</v>
      </c>
      <c r="G15" s="881">
        <v>1</v>
      </c>
      <c r="H15" s="881">
        <v>1</v>
      </c>
      <c r="I15" s="881">
        <v>1</v>
      </c>
      <c r="J15" s="882">
        <v>1</v>
      </c>
      <c r="K15" s="1278"/>
      <c r="L15" s="2177"/>
      <c r="M15" s="2177"/>
      <c r="N15" s="2177"/>
      <c r="O15" s="2177"/>
      <c r="P15" s="2177"/>
      <c r="Q15" s="1278"/>
      <c r="R15" s="1372">
        <v>14</v>
      </c>
      <c r="S15" s="1373"/>
      <c r="T15" s="1372" t="e">
        <f t="shared" si="0"/>
        <v>#DIV/0!</v>
      </c>
      <c r="U15" s="1373"/>
      <c r="V15" s="1372" t="e">
        <f t="shared" si="1"/>
        <v>#DIV/0!</v>
      </c>
      <c r="W15" s="1376"/>
      <c r="X15" s="1376"/>
      <c r="Y15" s="1376"/>
      <c r="Z15" s="1376"/>
      <c r="AA15" s="1376"/>
      <c r="AB15" s="1376"/>
      <c r="AC15" s="1377"/>
      <c r="AD15" s="3009"/>
      <c r="AE15" s="3009"/>
      <c r="AF15" s="3009"/>
      <c r="AG15" s="3009"/>
      <c r="AH15" s="3009"/>
      <c r="AI15" s="3009"/>
      <c r="AJ15" s="3010"/>
    </row>
    <row r="16" spans="1:36" ht="24.6" customHeight="1">
      <c r="A16" s="3457" t="s">
        <v>2700</v>
      </c>
      <c r="B16" s="2203" t="s">
        <v>2701</v>
      </c>
      <c r="C16" s="2365" t="e">
        <f>ROUND(IF(F17="与级别开发程度一致",0,(G17-E17)/C17),0)</f>
        <v>#DIV/0!</v>
      </c>
      <c r="D16" s="3473" t="s">
        <v>2705</v>
      </c>
      <c r="E16" s="3474"/>
      <c r="F16" s="3473" t="s">
        <v>2702</v>
      </c>
      <c r="G16" s="3474"/>
      <c r="H16" s="2235"/>
      <c r="I16" s="2235"/>
      <c r="J16" s="2369"/>
      <c r="K16" s="2235"/>
      <c r="L16" s="2235"/>
      <c r="M16" s="2235"/>
      <c r="N16" s="2235"/>
      <c r="O16" s="2236"/>
      <c r="P16" s="2177"/>
      <c r="Q16" s="1278"/>
      <c r="R16" s="1372">
        <v>15</v>
      </c>
      <c r="S16" s="1373"/>
      <c r="T16" s="1372" t="e">
        <f t="shared" si="0"/>
        <v>#DIV/0!</v>
      </c>
      <c r="U16" s="1373"/>
      <c r="V16" s="1372" t="e">
        <f t="shared" si="1"/>
        <v>#DIV/0!</v>
      </c>
      <c r="W16" s="1376"/>
      <c r="X16" s="1376"/>
      <c r="Y16" s="1376"/>
      <c r="Z16" s="1376"/>
      <c r="AA16" s="1376"/>
      <c r="AB16" s="1376"/>
      <c r="AC16" s="1377"/>
      <c r="AD16" s="3009"/>
      <c r="AE16" s="3009"/>
      <c r="AF16" s="3009"/>
      <c r="AG16" s="3009"/>
      <c r="AH16" s="3009"/>
      <c r="AI16" s="3009"/>
      <c r="AJ16" s="3010"/>
    </row>
    <row r="17" spans="1:37" ht="13.5" thickBot="1">
      <c r="A17" s="3461"/>
      <c r="B17" s="2376" t="s">
        <v>2704</v>
      </c>
      <c r="C17" s="2377">
        <f>SUMPRODUCT((修正!A2:A5=E2)*(修正!B1:M1=G2)*(修正!B2:M5))</f>
        <v>0</v>
      </c>
      <c r="D17" s="192"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2707</v>
      </c>
      <c r="C18" s="2372">
        <f>SUMIF(修正!C18:C39,E3,修正!E18:E39)</f>
        <v>0</v>
      </c>
      <c r="D18" s="2373"/>
      <c r="E18" s="2374"/>
      <c r="F18" s="2374"/>
      <c r="G18" s="2374"/>
      <c r="H18" s="2374"/>
      <c r="I18" s="2374"/>
      <c r="J18" s="2375"/>
      <c r="K18" s="1285"/>
      <c r="L18" s="3008"/>
      <c r="M18" s="3008"/>
      <c r="N18" s="3008"/>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08"/>
    </row>
    <row r="19" spans="1:37" s="2196" customFormat="1" ht="27.75" thickBot="1">
      <c r="A19" s="2240" t="s">
        <v>809</v>
      </c>
      <c r="B19" s="2241" t="s">
        <v>2708</v>
      </c>
      <c r="C19" s="861" t="e">
        <f>ROUND(IF(H19="按公示增长率计算",SUMPRODUCT((地价!A3:A33=YEAR(G19)&amp;"-"&amp;ROUNDUP(MONTH(G19)/3,0))*(地价!X2:AB2=E2)*(地价!X3:AB33)),IF(H19="地价指数",M20/M19,(1+I19)^O19)),4)</f>
        <v>#VALUE!</v>
      </c>
      <c r="D19" s="2245" t="s">
        <v>2709</v>
      </c>
      <c r="E19" s="862">
        <v>41640</v>
      </c>
      <c r="F19" s="2245" t="s">
        <v>2710</v>
      </c>
      <c r="G19" s="863">
        <f>'数据-取费表'!B2</f>
        <v>44259</v>
      </c>
      <c r="H19" s="2246"/>
      <c r="I19" s="864" t="str">
        <f>IF(H19="季度增幅（自定义）",SUMIF(N21:N24,E2,O21:O24),"")</f>
        <v/>
      </c>
      <c r="J19" s="2243"/>
      <c r="K19" s="1285"/>
      <c r="L19" s="2247" t="s">
        <v>2711</v>
      </c>
      <c r="M19" s="1495">
        <f>ROUND(SUMIF(地价!B2:F2,E2,地价!B33:F33),0)</f>
        <v>0</v>
      </c>
      <c r="N19" s="2248" t="s">
        <v>2712</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1"/>
      <c r="AH19" s="2334"/>
      <c r="AI19" s="3012"/>
      <c r="AJ19" s="3012"/>
      <c r="AK19" s="2249"/>
    </row>
    <row r="20" spans="1:37" s="2196" customFormat="1" ht="27.75" thickBot="1">
      <c r="A20" s="2250" t="s">
        <v>810</v>
      </c>
      <c r="B20" s="2251" t="s">
        <v>2713</v>
      </c>
      <c r="C20" s="866" t="e">
        <f>ROUND(POWER(1+G20,J20-I20)*(POWER(1+G20,I20)-1)/(POWER(1+G20,J20)-1),4)</f>
        <v>#DIV/0!</v>
      </c>
      <c r="D20" s="2252" t="s">
        <v>2714</v>
      </c>
      <c r="E20" s="1504">
        <f ca="1">存贷款利率!D4/100</f>
        <v>3.85E-2</v>
      </c>
      <c r="F20" s="2252" t="s">
        <v>2706</v>
      </c>
      <c r="G20" s="871">
        <f>SUMIF(M26:P26,E2,M28:P28)</f>
        <v>0</v>
      </c>
      <c r="H20" s="2252" t="s">
        <v>2715</v>
      </c>
      <c r="I20" s="872" t="e">
        <f>SUMIF('数据-取费表'!C6:C15,E2,'数据-取费表'!F6:F15)/COUNTIF('数据-取费表'!C6:C15,E2)</f>
        <v>#DIV/0!</v>
      </c>
      <c r="J20" s="873">
        <f>IF(E2="住宅",70,IF(E2="商业",40,50))</f>
        <v>50</v>
      </c>
      <c r="K20" s="1285"/>
      <c r="L20" s="2253" t="s">
        <v>2716</v>
      </c>
      <c r="M20" s="1496">
        <f>ROUND(SUMPRODUCT((地价!A4:A33=YEAR(G19)&amp;"-"&amp;ROUNDUP(MONTH(G19)/3,0))*(地价!B2:F2=E2)*(地价!B4:F33)),0)</f>
        <v>0</v>
      </c>
      <c r="N20" s="2254" t="s">
        <v>2717</v>
      </c>
      <c r="O20" s="2255" t="s">
        <v>2718</v>
      </c>
      <c r="P20" s="2256" t="s">
        <v>2719</v>
      </c>
      <c r="Q20" s="3008"/>
      <c r="R20" s="1284"/>
      <c r="S20" s="1284"/>
      <c r="T20" s="1279"/>
      <c r="U20" s="1279"/>
      <c r="V20" s="1279"/>
      <c r="W20" s="1278"/>
      <c r="X20" s="1278"/>
      <c r="Y20" s="1278"/>
      <c r="Z20" s="1285"/>
      <c r="AA20" s="1285"/>
      <c r="AB20" s="1285"/>
      <c r="AC20" s="1285"/>
      <c r="AD20" s="1285"/>
      <c r="AE20" s="1285"/>
      <c r="AF20" s="1285"/>
      <c r="AG20" s="3008"/>
      <c r="AH20" s="3008"/>
      <c r="AI20" s="3008"/>
      <c r="AJ20" s="3008"/>
    </row>
    <row r="21" spans="1:37" s="2196" customFormat="1" ht="15">
      <c r="A21" s="2257" t="s">
        <v>811</v>
      </c>
      <c r="B21" s="2258" t="s">
        <v>2720</v>
      </c>
      <c r="C21" s="874">
        <f>IF(B21="容积率修正",IF(G3&lt;=10,D22,J22),C23)</f>
        <v>0</v>
      </c>
      <c r="D21" s="2259"/>
      <c r="E21" s="2259"/>
      <c r="F21" s="2259"/>
      <c r="G21" s="2259"/>
      <c r="H21" s="2259"/>
      <c r="I21" s="2259"/>
      <c r="J21" s="2260"/>
      <c r="K21" s="1285"/>
      <c r="L21" s="3008"/>
      <c r="M21" s="3008"/>
      <c r="N21" s="2261" t="s">
        <v>2721</v>
      </c>
      <c r="O21" s="1333"/>
      <c r="P21" s="1334">
        <f>SUMPRODUCT((地价!A3:A33=YEAR(G19)&amp;"-"&amp;ROUNDUP(MONTH(G19)/3,0))*(地价!AD2:AH2=N21)*(地价!AD3:AH33))</f>
        <v>1.0999999999999999E-2</v>
      </c>
      <c r="Q21" s="3008"/>
      <c r="R21" s="1284"/>
      <c r="S21" s="1284"/>
      <c r="T21" s="1279"/>
      <c r="U21" s="1279"/>
      <c r="V21" s="1279"/>
      <c r="W21" s="1278"/>
      <c r="X21" s="1278"/>
      <c r="Y21" s="1278"/>
      <c r="Z21" s="1285"/>
      <c r="AA21" s="1285"/>
      <c r="AB21" s="1285"/>
      <c r="AC21" s="1285"/>
      <c r="AD21" s="1285"/>
      <c r="AE21" s="1285"/>
      <c r="AF21" s="1285"/>
      <c r="AG21" s="3008"/>
      <c r="AH21" s="3008"/>
      <c r="AI21" s="3008"/>
      <c r="AJ21" s="3008"/>
    </row>
    <row r="22" spans="1:37" s="2196" customFormat="1" ht="14.25">
      <c r="A22" s="2135" t="s">
        <v>2722</v>
      </c>
      <c r="B22" s="2262" t="s">
        <v>2723</v>
      </c>
      <c r="C22" s="1535" t="s">
        <v>2724</v>
      </c>
      <c r="D22" s="1535">
        <f>IF(E22=G22,F22,IF(G3&lt;=10,ROUND(F22+(H22-F22)*(G3-E22)/(G22-E22),4),"——"))</f>
        <v>0</v>
      </c>
      <c r="E22" s="853">
        <f>ROUNDDOWN(G3,1)</f>
        <v>1.3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5" t="str">
        <f>IF(G3&gt;10,D113,"——")</f>
        <v>——</v>
      </c>
      <c r="K22" s="1285"/>
      <c r="L22" s="3008"/>
      <c r="M22" s="3008"/>
      <c r="N22" s="2261" t="s">
        <v>2725</v>
      </c>
      <c r="O22" s="1333"/>
      <c r="P22" s="1334">
        <f>SUMPRODUCT((地价!A3:A33=YEAR(G19)&amp;"-"&amp;ROUNDUP(MONTH(G19)/3,0))*(地价!AD2:AH2=N22)*(地价!AD3:AH33))</f>
        <v>1.0999999999999999E-2</v>
      </c>
      <c r="Q22" s="3008"/>
      <c r="R22" s="1284"/>
      <c r="S22" s="1284"/>
      <c r="T22" s="1279"/>
      <c r="U22" s="1279"/>
      <c r="V22" s="1279"/>
      <c r="W22" s="1278"/>
      <c r="X22" s="1278"/>
      <c r="Y22" s="1278"/>
      <c r="Z22" s="1285"/>
      <c r="AA22" s="1285"/>
      <c r="AB22" s="1285"/>
      <c r="AC22" s="1285"/>
      <c r="AD22" s="1285"/>
      <c r="AE22" s="1285"/>
      <c r="AF22" s="1285"/>
      <c r="AG22" s="3008"/>
      <c r="AH22" s="3008"/>
      <c r="AI22" s="3008"/>
      <c r="AJ22" s="3008"/>
    </row>
    <row r="23" spans="1:37" ht="27.75" thickBot="1">
      <c r="A23" s="2135" t="s">
        <v>2726</v>
      </c>
      <c r="B23" s="2263" t="s">
        <v>2727</v>
      </c>
      <c r="C23" s="948">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2728</v>
      </c>
      <c r="O23" s="1333"/>
      <c r="P23" s="1334">
        <f>SUMPRODUCT((地价!A3:A33=YEAR(G19)&amp;"-"&amp;ROUNDUP(MONTH(G19)/3,0))*(地价!AD2:AH2=N23)*(地价!AD3:AH33))</f>
        <v>1.8499999999999999E-2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2729</v>
      </c>
      <c r="C24" s="861">
        <f>SUMIF(A45:A88,E2,B45:B88)</f>
        <v>0</v>
      </c>
      <c r="D24" s="2242"/>
      <c r="E24" s="2269"/>
      <c r="F24" s="2269"/>
      <c r="G24" s="2269"/>
      <c r="H24" s="2269"/>
      <c r="I24" s="2269"/>
      <c r="J24" s="2270"/>
      <c r="K24" s="1285"/>
      <c r="L24" s="3008"/>
      <c r="M24" s="3008"/>
      <c r="N24" s="2271" t="s">
        <v>2730</v>
      </c>
      <c r="O24" s="1335"/>
      <c r="P24" s="1336">
        <f>SUMPRODUCT((地价!A3:A33=YEAR(G19)&amp;"-"&amp;ROUNDUP(MONTH(G19)/3,0))*(地价!AD2:AH2=N24)*(地价!AD3:AH33))</f>
        <v>1.1900000000000001E-2</v>
      </c>
      <c r="Q24" s="3008"/>
      <c r="R24" s="1284"/>
      <c r="S24" s="1284"/>
      <c r="T24" s="1279"/>
      <c r="U24" s="1279"/>
      <c r="V24" s="1279"/>
      <c r="W24" s="1278"/>
      <c r="X24" s="1278"/>
      <c r="Y24" s="1278"/>
      <c r="Z24" s="1285"/>
      <c r="AA24" s="1285"/>
      <c r="AB24" s="1285"/>
      <c r="AC24" s="1285"/>
      <c r="AD24" s="1285"/>
      <c r="AE24" s="1285"/>
      <c r="AF24" s="1285"/>
      <c r="AG24" s="3008"/>
      <c r="AH24" s="3008"/>
      <c r="AI24" s="3008"/>
      <c r="AJ24" s="3008"/>
    </row>
    <row r="25" spans="1:37" ht="15.75" thickBot="1">
      <c r="A25" s="2250" t="s">
        <v>813</v>
      </c>
      <c r="B25" s="2272" t="s">
        <v>2731</v>
      </c>
      <c r="C25" s="867"/>
      <c r="D25" s="2206"/>
      <c r="E25" s="2206"/>
      <c r="F25" s="2273"/>
      <c r="G25" s="2206"/>
      <c r="H25" s="2206"/>
      <c r="I25" s="2206"/>
      <c r="J25" s="2207"/>
      <c r="K25" s="1278"/>
      <c r="L25" s="2177"/>
      <c r="M25" s="2177"/>
      <c r="N25" s="3003" t="s">
        <v>2732</v>
      </c>
      <c r="O25" s="3004"/>
      <c r="P25" s="3005">
        <f>SUMPRODUCT((地价!A3:A33=YEAR(G19)&amp;"-"&amp;ROUNDUP(MONTH(G19)/3,0))*(地价!AD2:AH2=N25)*(地价!AD3:AH33))</f>
        <v>1.6799999999999999E-2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2733</v>
      </c>
      <c r="C26" s="2536" t="e">
        <f>IF(B21="容积率修正",E29+SUM(E33:E39),SUM(V2:V16)+SUM(E33:E39))</f>
        <v>#DIV/0!</v>
      </c>
      <c r="D26" s="2275"/>
      <c r="E26" s="2231"/>
      <c r="F26" s="2276"/>
      <c r="G26" s="2231"/>
      <c r="H26" s="2231"/>
      <c r="I26" s="2231"/>
      <c r="J26" s="2277"/>
      <c r="K26" s="1278"/>
      <c r="L26" s="3006" t="s">
        <v>2631</v>
      </c>
      <c r="M26" s="2204" t="s">
        <v>2696</v>
      </c>
      <c r="N26" s="2204" t="s">
        <v>2697</v>
      </c>
      <c r="O26" s="2204" t="s">
        <v>2698</v>
      </c>
      <c r="P26" s="3007" t="s">
        <v>2699</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2734</v>
      </c>
      <c r="C27" s="868" t="e">
        <f>E30+SUM(I33:I39)</f>
        <v>#DIV/0!</v>
      </c>
      <c r="D27" s="2279"/>
      <c r="E27" s="2280"/>
      <c r="F27" s="2281"/>
      <c r="G27" s="2280"/>
      <c r="H27" s="2280"/>
      <c r="I27" s="2280"/>
      <c r="J27" s="2282"/>
      <c r="K27" s="1278"/>
      <c r="L27" s="2237" t="s">
        <v>2703</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8"/>
      <c r="L28" s="2238" t="s">
        <v>2706</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2739</v>
      </c>
      <c r="C29" s="179" t="e">
        <f>ROUND(C5*C18*C19*C20*C21*C24,0)</f>
        <v>#DIV/0!</v>
      </c>
      <c r="D29" s="2290"/>
      <c r="E29" s="877" t="e">
        <f>ROUND(C29*D29/10000,0)</f>
        <v>#DIV/0!</v>
      </c>
      <c r="F29" s="2291" t="s">
        <v>2740</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2741</v>
      </c>
      <c r="C30" s="192" t="e">
        <f>ROUND(IF(E2="工业",C29*M39,C29*M38),0)</f>
        <v>#DIV/0!</v>
      </c>
      <c r="D30" s="2296"/>
      <c r="E30" s="877" t="e">
        <f>ROUND(C30*D30/10000,0)</f>
        <v>#DIV/0!</v>
      </c>
      <c r="F30" s="2297" t="s">
        <v>2742</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2743</v>
      </c>
      <c r="C31" s="2302" t="s">
        <v>2744</v>
      </c>
      <c r="D31" s="2219"/>
      <c r="E31" s="2302"/>
      <c r="F31" s="2302"/>
      <c r="G31" s="2217" t="s">
        <v>2745</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7" t="s">
        <v>2736</v>
      </c>
      <c r="D32" s="454" t="s">
        <v>2737</v>
      </c>
      <c r="E32" s="454" t="s">
        <v>2738</v>
      </c>
      <c r="F32" s="347" t="s">
        <v>2746</v>
      </c>
      <c r="G32" s="2305" t="s">
        <v>2736</v>
      </c>
      <c r="H32" s="2305" t="s">
        <v>2737</v>
      </c>
      <c r="I32" s="2305" t="s">
        <v>2738</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470"/>
      <c r="B33" s="2306" t="s">
        <v>2747</v>
      </c>
      <c r="C33" s="179" t="e">
        <f>ROUND(D5*C19*C20*C24*F33,0)</f>
        <v>#DIV/0!</v>
      </c>
      <c r="D33" s="2290"/>
      <c r="E33" s="175" t="e">
        <f>ROUND(C33*D33/10000,0)</f>
        <v>#DIV/0!</v>
      </c>
      <c r="F33" s="175">
        <f>SUMIF(修正!A45:A56,G2,修正!B45:B56)</f>
        <v>0</v>
      </c>
      <c r="G33" s="175" t="e">
        <f t="shared" ref="G33" si="6">ROUND(IF(E2="工业",C33*$M$39,C33*$M$38),0)</f>
        <v>#DIV/0!</v>
      </c>
      <c r="H33" s="175">
        <f>D33</f>
        <v>0</v>
      </c>
      <c r="I33" s="175" t="e">
        <f>ROUND(G33*H33/10000,0)</f>
        <v>#DIV/0!</v>
      </c>
      <c r="J33" s="3475"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471"/>
      <c r="B34" s="2223" t="s">
        <v>2748</v>
      </c>
      <c r="C34" s="179" t="e">
        <f>ROUND(D5*C19*C20*C24*F34,0)</f>
        <v>#DIV/0!</v>
      </c>
      <c r="D34" s="2290"/>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7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471"/>
      <c r="B35" s="2223" t="s">
        <v>2749</v>
      </c>
      <c r="C35" s="179" t="e">
        <f>ROUND(D5*C19*C20*C24*F35,0)</f>
        <v>#DIV/0!</v>
      </c>
      <c r="D35" s="2290"/>
      <c r="E35" s="175" t="e">
        <f t="shared" si="7"/>
        <v>#DIV/0!</v>
      </c>
      <c r="F35" s="175">
        <f>SUMIF(修正!A45:A56,G2,修正!D45:D56)</f>
        <v>0</v>
      </c>
      <c r="G35" s="175" t="e">
        <f>ROUND(IF(E2="工业",C35*$M$39,C35*$M$38),0)</f>
        <v>#DIV/0!</v>
      </c>
      <c r="H35" s="175">
        <f t="shared" si="8"/>
        <v>0</v>
      </c>
      <c r="I35" s="175" t="e">
        <f t="shared" si="9"/>
        <v>#DIV/0!</v>
      </c>
      <c r="J35" s="347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472"/>
      <c r="B36" s="2223" t="s">
        <v>2750</v>
      </c>
      <c r="C36" s="179" t="e">
        <f>ROUND(D5*C19*C20*C24*F36,0)</f>
        <v>#DIV/0!</v>
      </c>
      <c r="D36" s="2290"/>
      <c r="E36" s="175" t="e">
        <f t="shared" si="7"/>
        <v>#DIV/0!</v>
      </c>
      <c r="F36" s="175">
        <f>SUMIF(修正!A45:A56,G2,修正!E45:E56)</f>
        <v>0</v>
      </c>
      <c r="G36" s="175" t="e">
        <f>ROUND(IF(E2="工业",C36*$M$39,C36*$M$38),0)</f>
        <v>#DIV/0!</v>
      </c>
      <c r="H36" s="175">
        <f t="shared" si="8"/>
        <v>0</v>
      </c>
      <c r="I36" s="175" t="e">
        <f t="shared" si="9"/>
        <v>#DIV/0!</v>
      </c>
      <c r="J36" s="3472"/>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2751</v>
      </c>
      <c r="C37" s="175" t="e">
        <f>ROUND(D5*C19*C20*C24*F37,0)</f>
        <v>#DIV/0!</v>
      </c>
      <c r="D37" s="2290"/>
      <c r="E37" s="175" t="e">
        <f t="shared" si="7"/>
        <v>#DIV/0!</v>
      </c>
      <c r="F37" s="179">
        <f>SUMIF(修正!A45:A56,G2,修正!F45:F56)</f>
        <v>0</v>
      </c>
      <c r="G37" s="175" t="e">
        <f>ROUND(IF(E2="工业",C37*$M$39,C37*$M$38),0)</f>
        <v>#DIV/0!</v>
      </c>
      <c r="H37" s="175">
        <f t="shared" si="8"/>
        <v>0</v>
      </c>
      <c r="I37" s="175" t="e">
        <f t="shared" si="9"/>
        <v>#DIV/0!</v>
      </c>
      <c r="J37" s="2307"/>
      <c r="K37" s="1278"/>
      <c r="L37" s="2309" t="s">
        <v>2752</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2753</v>
      </c>
      <c r="C38" s="175" t="e">
        <f>ROUND(D5*C19*C41*C24*F38,0)</f>
        <v>#DIV/0!</v>
      </c>
      <c r="D38" s="2290"/>
      <c r="E38" s="175" t="e">
        <f t="shared" si="7"/>
        <v>#DIV/0!</v>
      </c>
      <c r="F38" s="179">
        <f>SUMIF(修正!A45:A56,G2,修正!G45:G56)</f>
        <v>0</v>
      </c>
      <c r="G38" s="175" t="e">
        <f>ROUND(IF(E2="工业",C38*$M$39,C38*$M$38),0)</f>
        <v>#DIV/0!</v>
      </c>
      <c r="H38" s="175">
        <f t="shared" si="8"/>
        <v>0</v>
      </c>
      <c r="I38" s="175" t="e">
        <f t="shared" si="9"/>
        <v>#DIV/0!</v>
      </c>
      <c r="J38" s="2307"/>
      <c r="K38" s="1278"/>
      <c r="L38" s="1604" t="s">
        <v>2754</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2755</v>
      </c>
      <c r="C39" s="192" t="e">
        <f>ROUND(D5*C19*C41*C24*F39,0)</f>
        <v>#DIV/0!</v>
      </c>
      <c r="D39" s="2296"/>
      <c r="E39" s="192" t="e">
        <f t="shared" si="7"/>
        <v>#DIV/0!</v>
      </c>
      <c r="F39" s="869">
        <f>SUMIF(修正!A45:A56,G2,修正!H45:H56)</f>
        <v>0</v>
      </c>
      <c r="G39" s="192" t="e">
        <f>ROUND(IF(E2="工业",C39*$M$39,C39*$M$38),0)</f>
        <v>#DIV/0!</v>
      </c>
      <c r="H39" s="192">
        <f t="shared" si="8"/>
        <v>0</v>
      </c>
      <c r="I39" s="192" t="e">
        <f t="shared" si="9"/>
        <v>#DIV/0!</v>
      </c>
      <c r="J39" s="2313"/>
      <c r="K39" s="1278"/>
      <c r="L39" s="2314" t="s">
        <v>2699</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2860</v>
      </c>
      <c r="C41" s="347" t="e">
        <f>ROUND(POWER(1+E41,H41-G41)*(POWER(1+E41,G41)-1)/(POWER(1+E41,H41)-1),4)</f>
        <v>#DIV/0!</v>
      </c>
      <c r="D41" s="175" t="s">
        <v>2706</v>
      </c>
      <c r="E41" s="2363">
        <f>G20</f>
        <v>0</v>
      </c>
      <c r="F41" s="175" t="s">
        <v>2715</v>
      </c>
      <c r="G41" s="188"/>
      <c r="H41" s="175">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2756</v>
      </c>
      <c r="B45" s="2318"/>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19" t="s">
        <v>2757</v>
      </c>
      <c r="B46" s="2320">
        <f>1+E48</f>
        <v>1</v>
      </c>
      <c r="C46" s="2321"/>
      <c r="D46" s="751"/>
      <c r="E46" s="752"/>
      <c r="F46" s="2322"/>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3" t="s">
        <v>2758</v>
      </c>
      <c r="B47" s="1534" t="s">
        <v>2759</v>
      </c>
      <c r="C47" s="1534" t="s">
        <v>2760</v>
      </c>
      <c r="D47" s="1534" t="s">
        <v>2761</v>
      </c>
      <c r="E47" s="756" t="s">
        <v>2762</v>
      </c>
      <c r="F47" s="2324" t="s">
        <v>2763</v>
      </c>
      <c r="G47" s="1534" t="s">
        <v>754</v>
      </c>
      <c r="H47" s="2325" t="s">
        <v>2764</v>
      </c>
      <c r="I47" s="1534" t="s">
        <v>2765</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3" t="s">
        <v>2766</v>
      </c>
      <c r="B48" s="2326" t="str">
        <f>估价对象房地状况!C4</f>
        <v>估价对象位于XX商圈，周边商业氛围成熟，人流量大，商业繁华度好</v>
      </c>
      <c r="C48" s="2228"/>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3" t="s">
        <v>2767</v>
      </c>
      <c r="B49" s="2327" t="str">
        <f>估价对象房地状况!C18</f>
        <v>估价对象周边道路状况、公共交通通达情况、停车便捷程度，综合评价交通便捷度较好</v>
      </c>
      <c r="C49" s="2228"/>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3" t="s">
        <v>2768</v>
      </c>
      <c r="B50" s="2327">
        <f>估价对象房地状况!C19</f>
        <v>0</v>
      </c>
      <c r="C50" s="2228"/>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3" t="s">
        <v>2769</v>
      </c>
      <c r="B51" s="2328" t="s">
        <v>2770</v>
      </c>
      <c r="C51" s="2228"/>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3" t="s">
        <v>2771</v>
      </c>
      <c r="B52" s="2327">
        <f>估价对象房地状况!C24</f>
        <v>0</v>
      </c>
      <c r="C52" s="2228"/>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3" t="s">
        <v>2772</v>
      </c>
      <c r="B53" s="2329" t="s">
        <v>2773</v>
      </c>
      <c r="C53" s="2228"/>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0" t="s">
        <v>2774</v>
      </c>
      <c r="B54" s="1493" t="str">
        <f>估价对象房地状况!C21</f>
        <v>估价对象所在区域公共配套设施齐备情况</v>
      </c>
      <c r="C54" s="2228"/>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0" t="s">
        <v>2775</v>
      </c>
      <c r="B55" s="2327" t="str">
        <f>估价对象房地状况!C22</f>
        <v>估价对象所在区域基础设施水平</v>
      </c>
      <c r="C55" s="2228"/>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1" t="s">
        <v>2776</v>
      </c>
      <c r="B56" s="2332" t="str">
        <f>估价对象房地状况!C20</f>
        <v>区域自然环境：；人文环境；综合评价环境状况一般</v>
      </c>
      <c r="C56" s="2228"/>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19" t="s">
        <v>2777</v>
      </c>
      <c r="B57" s="2320">
        <f>1+E59</f>
        <v>1</v>
      </c>
      <c r="C57" s="751"/>
      <c r="D57" s="751"/>
      <c r="E57" s="752"/>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2758</v>
      </c>
      <c r="B58" s="1534"/>
      <c r="C58" s="1534" t="s">
        <v>2760</v>
      </c>
      <c r="D58" s="1534" t="s">
        <v>2761</v>
      </c>
      <c r="E58" s="756" t="s">
        <v>2762</v>
      </c>
      <c r="F58" s="2324" t="s">
        <v>2778</v>
      </c>
      <c r="G58" s="1534" t="s">
        <v>754</v>
      </c>
      <c r="H58" s="2325" t="s">
        <v>2764</v>
      </c>
      <c r="I58" s="1534" t="s">
        <v>2765</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3" t="s">
        <v>2779</v>
      </c>
      <c r="B59" s="2326" t="str">
        <f>估价对象房地状况!C17</f>
        <v>估价对象位于XX商圈，周边办公楼项目较多，入驻率高，办公集聚程度较好</v>
      </c>
      <c r="C59" s="2228"/>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3" t="s">
        <v>2767</v>
      </c>
      <c r="B60" s="2327" t="str">
        <f>估价对象房地状况!C18</f>
        <v>估价对象周边道路状况、公共交通通达情况、停车便捷程度，综合评价交通便捷度较好</v>
      </c>
      <c r="C60" s="2228"/>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3" t="s">
        <v>2768</v>
      </c>
      <c r="B61" s="2327">
        <f>估价对象房地状况!C19</f>
        <v>0</v>
      </c>
      <c r="C61" s="2228"/>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3" t="s">
        <v>2769</v>
      </c>
      <c r="B62" s="2328" t="s">
        <v>2770</v>
      </c>
      <c r="C62" s="2228"/>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3" t="s">
        <v>2771</v>
      </c>
      <c r="B63" s="2327">
        <f>估价对象房地状况!C24</f>
        <v>0</v>
      </c>
      <c r="C63" s="2228"/>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3" t="s">
        <v>2772</v>
      </c>
      <c r="B64" s="2329" t="s">
        <v>2773</v>
      </c>
      <c r="C64" s="2228"/>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3" t="s">
        <v>2774</v>
      </c>
      <c r="B65" s="1493" t="str">
        <f>估价对象房地状况!C21</f>
        <v>估价对象所在区域公共配套设施齐备情况</v>
      </c>
      <c r="C65" s="2228"/>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3" t="s">
        <v>2775</v>
      </c>
      <c r="B66" s="1493" t="str">
        <f>估价对象房地状况!C22</f>
        <v>估价对象所在区域基础设施水平</v>
      </c>
      <c r="C66" s="2228"/>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1" t="s">
        <v>2776</v>
      </c>
      <c r="B67" s="2333" t="str">
        <f>估价对象房地状况!C20</f>
        <v>区域自然环境：；人文环境；综合评价环境状况一般</v>
      </c>
      <c r="C67" s="2228"/>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19" t="s">
        <v>2780</v>
      </c>
      <c r="B68" s="2320">
        <f>1+E70</f>
        <v>1</v>
      </c>
      <c r="C68" s="751"/>
      <c r="D68" s="751"/>
      <c r="E68" s="752"/>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2758</v>
      </c>
      <c r="B69" s="1534"/>
      <c r="C69" s="1534" t="s">
        <v>2760</v>
      </c>
      <c r="D69" s="1534" t="s">
        <v>2761</v>
      </c>
      <c r="E69" s="756" t="s">
        <v>2762</v>
      </c>
      <c r="F69" s="2324" t="s">
        <v>2778</v>
      </c>
      <c r="G69" s="1534" t="s">
        <v>754</v>
      </c>
      <c r="H69" s="2325" t="s">
        <v>2764</v>
      </c>
      <c r="I69" s="1534" t="s">
        <v>2765</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3" t="s">
        <v>2781</v>
      </c>
      <c r="B70" s="2326" t="str">
        <f>估价对象房地状况!C15</f>
        <v>估价对象周边居住用地比例、居住小区规模和社区发展完善程度，综合评价居住社区成熟度一般</v>
      </c>
      <c r="C70" s="2228"/>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3" t="s">
        <v>2767</v>
      </c>
      <c r="B71" s="2327" t="str">
        <f>估价对象房地状况!C18</f>
        <v>估价对象周边道路状况、公共交通通达情况、停车便捷程度，综合评价交通便捷度较好</v>
      </c>
      <c r="C71" s="2228"/>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3" t="s">
        <v>2768</v>
      </c>
      <c r="B72" s="2327">
        <f>估价对象房地状况!C19</f>
        <v>0</v>
      </c>
      <c r="C72" s="2228"/>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3" t="s">
        <v>2782</v>
      </c>
      <c r="B73" s="2327">
        <f>估价对象房地状况!C24</f>
        <v>0</v>
      </c>
      <c r="C73" s="2228"/>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3" t="s">
        <v>2774</v>
      </c>
      <c r="B74" s="1493" t="str">
        <f>估价对象房地状况!C21</f>
        <v>估价对象所在区域公共配套设施齐备情况</v>
      </c>
      <c r="C74" s="2228"/>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3" t="s">
        <v>2775</v>
      </c>
      <c r="B75" s="1493" t="str">
        <f>估价对象房地状况!C22</f>
        <v>估价对象所在区域基础设施水平</v>
      </c>
      <c r="C75" s="2228"/>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7" customFormat="1" ht="24">
      <c r="A76" s="2323" t="s">
        <v>2772</v>
      </c>
      <c r="B76" s="2329" t="s">
        <v>2773</v>
      </c>
      <c r="C76" s="2228"/>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4"/>
      <c r="AB76" s="1279"/>
      <c r="AC76" s="1279"/>
      <c r="AD76" s="1279"/>
      <c r="AE76" s="1279"/>
      <c r="AF76" s="1279"/>
      <c r="AG76" s="1279"/>
      <c r="AH76" s="2334"/>
      <c r="AI76" s="2334"/>
      <c r="AJ76" s="2334"/>
      <c r="AK76" s="2334"/>
    </row>
    <row r="77" spans="1:37" ht="38.25">
      <c r="A77" s="2323" t="s">
        <v>2776</v>
      </c>
      <c r="B77" s="2326" t="str">
        <f>估价对象房地状况!C20</f>
        <v>区域自然环境：；人文环境；综合评价环境状况一般</v>
      </c>
      <c r="C77" s="2228"/>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78"/>
      <c r="AA77" s="2244"/>
      <c r="AG77" s="1280"/>
      <c r="AK77" s="2244"/>
    </row>
    <row r="78" spans="1:37" ht="24.75" thickBot="1">
      <c r="A78" s="2331" t="s">
        <v>2783</v>
      </c>
      <c r="B78" s="2335"/>
      <c r="C78" s="2228"/>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78"/>
      <c r="AA78" s="2244"/>
      <c r="AG78" s="1280"/>
      <c r="AK78" s="2244"/>
    </row>
    <row r="79" spans="1:37" ht="15">
      <c r="A79" s="2319" t="s">
        <v>2784</v>
      </c>
      <c r="B79" s="2320">
        <f>1+E81</f>
        <v>1</v>
      </c>
      <c r="C79" s="751"/>
      <c r="D79" s="751"/>
      <c r="E79" s="752"/>
      <c r="F79" s="2322"/>
      <c r="G79" s="6"/>
      <c r="H79" s="6"/>
      <c r="I79" s="6"/>
      <c r="J79" s="7"/>
      <c r="K79" s="7"/>
      <c r="L79" s="7"/>
      <c r="M79" s="7"/>
      <c r="N79" s="7"/>
      <c r="Z79" s="2178"/>
      <c r="AA79" s="2244"/>
      <c r="AG79" s="1280"/>
      <c r="AK79" s="2244"/>
    </row>
    <row r="80" spans="1:37" ht="24.75">
      <c r="A80" s="2323" t="s">
        <v>2758</v>
      </c>
      <c r="B80" s="1534"/>
      <c r="C80" s="1534" t="s">
        <v>2760</v>
      </c>
      <c r="D80" s="1534" t="s">
        <v>2761</v>
      </c>
      <c r="E80" s="756" t="s">
        <v>2762</v>
      </c>
      <c r="F80" s="2324" t="s">
        <v>2778</v>
      </c>
      <c r="G80" s="1534" t="s">
        <v>754</v>
      </c>
      <c r="H80" s="2325" t="s">
        <v>2764</v>
      </c>
      <c r="I80" s="1534" t="s">
        <v>2765</v>
      </c>
      <c r="J80" s="559" t="s">
        <v>2415</v>
      </c>
      <c r="K80" s="559" t="s">
        <v>2416</v>
      </c>
      <c r="L80" s="559" t="s">
        <v>2417</v>
      </c>
      <c r="M80" s="559" t="s">
        <v>2418</v>
      </c>
      <c r="N80" s="559" t="s">
        <v>2419</v>
      </c>
      <c r="Z80" s="2178"/>
      <c r="AA80" s="2244"/>
      <c r="AG80" s="1280"/>
      <c r="AK80" s="2244"/>
    </row>
    <row r="81" spans="1:37" ht="38.25">
      <c r="A81" s="2323" t="s">
        <v>2785</v>
      </c>
      <c r="B81" s="2327" t="str">
        <f>估价对象房地状况!G15</f>
        <v>估价对象位于XX开发区，园区建设成熟度XX，产业集聚程度XX</v>
      </c>
      <c r="C81" s="2228"/>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8"/>
      <c r="AA81" s="2244"/>
      <c r="AG81" s="1280"/>
      <c r="AK81" s="2244"/>
    </row>
    <row r="82" spans="1:37" ht="51">
      <c r="A82" s="2323" t="s">
        <v>2767</v>
      </c>
      <c r="B82" s="2327" t="str">
        <f>估价对象房地状况!G16</f>
        <v>估价对象周边道路状况、公共交通通达情况、停车便捷程度，综合评价交通便捷度较好</v>
      </c>
      <c r="C82" s="2228"/>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78"/>
      <c r="AA82" s="2244"/>
      <c r="AG82" s="1280"/>
      <c r="AK82" s="2244"/>
    </row>
    <row r="83" spans="1:37" ht="24">
      <c r="A83" s="2323" t="s">
        <v>2768</v>
      </c>
      <c r="B83" s="2327">
        <f>估价对象房地状况!G17</f>
        <v>0</v>
      </c>
      <c r="C83" s="2228"/>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78"/>
      <c r="AA83" s="2244"/>
      <c r="AG83" s="1280"/>
      <c r="AK83" s="2244"/>
    </row>
    <row r="84" spans="1:37" ht="14.25">
      <c r="A84" s="2323" t="s">
        <v>2782</v>
      </c>
      <c r="B84" s="2327">
        <f>估价对象房地状况!G22</f>
        <v>0</v>
      </c>
      <c r="C84" s="2228"/>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78"/>
      <c r="AA84" s="2244"/>
      <c r="AG84" s="1280"/>
      <c r="AK84" s="2244"/>
    </row>
    <row r="85" spans="1:37" ht="25.5">
      <c r="A85" s="2323" t="s">
        <v>2774</v>
      </c>
      <c r="B85" s="1493" t="str">
        <f>估价对象房地状况!G19</f>
        <v>估价对象所在区域公共配套设施齐备情况</v>
      </c>
      <c r="C85" s="2228"/>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78"/>
      <c r="AA85" s="2244"/>
      <c r="AG85" s="1280"/>
      <c r="AK85" s="2244"/>
    </row>
    <row r="86" spans="1:37" ht="25.5">
      <c r="A86" s="2323" t="s">
        <v>2775</v>
      </c>
      <c r="B86" s="1493" t="str">
        <f>估价对象房地状况!G20</f>
        <v>估价对象所在区域基础设施水平</v>
      </c>
      <c r="C86" s="2228"/>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78"/>
      <c r="AA86" s="2244"/>
      <c r="AG86" s="1280"/>
      <c r="AK86" s="2244"/>
    </row>
    <row r="87" spans="1:37" ht="24">
      <c r="A87" s="2323" t="s">
        <v>2772</v>
      </c>
      <c r="B87" s="2329" t="s">
        <v>2786</v>
      </c>
      <c r="C87" s="2228"/>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78"/>
      <c r="AA87" s="2244"/>
      <c r="AG87" s="1280"/>
      <c r="AK87" s="2244"/>
    </row>
    <row r="88" spans="1:37" ht="39" thickBot="1">
      <c r="A88" s="2331" t="s">
        <v>2787</v>
      </c>
      <c r="B88" s="2336" t="str">
        <f>估价对象房地状况!G18</f>
        <v>该园区内是否有污染型企业，绿化情况，卫生条件，整体环境状况判断</v>
      </c>
      <c r="C88" s="2228"/>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78"/>
      <c r="AA88" s="2244"/>
      <c r="AG88" s="1280"/>
      <c r="AK88" s="2244"/>
    </row>
    <row r="90" spans="1:37">
      <c r="A90" s="3462" t="s">
        <v>2788</v>
      </c>
      <c r="B90" s="3462"/>
      <c r="C90" s="3462"/>
      <c r="D90" s="3462"/>
      <c r="E90" s="3462"/>
      <c r="F90" s="3462"/>
      <c r="G90" s="3462"/>
      <c r="H90" s="3462"/>
      <c r="I90" s="3462"/>
      <c r="J90" s="3462"/>
      <c r="K90" s="2337"/>
      <c r="L90" s="2337"/>
      <c r="M90" s="2337"/>
      <c r="N90" s="2337"/>
    </row>
    <row r="91" spans="1:37">
      <c r="A91" s="3464" t="s">
        <v>2789</v>
      </c>
      <c r="B91" s="3464" t="s">
        <v>2790</v>
      </c>
      <c r="C91" s="2291" t="s">
        <v>2791</v>
      </c>
      <c r="D91" s="2292"/>
      <c r="E91" s="2292"/>
      <c r="F91" s="2292"/>
      <c r="G91" s="2292"/>
      <c r="H91" s="2292"/>
      <c r="I91" s="2292"/>
      <c r="J91" s="2338"/>
      <c r="K91" s="2339"/>
      <c r="L91" s="2339"/>
      <c r="M91" s="2339"/>
      <c r="N91" s="2339"/>
    </row>
    <row r="92" spans="1:37">
      <c r="A92" s="3464"/>
      <c r="B92" s="3464"/>
      <c r="C92" s="877" t="s">
        <v>2658</v>
      </c>
      <c r="D92" s="877" t="s">
        <v>2659</v>
      </c>
      <c r="E92" s="877" t="s">
        <v>2660</v>
      </c>
      <c r="F92" s="877" t="s">
        <v>2661</v>
      </c>
      <c r="G92" s="877" t="s">
        <v>2662</v>
      </c>
      <c r="H92" s="877" t="s">
        <v>2663</v>
      </c>
      <c r="I92" s="877" t="s">
        <v>2664</v>
      </c>
      <c r="J92" s="877" t="s">
        <v>2665</v>
      </c>
      <c r="K92" s="877" t="s">
        <v>2666</v>
      </c>
      <c r="L92" s="877" t="s">
        <v>2667</v>
      </c>
      <c r="M92" s="877" t="s">
        <v>2668</v>
      </c>
      <c r="N92" s="877" t="s">
        <v>2669</v>
      </c>
    </row>
    <row r="93" spans="1:37">
      <c r="A93" s="346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6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6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6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6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6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66"/>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6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65" t="s">
        <v>2793</v>
      </c>
      <c r="B101" s="2344" t="s">
        <v>2794</v>
      </c>
      <c r="C101" s="2345">
        <f>$G$3</f>
        <v>1.36</v>
      </c>
      <c r="D101" s="2345">
        <f t="shared" ref="D101:N101" si="31">$G$3</f>
        <v>1.36</v>
      </c>
      <c r="E101" s="2345">
        <f t="shared" si="31"/>
        <v>1.36</v>
      </c>
      <c r="F101" s="2345">
        <f t="shared" si="31"/>
        <v>1.36</v>
      </c>
      <c r="G101" s="2345">
        <f t="shared" si="31"/>
        <v>1.36</v>
      </c>
      <c r="H101" s="2345">
        <f t="shared" si="31"/>
        <v>1.36</v>
      </c>
      <c r="I101" s="2345">
        <f t="shared" si="31"/>
        <v>1.36</v>
      </c>
      <c r="J101" s="2345">
        <f t="shared" si="31"/>
        <v>1.36</v>
      </c>
      <c r="K101" s="2345">
        <f t="shared" si="31"/>
        <v>1.36</v>
      </c>
      <c r="L101" s="2345">
        <f t="shared" si="31"/>
        <v>1.36</v>
      </c>
      <c r="M101" s="2345">
        <f t="shared" si="31"/>
        <v>1.36</v>
      </c>
      <c r="N101" s="2345">
        <f t="shared" si="31"/>
        <v>1.36</v>
      </c>
    </row>
    <row r="102" spans="1:14">
      <c r="A102" s="3466"/>
      <c r="B102" s="2340">
        <v>1</v>
      </c>
      <c r="C102" s="2341">
        <f>1.9362/C101</f>
        <v>1.4236764705882352</v>
      </c>
      <c r="D102" s="2341">
        <f>1.9362/D101</f>
        <v>1.4236764705882352</v>
      </c>
      <c r="E102" s="2341">
        <f>1.8629/E101</f>
        <v>1.3697794117647057</v>
      </c>
      <c r="F102" s="2341">
        <f>1.8629/F101</f>
        <v>1.3697794117647057</v>
      </c>
      <c r="G102" s="2341">
        <f>1.8629/G101</f>
        <v>1.3697794117647057</v>
      </c>
      <c r="H102" s="2341">
        <f>1.8629/H101</f>
        <v>1.3697794117647057</v>
      </c>
      <c r="I102" s="2341">
        <f>1.8629/I101</f>
        <v>1.3697794117647057</v>
      </c>
      <c r="J102" s="2341">
        <f>1.942/J101</f>
        <v>1.427941176470588</v>
      </c>
      <c r="K102" s="2341">
        <f>1.942/K101</f>
        <v>1.427941176470588</v>
      </c>
      <c r="L102" s="2341">
        <f>1.942/L101</f>
        <v>1.427941176470588</v>
      </c>
      <c r="M102" s="2341">
        <f>1.942/M101</f>
        <v>1.427941176470588</v>
      </c>
      <c r="N102" s="2341">
        <f>1.942/N101</f>
        <v>1.427941176470588</v>
      </c>
    </row>
    <row r="103" spans="1:14">
      <c r="A103" s="3466"/>
      <c r="B103" s="2340">
        <v>2</v>
      </c>
      <c r="C103" s="2341">
        <f>1.4198/C101</f>
        <v>1.0439705882352941</v>
      </c>
      <c r="D103" s="2341">
        <f>1.4198/D101</f>
        <v>1.0439705882352941</v>
      </c>
      <c r="E103" s="2341">
        <f>1.3372/E101</f>
        <v>0.98323529411764699</v>
      </c>
      <c r="F103" s="2341">
        <f>1.3372/F101</f>
        <v>0.98323529411764699</v>
      </c>
      <c r="G103" s="2341">
        <f>1.3372/G101</f>
        <v>0.98323529411764699</v>
      </c>
      <c r="H103" s="2341">
        <f>1.3372/H101</f>
        <v>0.98323529411764699</v>
      </c>
      <c r="I103" s="2341">
        <f>1.3372/I101</f>
        <v>0.98323529411764699</v>
      </c>
      <c r="J103" s="2341">
        <f>1.2799/J101</f>
        <v>0.94110294117647053</v>
      </c>
      <c r="K103" s="2341">
        <f>1.2799/K101</f>
        <v>0.94110294117647053</v>
      </c>
      <c r="L103" s="2341">
        <f>1.2799/L101</f>
        <v>0.94110294117647053</v>
      </c>
      <c r="M103" s="2341">
        <f>1.2799/M101</f>
        <v>0.94110294117647053</v>
      </c>
      <c r="N103" s="2341">
        <f>1.2799/N101</f>
        <v>0.94110294117647053</v>
      </c>
    </row>
    <row r="104" spans="1:14">
      <c r="A104" s="3466"/>
      <c r="B104" s="2340">
        <v>3</v>
      </c>
      <c r="C104" s="2341">
        <f>1.1594/C101</f>
        <v>0.85249999999999992</v>
      </c>
      <c r="D104" s="2341">
        <f>1.1594/D101</f>
        <v>0.85249999999999992</v>
      </c>
      <c r="E104" s="2341">
        <f>1.0788/E101</f>
        <v>0.79323529411764704</v>
      </c>
      <c r="F104" s="2341">
        <f>1.0788/F101</f>
        <v>0.79323529411764704</v>
      </c>
      <c r="G104" s="2341">
        <f>1.0788/G101</f>
        <v>0.79323529411764704</v>
      </c>
      <c r="H104" s="2341">
        <f>1.0788/H101</f>
        <v>0.79323529411764704</v>
      </c>
      <c r="I104" s="2341">
        <f>1.0788/I101</f>
        <v>0.79323529411764704</v>
      </c>
      <c r="J104" s="2341">
        <f>1.0072/J101</f>
        <v>0.74058823529411766</v>
      </c>
      <c r="K104" s="2341">
        <f>1.0072/K101</f>
        <v>0.74058823529411766</v>
      </c>
      <c r="L104" s="2341">
        <f>1.0072/L101</f>
        <v>0.74058823529411766</v>
      </c>
      <c r="M104" s="2341">
        <f>1.0072/M101</f>
        <v>0.74058823529411766</v>
      </c>
      <c r="N104" s="2341">
        <f>1.0072/N101</f>
        <v>0.74058823529411766</v>
      </c>
    </row>
    <row r="105" spans="1:14">
      <c r="A105" s="3466"/>
      <c r="B105" s="2340">
        <v>4</v>
      </c>
      <c r="C105" s="2341">
        <f>0.9622/C101</f>
        <v>0.70750000000000002</v>
      </c>
      <c r="D105" s="2341">
        <f>0.9622/D101</f>
        <v>0.70750000000000002</v>
      </c>
      <c r="E105" s="2341">
        <f>0.8656/E101</f>
        <v>0.63647058823529412</v>
      </c>
      <c r="F105" s="2341">
        <f>0.8656/F101</f>
        <v>0.63647058823529412</v>
      </c>
      <c r="G105" s="2341">
        <f>0.8656/G101</f>
        <v>0.63647058823529412</v>
      </c>
      <c r="H105" s="2341">
        <f>0.8656/H101</f>
        <v>0.63647058823529412</v>
      </c>
      <c r="I105" s="2341">
        <f>0.8656/I101</f>
        <v>0.63647058823529412</v>
      </c>
      <c r="J105" s="2341">
        <f>0.7525/J101</f>
        <v>0.55330882352941169</v>
      </c>
      <c r="K105" s="2341">
        <f>0.7525/K101</f>
        <v>0.55330882352941169</v>
      </c>
      <c r="L105" s="2341">
        <f>0.7525/L101</f>
        <v>0.55330882352941169</v>
      </c>
      <c r="M105" s="2341">
        <f>0.7525/M101</f>
        <v>0.55330882352941169</v>
      </c>
      <c r="N105" s="2341">
        <f>0.7525/N101</f>
        <v>0.55330882352941169</v>
      </c>
    </row>
    <row r="106" spans="1:14">
      <c r="A106" s="3466"/>
      <c r="B106" s="2340">
        <v>5</v>
      </c>
      <c r="C106" s="2341">
        <f>0.8417/C101</f>
        <v>0.61889705882352941</v>
      </c>
      <c r="D106" s="2341">
        <f>0.8417/D101</f>
        <v>0.61889705882352941</v>
      </c>
      <c r="E106" s="2341">
        <f>0.7371/E101</f>
        <v>0.54198529411764695</v>
      </c>
      <c r="F106" s="2341">
        <f>0.7371/F101</f>
        <v>0.54198529411764695</v>
      </c>
      <c r="G106" s="2341">
        <f>0.7371/G101</f>
        <v>0.54198529411764695</v>
      </c>
      <c r="H106" s="2341">
        <f>0.7371/H101</f>
        <v>0.54198529411764695</v>
      </c>
      <c r="I106" s="2341">
        <f>0.7371/I101</f>
        <v>0.54198529411764695</v>
      </c>
      <c r="J106" s="2341">
        <f>0.5659/J101</f>
        <v>0.41610294117647051</v>
      </c>
      <c r="K106" s="2341">
        <f>0.5659/K101</f>
        <v>0.41610294117647051</v>
      </c>
      <c r="L106" s="2341">
        <f>0.5659/L101</f>
        <v>0.41610294117647051</v>
      </c>
      <c r="M106" s="2341">
        <f>0.5659/M101</f>
        <v>0.41610294117647051</v>
      </c>
      <c r="N106" s="2341">
        <f>0.5659/N101</f>
        <v>0.41610294117647051</v>
      </c>
    </row>
    <row r="107" spans="1:14">
      <c r="A107" s="3466"/>
      <c r="B107" s="2340">
        <v>6</v>
      </c>
      <c r="C107" s="2341">
        <f>0.7608/C101</f>
        <v>0.55941176470588239</v>
      </c>
      <c r="D107" s="2341">
        <f>0.7608/D101</f>
        <v>0.55941176470588239</v>
      </c>
      <c r="E107" s="2341">
        <f>0.6482/E101</f>
        <v>0.47661764705882348</v>
      </c>
      <c r="F107" s="2341">
        <f>0.6482/F101</f>
        <v>0.47661764705882348</v>
      </c>
      <c r="G107" s="2341">
        <f>0.6482/G101</f>
        <v>0.47661764705882348</v>
      </c>
      <c r="H107" s="2341">
        <f>0.6482/H101</f>
        <v>0.47661764705882348</v>
      </c>
      <c r="I107" s="2341">
        <f>0.6482/I101</f>
        <v>0.47661764705882348</v>
      </c>
      <c r="J107" s="2341">
        <f>0.4525/J101</f>
        <v>0.3327205882352941</v>
      </c>
      <c r="K107" s="2341">
        <f>0.4525/K101</f>
        <v>0.3327205882352941</v>
      </c>
      <c r="L107" s="2341">
        <f>0.4525/L101</f>
        <v>0.3327205882352941</v>
      </c>
      <c r="M107" s="2341">
        <f>0.4525/M101</f>
        <v>0.3327205882352941</v>
      </c>
      <c r="N107" s="2341">
        <f>0.4525/N101</f>
        <v>0.3327205882352941</v>
      </c>
    </row>
    <row r="108" spans="1:14">
      <c r="A108" s="3466"/>
      <c r="B108" s="346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67"/>
      <c r="B109" s="3469"/>
      <c r="C109" s="2343">
        <f>(-0.163*(C108^2)-0.59*C108+7617)*(10^(-4))/C101</f>
        <v>0.56007352941176469</v>
      </c>
      <c r="D109" s="2343">
        <f>(-0.163*(D108^2)-0.59*D108+7617)*(10^(-4))/D101</f>
        <v>0.56007352941176469</v>
      </c>
      <c r="E109" s="2343">
        <f>(-0.161*(E108^2)-7.509*E108+6533)*(10^(-4))/E101</f>
        <v>0.48036764705882351</v>
      </c>
      <c r="F109" s="2343">
        <f>(-0.161*(F108^2)-7.509*F108+6533)*(10^(-4))/F101</f>
        <v>0.48036764705882351</v>
      </c>
      <c r="G109" s="2343">
        <f>(-0.161*(G108^2)-7.509*G108+6533)*(10^(-4))/G101</f>
        <v>0.48036764705882351</v>
      </c>
      <c r="H109" s="2343">
        <f>(-0.161*(H108^2)-7.509*H108+6533)*(10^(-4))/H101</f>
        <v>0.48036764705882351</v>
      </c>
      <c r="I109" s="2343">
        <f>(-0.161*(I108^2)-7.509*I108+6533)*(10^(-4))/I101</f>
        <v>0.48036764705882351</v>
      </c>
      <c r="J109" s="2343">
        <f>(-0.214*(J108^2)-21.991*J108+4665)*(10^(-4))/J101</f>
        <v>0.34301470588235294</v>
      </c>
      <c r="K109" s="2343">
        <f>(-0.214*(K108^2)-21.991*K108+4665)*(10^(-4))/K101</f>
        <v>0.34301470588235294</v>
      </c>
      <c r="L109" s="2343">
        <f>(-0.214*(L108^2)-21.991*L108+4665)*(10^(-4))/L101</f>
        <v>0.34301470588235294</v>
      </c>
      <c r="M109" s="2343">
        <f>(-0.214*(M108^2)-21.991*M108+4665)*(10^(-4))/M101</f>
        <v>0.34301470588235294</v>
      </c>
      <c r="N109" s="2343">
        <f>(-0.214*(N108^2)-21.991*N108+4665)*(10^(-4))/N101</f>
        <v>0.34301470588235294</v>
      </c>
    </row>
    <row r="110" spans="1:14">
      <c r="A110" s="3463" t="s">
        <v>2796</v>
      </c>
      <c r="B110" s="3463"/>
      <c r="C110" s="3463"/>
      <c r="D110" s="3463"/>
      <c r="E110" s="3463"/>
      <c r="F110" s="3463"/>
      <c r="G110" s="3463"/>
      <c r="H110" s="3463"/>
      <c r="I110" s="3463"/>
      <c r="J110" s="3463"/>
      <c r="K110" s="2346"/>
      <c r="L110" s="2346"/>
      <c r="M110" s="2346"/>
      <c r="N110" s="2346"/>
    </row>
    <row r="112" spans="1:14" ht="13.5" thickBot="1"/>
    <row r="113" spans="1:13" ht="25.5" thickBot="1">
      <c r="A113" s="840" t="s">
        <v>2797</v>
      </c>
      <c r="B113" s="1195">
        <f>G3</f>
        <v>1.36</v>
      </c>
      <c r="C113" s="841" t="s">
        <v>2798</v>
      </c>
      <c r="D113" s="842">
        <f>SUMPRODUCT((A115:A118=F113)*(B114:M114=H113)*B115:M118)</f>
        <v>0</v>
      </c>
      <c r="E113" s="2182" t="s">
        <v>2631</v>
      </c>
      <c r="F113" s="2348">
        <f>E2</f>
        <v>0</v>
      </c>
      <c r="G113" s="2182" t="s">
        <v>2632</v>
      </c>
      <c r="H113" s="2348">
        <f>G2</f>
        <v>0</v>
      </c>
      <c r="I113" s="2182"/>
      <c r="J113" s="2349"/>
      <c r="K113" s="2349"/>
      <c r="L113" s="2349"/>
      <c r="M113" s="2349"/>
    </row>
    <row r="114" spans="1:13">
      <c r="A114" s="845"/>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6" t="s">
        <v>2696</v>
      </c>
      <c r="B115" s="847">
        <f>ROUND(0.9335-0.0094*B113,4)</f>
        <v>0.92069999999999996</v>
      </c>
      <c r="C115" s="847">
        <f>B115</f>
        <v>0.92069999999999996</v>
      </c>
      <c r="D115" s="847">
        <f>ROUND(0.8331-0.0109*B113,4)</f>
        <v>0.81830000000000003</v>
      </c>
      <c r="E115" s="847">
        <f>D115</f>
        <v>0.81830000000000003</v>
      </c>
      <c r="F115" s="847">
        <f>E115</f>
        <v>0.81830000000000003</v>
      </c>
      <c r="G115" s="847">
        <f>F115</f>
        <v>0.81830000000000003</v>
      </c>
      <c r="H115" s="847">
        <f>G115</f>
        <v>0.81830000000000003</v>
      </c>
      <c r="I115" s="847">
        <f>ROUND(0.689-0.0155*B113,4)</f>
        <v>0.66790000000000005</v>
      </c>
      <c r="J115" s="847">
        <f t="shared" ref="J115:M118" si="33">I115</f>
        <v>0.66790000000000005</v>
      </c>
      <c r="K115" s="847">
        <f t="shared" si="33"/>
        <v>0.66790000000000005</v>
      </c>
      <c r="L115" s="847">
        <f t="shared" si="33"/>
        <v>0.66790000000000005</v>
      </c>
      <c r="M115" s="848">
        <f t="shared" si="33"/>
        <v>0.66790000000000005</v>
      </c>
    </row>
    <row r="116" spans="1:13">
      <c r="A116" s="846" t="s">
        <v>2697</v>
      </c>
      <c r="B116" s="847">
        <f>ROUND(0.949-0.012*B113,4)</f>
        <v>0.93269999999999997</v>
      </c>
      <c r="C116" s="847">
        <f>B116</f>
        <v>0.93269999999999997</v>
      </c>
      <c r="D116" s="847">
        <f>ROUND(0.8567-0.013*B113,4)</f>
        <v>0.83899999999999997</v>
      </c>
      <c r="E116" s="847">
        <f t="shared" ref="E116:H117" si="34">D116</f>
        <v>0.83899999999999997</v>
      </c>
      <c r="F116" s="847">
        <f t="shared" si="34"/>
        <v>0.83899999999999997</v>
      </c>
      <c r="G116" s="847">
        <f t="shared" si="34"/>
        <v>0.83899999999999997</v>
      </c>
      <c r="H116" s="847">
        <f t="shared" si="34"/>
        <v>0.83899999999999997</v>
      </c>
      <c r="I116" s="847">
        <f>ROUND(0.7694-0.014*B113,4)</f>
        <v>0.75039999999999996</v>
      </c>
      <c r="J116" s="847">
        <f t="shared" si="33"/>
        <v>0.75039999999999996</v>
      </c>
      <c r="K116" s="847">
        <f t="shared" si="33"/>
        <v>0.75039999999999996</v>
      </c>
      <c r="L116" s="847">
        <f t="shared" si="33"/>
        <v>0.75039999999999996</v>
      </c>
      <c r="M116" s="848">
        <f t="shared" si="33"/>
        <v>0.75039999999999996</v>
      </c>
    </row>
    <row r="117" spans="1:13">
      <c r="A117" s="846" t="s">
        <v>2698</v>
      </c>
      <c r="B117" s="847">
        <f>ROUND(0.8808-0.006*B113,4)</f>
        <v>0.87260000000000004</v>
      </c>
      <c r="C117" s="847">
        <f>B117</f>
        <v>0.87260000000000004</v>
      </c>
      <c r="D117" s="847">
        <f>ROUND(0.8748-0.008*B113,4)</f>
        <v>0.8639</v>
      </c>
      <c r="E117" s="847">
        <f t="shared" si="34"/>
        <v>0.8639</v>
      </c>
      <c r="F117" s="847">
        <f t="shared" si="34"/>
        <v>0.8639</v>
      </c>
      <c r="G117" s="847">
        <f t="shared" si="34"/>
        <v>0.8639</v>
      </c>
      <c r="H117" s="847">
        <f t="shared" si="34"/>
        <v>0.8639</v>
      </c>
      <c r="I117" s="847">
        <f>ROUND(0.7412-0.0095*B113,4)</f>
        <v>0.72829999999999995</v>
      </c>
      <c r="J117" s="847">
        <f t="shared" si="33"/>
        <v>0.72829999999999995</v>
      </c>
      <c r="K117" s="847">
        <f t="shared" si="33"/>
        <v>0.72829999999999995</v>
      </c>
      <c r="L117" s="847">
        <f t="shared" si="33"/>
        <v>0.72829999999999995</v>
      </c>
      <c r="M117" s="848">
        <f t="shared" si="33"/>
        <v>0.72829999999999995</v>
      </c>
    </row>
    <row r="118" spans="1:13" ht="13.5" thickBot="1">
      <c r="A118" s="669" t="s">
        <v>2699</v>
      </c>
      <c r="B118" s="849">
        <f>ROUND(0.7275-0.01*B113,4)</f>
        <v>0.71389999999999998</v>
      </c>
      <c r="C118" s="849">
        <f>B118</f>
        <v>0.71389999999999998</v>
      </c>
      <c r="D118" s="849">
        <f>ROUND(0.7043-0.012*B113,4)</f>
        <v>0.68799999999999994</v>
      </c>
      <c r="E118" s="849">
        <f>D118</f>
        <v>0.68799999999999994</v>
      </c>
      <c r="F118" s="849">
        <f>E118</f>
        <v>0.68799999999999994</v>
      </c>
      <c r="G118" s="849">
        <f>ROUND(0.6299-0.0122*B113,4)</f>
        <v>0.61329999999999996</v>
      </c>
      <c r="H118" s="849">
        <f>G118</f>
        <v>0.61329999999999996</v>
      </c>
      <c r="I118" s="849">
        <f>ROUND(0.5667-0.0136*B113,4)</f>
        <v>0.54820000000000002</v>
      </c>
      <c r="J118" s="849">
        <f t="shared" si="33"/>
        <v>0.54820000000000002</v>
      </c>
      <c r="K118" s="849">
        <f t="shared" si="33"/>
        <v>0.54820000000000002</v>
      </c>
      <c r="L118" s="849">
        <f t="shared" si="33"/>
        <v>0.54820000000000002</v>
      </c>
      <c r="M118" s="850">
        <f t="shared" si="33"/>
        <v>0.54820000000000002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76" t="s">
        <v>183</v>
      </c>
      <c r="B18" s="819" t="s">
        <v>560</v>
      </c>
      <c r="C18" s="820" t="s">
        <v>561</v>
      </c>
      <c r="D18" s="821"/>
      <c r="E18" s="819">
        <v>1</v>
      </c>
      <c r="F18" s="822" t="s">
        <v>562</v>
      </c>
      <c r="G18" s="823"/>
      <c r="H18" s="815"/>
      <c r="I18" s="815"/>
    </row>
    <row r="19" spans="1:9" s="824" customFormat="1" ht="19.5" customHeight="1">
      <c r="A19" s="3476"/>
      <c r="B19" s="3476" t="s">
        <v>563</v>
      </c>
      <c r="C19" s="820" t="s">
        <v>564</v>
      </c>
      <c r="D19" s="821"/>
      <c r="E19" s="819">
        <v>0.9</v>
      </c>
      <c r="F19" s="822" t="s">
        <v>565</v>
      </c>
      <c r="G19" s="823"/>
      <c r="H19" s="815"/>
      <c r="I19" s="815"/>
    </row>
    <row r="20" spans="1:9" s="824" customFormat="1" ht="19.5" customHeight="1">
      <c r="A20" s="3476"/>
      <c r="B20" s="3476"/>
      <c r="C20" s="820" t="s">
        <v>566</v>
      </c>
      <c r="D20" s="821"/>
      <c r="E20" s="819">
        <v>1.1000000000000001</v>
      </c>
      <c r="F20" s="822" t="s">
        <v>567</v>
      </c>
      <c r="G20" s="823"/>
      <c r="H20" s="815"/>
      <c r="I20" s="815"/>
    </row>
    <row r="21" spans="1:9" s="824" customFormat="1" ht="19.5" customHeight="1">
      <c r="A21" s="3476"/>
      <c r="B21" s="3476"/>
      <c r="C21" s="820" t="s">
        <v>568</v>
      </c>
      <c r="D21" s="821"/>
      <c r="E21" s="819">
        <v>0.8</v>
      </c>
      <c r="F21" s="822" t="s">
        <v>569</v>
      </c>
      <c r="G21" s="823"/>
      <c r="H21" s="815"/>
      <c r="I21" s="815"/>
    </row>
    <row r="22" spans="1:9" s="824" customFormat="1" ht="19.5" customHeight="1">
      <c r="A22" s="3476"/>
      <c r="B22" s="3476"/>
      <c r="C22" s="820" t="s">
        <v>570</v>
      </c>
      <c r="D22" s="821"/>
      <c r="E22" s="819">
        <v>0.5</v>
      </c>
      <c r="F22" s="822"/>
      <c r="G22" s="823"/>
      <c r="H22" s="815"/>
      <c r="I22" s="815"/>
    </row>
    <row r="23" spans="1:9" s="824" customFormat="1" ht="19.5" customHeight="1">
      <c r="A23" s="3476" t="s">
        <v>184</v>
      </c>
      <c r="B23" s="819" t="s">
        <v>560</v>
      </c>
      <c r="C23" s="820" t="s">
        <v>571</v>
      </c>
      <c r="D23" s="821"/>
      <c r="E23" s="819">
        <v>1</v>
      </c>
      <c r="F23" s="822" t="s">
        <v>572</v>
      </c>
      <c r="G23" s="823"/>
      <c r="H23" s="815"/>
      <c r="I23" s="815"/>
    </row>
    <row r="24" spans="1:9" s="824" customFormat="1" ht="19.5" customHeight="1">
      <c r="A24" s="3476"/>
      <c r="B24" s="3476" t="s">
        <v>563</v>
      </c>
      <c r="C24" s="820" t="s">
        <v>573</v>
      </c>
      <c r="D24" s="821"/>
      <c r="E24" s="819">
        <v>0.5</v>
      </c>
      <c r="F24" s="822"/>
      <c r="G24" s="823"/>
      <c r="H24" s="815"/>
      <c r="I24" s="815"/>
    </row>
    <row r="25" spans="1:9" s="824" customFormat="1" ht="19.5" customHeight="1">
      <c r="A25" s="3476"/>
      <c r="B25" s="3476"/>
      <c r="C25" s="820" t="s">
        <v>574</v>
      </c>
      <c r="D25" s="821"/>
      <c r="E25" s="819">
        <v>1.1000000000000001</v>
      </c>
      <c r="F25" s="822"/>
      <c r="G25" s="823"/>
      <c r="H25" s="815"/>
      <c r="I25" s="815"/>
    </row>
    <row r="26" spans="1:9" s="824" customFormat="1" ht="19.5" customHeight="1">
      <c r="A26" s="3476"/>
      <c r="B26" s="3476"/>
      <c r="C26" s="820" t="s">
        <v>575</v>
      </c>
      <c r="D26" s="821"/>
      <c r="E26" s="819">
        <v>1.1000000000000001</v>
      </c>
      <c r="F26" s="822"/>
      <c r="G26" s="823"/>
      <c r="H26" s="815"/>
      <c r="I26" s="815"/>
    </row>
    <row r="27" spans="1:9" s="824" customFormat="1" ht="19.5" customHeight="1">
      <c r="A27" s="3476"/>
      <c r="B27" s="3476"/>
      <c r="C27" s="820" t="s">
        <v>576</v>
      </c>
      <c r="D27" s="821"/>
      <c r="E27" s="819">
        <v>0.9</v>
      </c>
      <c r="F27" s="822" t="s">
        <v>577</v>
      </c>
      <c r="G27" s="823"/>
      <c r="H27" s="815"/>
      <c r="I27" s="815"/>
    </row>
    <row r="28" spans="1:9" s="824" customFormat="1" ht="19.5" customHeight="1">
      <c r="A28" s="3476"/>
      <c r="B28" s="3476"/>
      <c r="C28" s="820" t="s">
        <v>578</v>
      </c>
      <c r="D28" s="821"/>
      <c r="E28" s="819">
        <v>0.9</v>
      </c>
      <c r="F28" s="822" t="s">
        <v>579</v>
      </c>
      <c r="G28" s="823"/>
      <c r="H28" s="815"/>
      <c r="I28" s="815"/>
    </row>
    <row r="29" spans="1:9" s="824" customFormat="1" ht="19.5" customHeight="1">
      <c r="A29" s="3476"/>
      <c r="B29" s="3476"/>
      <c r="C29" s="820" t="s">
        <v>580</v>
      </c>
      <c r="D29" s="821"/>
      <c r="E29" s="819">
        <v>0.9</v>
      </c>
      <c r="F29" s="822" t="s">
        <v>581</v>
      </c>
      <c r="G29" s="823"/>
      <c r="H29" s="815"/>
      <c r="I29" s="815"/>
    </row>
    <row r="30" spans="1:9" s="824" customFormat="1" ht="19.5" customHeight="1">
      <c r="A30" s="3476"/>
      <c r="B30" s="3476"/>
      <c r="C30" s="820" t="s">
        <v>582</v>
      </c>
      <c r="D30" s="821"/>
      <c r="E30" s="819">
        <v>0.9</v>
      </c>
      <c r="F30" s="822" t="s">
        <v>583</v>
      </c>
      <c r="G30" s="823"/>
      <c r="H30" s="815"/>
      <c r="I30" s="815"/>
    </row>
    <row r="31" spans="1:9" s="824" customFormat="1" ht="19.5" customHeight="1">
      <c r="A31" s="3476"/>
      <c r="B31" s="3476"/>
      <c r="C31" s="820" t="s">
        <v>584</v>
      </c>
      <c r="D31" s="821"/>
      <c r="E31" s="819">
        <v>0.8</v>
      </c>
      <c r="F31" s="822" t="s">
        <v>585</v>
      </c>
      <c r="G31" s="823"/>
      <c r="H31" s="815"/>
      <c r="I31" s="815"/>
    </row>
    <row r="32" spans="1:9" s="824" customFormat="1" ht="19.5" customHeight="1">
      <c r="A32" s="3476"/>
      <c r="B32" s="3476"/>
      <c r="C32" s="820" t="s">
        <v>586</v>
      </c>
      <c r="D32" s="821"/>
      <c r="E32" s="819">
        <v>0.8</v>
      </c>
      <c r="F32" s="822" t="s">
        <v>587</v>
      </c>
      <c r="G32" s="823"/>
      <c r="H32" s="815"/>
      <c r="I32" s="815"/>
    </row>
    <row r="33" spans="1:9" s="824" customFormat="1" ht="19.5" customHeight="1">
      <c r="A33" s="3476" t="s">
        <v>185</v>
      </c>
      <c r="B33" s="819" t="s">
        <v>560</v>
      </c>
      <c r="C33" s="820" t="s">
        <v>588</v>
      </c>
      <c r="D33" s="821"/>
      <c r="E33" s="819">
        <v>1</v>
      </c>
      <c r="F33" s="822" t="s">
        <v>589</v>
      </c>
      <c r="G33" s="823"/>
      <c r="H33" s="815"/>
      <c r="I33" s="815"/>
    </row>
    <row r="34" spans="1:9" s="824" customFormat="1" ht="19.5" customHeight="1">
      <c r="A34" s="3476"/>
      <c r="B34" s="819" t="s">
        <v>563</v>
      </c>
      <c r="C34" s="820" t="s">
        <v>590</v>
      </c>
      <c r="D34" s="821"/>
      <c r="E34" s="819">
        <v>1.5</v>
      </c>
      <c r="F34" s="822" t="s">
        <v>591</v>
      </c>
      <c r="G34" s="823"/>
      <c r="H34" s="815"/>
      <c r="I34" s="815"/>
    </row>
    <row r="35" spans="1:9" s="824" customFormat="1" ht="19.5" customHeight="1">
      <c r="A35" s="3476" t="s">
        <v>186</v>
      </c>
      <c r="B35" s="819" t="s">
        <v>560</v>
      </c>
      <c r="C35" s="820" t="s">
        <v>592</v>
      </c>
      <c r="D35" s="821"/>
      <c r="E35" s="819">
        <v>1</v>
      </c>
      <c r="F35" s="822" t="s">
        <v>593</v>
      </c>
      <c r="G35" s="823"/>
      <c r="H35" s="815"/>
      <c r="I35" s="815"/>
    </row>
    <row r="36" spans="1:9" s="824" customFormat="1" ht="19.5" customHeight="1">
      <c r="A36" s="3476"/>
      <c r="B36" s="3476" t="s">
        <v>563</v>
      </c>
      <c r="C36" s="820" t="s">
        <v>594</v>
      </c>
      <c r="D36" s="821"/>
      <c r="E36" s="819">
        <v>1</v>
      </c>
      <c r="F36" s="822" t="s">
        <v>595</v>
      </c>
      <c r="G36" s="823"/>
      <c r="H36" s="815"/>
      <c r="I36" s="815"/>
    </row>
    <row r="37" spans="1:9" s="824" customFormat="1" ht="19.5" customHeight="1">
      <c r="A37" s="3476"/>
      <c r="B37" s="3476"/>
      <c r="C37" s="820" t="s">
        <v>596</v>
      </c>
      <c r="D37" s="821"/>
      <c r="E37" s="819">
        <v>1.5</v>
      </c>
      <c r="F37" s="822" t="s">
        <v>597</v>
      </c>
      <c r="G37" s="823"/>
      <c r="H37" s="815"/>
      <c r="I37" s="815"/>
    </row>
    <row r="38" spans="1:9" s="824" customFormat="1" ht="19.5" customHeight="1">
      <c r="A38" s="3476"/>
      <c r="B38" s="3476"/>
      <c r="C38" s="820" t="s">
        <v>598</v>
      </c>
      <c r="D38" s="821"/>
      <c r="E38" s="819">
        <v>1</v>
      </c>
      <c r="F38" s="822" t="s">
        <v>599</v>
      </c>
      <c r="G38" s="823"/>
      <c r="H38" s="815"/>
      <c r="I38" s="815"/>
    </row>
    <row r="39" spans="1:9" s="824" customFormat="1" ht="19.5" customHeight="1">
      <c r="A39" s="3476"/>
      <c r="B39" s="347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76" t="s">
        <v>614</v>
      </c>
      <c r="C61" s="755" t="s">
        <v>615</v>
      </c>
      <c r="D61" s="755" t="s">
        <v>616</v>
      </c>
      <c r="E61" s="832">
        <v>0.5</v>
      </c>
      <c r="F61" s="819">
        <v>80</v>
      </c>
    </row>
    <row r="62" spans="1:8" s="815" customFormat="1" ht="24">
      <c r="A62" s="819">
        <v>2</v>
      </c>
      <c r="B62" s="3476"/>
      <c r="C62" s="755" t="s">
        <v>617</v>
      </c>
      <c r="D62" s="755" t="s">
        <v>618</v>
      </c>
      <c r="E62" s="832">
        <v>0.5</v>
      </c>
      <c r="F62" s="819">
        <v>80</v>
      </c>
    </row>
    <row r="63" spans="1:8" s="815" customFormat="1" ht="36">
      <c r="A63" s="819">
        <v>3</v>
      </c>
      <c r="B63" s="3476"/>
      <c r="C63" s="755" t="s">
        <v>619</v>
      </c>
      <c r="D63" s="755" t="s">
        <v>620</v>
      </c>
      <c r="E63" s="832">
        <v>0.5</v>
      </c>
      <c r="F63" s="819">
        <v>80</v>
      </c>
    </row>
    <row r="64" spans="1:8" s="815" customFormat="1" ht="36">
      <c r="A64" s="819">
        <v>4</v>
      </c>
      <c r="B64" s="3476"/>
      <c r="C64" s="755" t="s">
        <v>621</v>
      </c>
      <c r="D64" s="755" t="s">
        <v>622</v>
      </c>
      <c r="E64" s="832">
        <v>0.4</v>
      </c>
      <c r="F64" s="819">
        <v>60</v>
      </c>
    </row>
    <row r="65" spans="1:6" s="815" customFormat="1" ht="36">
      <c r="A65" s="819">
        <v>5</v>
      </c>
      <c r="B65" s="3476"/>
      <c r="C65" s="755" t="s">
        <v>623</v>
      </c>
      <c r="D65" s="755" t="s">
        <v>624</v>
      </c>
      <c r="E65" s="832">
        <v>0.2</v>
      </c>
      <c r="F65" s="819">
        <v>30</v>
      </c>
    </row>
    <row r="66" spans="1:6" s="815" customFormat="1" ht="36">
      <c r="A66" s="819">
        <v>6</v>
      </c>
      <c r="B66" s="3476"/>
      <c r="C66" s="755" t="s">
        <v>625</v>
      </c>
      <c r="D66" s="755" t="s">
        <v>626</v>
      </c>
      <c r="E66" s="832">
        <v>0.3</v>
      </c>
      <c r="F66" s="819">
        <v>50</v>
      </c>
    </row>
    <row r="67" spans="1:6" s="815" customFormat="1" ht="36">
      <c r="A67" s="819">
        <v>7</v>
      </c>
      <c r="B67" s="3476"/>
      <c r="C67" s="755" t="s">
        <v>627</v>
      </c>
      <c r="D67" s="755" t="s">
        <v>628</v>
      </c>
      <c r="E67" s="832">
        <v>0.2</v>
      </c>
      <c r="F67" s="819">
        <v>30</v>
      </c>
    </row>
    <row r="68" spans="1:6" s="815" customFormat="1" ht="36">
      <c r="A68" s="819">
        <v>8</v>
      </c>
      <c r="B68" s="3476"/>
      <c r="C68" s="755" t="s">
        <v>629</v>
      </c>
      <c r="D68" s="755" t="s">
        <v>630</v>
      </c>
      <c r="E68" s="832">
        <v>0.2</v>
      </c>
      <c r="F68" s="819">
        <v>30</v>
      </c>
    </row>
    <row r="69" spans="1:6" s="815" customFormat="1" ht="36">
      <c r="A69" s="819">
        <v>9</v>
      </c>
      <c r="B69" s="3476"/>
      <c r="C69" s="755" t="s">
        <v>631</v>
      </c>
      <c r="D69" s="755" t="s">
        <v>632</v>
      </c>
      <c r="E69" s="832">
        <v>0.2</v>
      </c>
      <c r="F69" s="819">
        <v>30</v>
      </c>
    </row>
    <row r="70" spans="1:6" s="815" customFormat="1" ht="48">
      <c r="A70" s="819">
        <v>10</v>
      </c>
      <c r="B70" s="3476"/>
      <c r="C70" s="755" t="s">
        <v>633</v>
      </c>
      <c r="D70" s="755" t="s">
        <v>634</v>
      </c>
      <c r="E70" s="832">
        <v>0.2</v>
      </c>
      <c r="F70" s="819">
        <v>30</v>
      </c>
    </row>
    <row r="71" spans="1:6" s="815" customFormat="1" ht="48">
      <c r="A71" s="819">
        <v>11</v>
      </c>
      <c r="B71" s="3476"/>
      <c r="C71" s="755" t="s">
        <v>635</v>
      </c>
      <c r="D71" s="755" t="s">
        <v>636</v>
      </c>
      <c r="E71" s="832">
        <v>0.2</v>
      </c>
      <c r="F71" s="819">
        <v>30</v>
      </c>
    </row>
    <row r="72" spans="1:6" s="815" customFormat="1" ht="36">
      <c r="A72" s="819">
        <v>12</v>
      </c>
      <c r="B72" s="3476"/>
      <c r="C72" s="755" t="s">
        <v>637</v>
      </c>
      <c r="D72" s="755" t="s">
        <v>638</v>
      </c>
      <c r="E72" s="832">
        <v>0.5</v>
      </c>
      <c r="F72" s="819">
        <v>80</v>
      </c>
    </row>
    <row r="73" spans="1:6" s="815" customFormat="1" ht="24">
      <c r="A73" s="819">
        <v>13</v>
      </c>
      <c r="B73" s="3476"/>
      <c r="C73" s="755" t="s">
        <v>639</v>
      </c>
      <c r="D73" s="755" t="s">
        <v>640</v>
      </c>
      <c r="E73" s="832">
        <v>0.4</v>
      </c>
      <c r="F73" s="819">
        <v>60</v>
      </c>
    </row>
    <row r="74" spans="1:6" s="815" customFormat="1" ht="24">
      <c r="A74" s="819">
        <v>14</v>
      </c>
      <c r="B74" s="3476"/>
      <c r="C74" s="755" t="s">
        <v>641</v>
      </c>
      <c r="D74" s="755" t="s">
        <v>642</v>
      </c>
      <c r="E74" s="832">
        <v>0.2</v>
      </c>
      <c r="F74" s="819">
        <v>30</v>
      </c>
    </row>
    <row r="75" spans="1:6" s="815" customFormat="1" ht="24">
      <c r="A75" s="819">
        <v>15</v>
      </c>
      <c r="B75" s="3476"/>
      <c r="C75" s="755" t="s">
        <v>643</v>
      </c>
      <c r="D75" s="755" t="s">
        <v>644</v>
      </c>
      <c r="E75" s="832">
        <v>0.2</v>
      </c>
      <c r="F75" s="819">
        <v>30</v>
      </c>
    </row>
    <row r="76" spans="1:6" s="815" customFormat="1" ht="24">
      <c r="A76" s="819">
        <v>16</v>
      </c>
      <c r="B76" s="3476" t="s">
        <v>645</v>
      </c>
      <c r="C76" s="755" t="s">
        <v>646</v>
      </c>
      <c r="D76" s="755" t="s">
        <v>647</v>
      </c>
      <c r="E76" s="832">
        <v>0.5</v>
      </c>
      <c r="F76" s="819">
        <v>80</v>
      </c>
    </row>
    <row r="77" spans="1:6" s="815" customFormat="1" ht="24">
      <c r="A77" s="819">
        <v>17</v>
      </c>
      <c r="B77" s="3476"/>
      <c r="C77" s="755" t="s">
        <v>648</v>
      </c>
      <c r="D77" s="755" t="s">
        <v>649</v>
      </c>
      <c r="E77" s="832">
        <v>0.5</v>
      </c>
      <c r="F77" s="819">
        <v>80</v>
      </c>
    </row>
    <row r="78" spans="1:6" s="815" customFormat="1" ht="24">
      <c r="A78" s="819">
        <v>18</v>
      </c>
      <c r="B78" s="3476"/>
      <c r="C78" s="755" t="s">
        <v>650</v>
      </c>
      <c r="D78" s="755" t="s">
        <v>651</v>
      </c>
      <c r="E78" s="832">
        <v>0.2</v>
      </c>
      <c r="F78" s="819">
        <v>30</v>
      </c>
    </row>
    <row r="79" spans="1:6" s="815" customFormat="1" ht="24">
      <c r="A79" s="819">
        <v>19</v>
      </c>
      <c r="B79" s="3476"/>
      <c r="C79" s="755" t="s">
        <v>652</v>
      </c>
      <c r="D79" s="755" t="s">
        <v>653</v>
      </c>
      <c r="E79" s="832">
        <v>0.5</v>
      </c>
      <c r="F79" s="819">
        <v>80</v>
      </c>
    </row>
    <row r="80" spans="1:6" s="815" customFormat="1" ht="36">
      <c r="A80" s="819">
        <v>20</v>
      </c>
      <c r="B80" s="3476"/>
      <c r="C80" s="755" t="s">
        <v>654</v>
      </c>
      <c r="D80" s="755" t="s">
        <v>655</v>
      </c>
      <c r="E80" s="832">
        <v>0.2</v>
      </c>
      <c r="F80" s="819">
        <v>30</v>
      </c>
    </row>
    <row r="81" spans="1:6" s="815" customFormat="1" ht="36">
      <c r="A81" s="819">
        <v>21</v>
      </c>
      <c r="B81" s="3476"/>
      <c r="C81" s="755" t="s">
        <v>656</v>
      </c>
      <c r="D81" s="755" t="s">
        <v>657</v>
      </c>
      <c r="E81" s="832">
        <v>0.2</v>
      </c>
      <c r="F81" s="819">
        <v>30</v>
      </c>
    </row>
    <row r="82" spans="1:6" s="815" customFormat="1" ht="48">
      <c r="A82" s="819">
        <v>22</v>
      </c>
      <c r="B82" s="3476"/>
      <c r="C82" s="755" t="s">
        <v>658</v>
      </c>
      <c r="D82" s="755" t="s">
        <v>659</v>
      </c>
      <c r="E82" s="832">
        <v>0.2</v>
      </c>
      <c r="F82" s="819">
        <v>30</v>
      </c>
    </row>
    <row r="83" spans="1:6" s="815" customFormat="1" ht="48">
      <c r="A83" s="819">
        <v>23</v>
      </c>
      <c r="B83" s="3476"/>
      <c r="C83" s="755" t="s">
        <v>660</v>
      </c>
      <c r="D83" s="755" t="s">
        <v>661</v>
      </c>
      <c r="E83" s="832">
        <v>0.2</v>
      </c>
      <c r="F83" s="819">
        <v>30</v>
      </c>
    </row>
    <row r="84" spans="1:6" s="815" customFormat="1" ht="36">
      <c r="A84" s="819">
        <v>24</v>
      </c>
      <c r="B84" s="3476"/>
      <c r="C84" s="755" t="s">
        <v>662</v>
      </c>
      <c r="D84" s="755" t="s">
        <v>663</v>
      </c>
      <c r="E84" s="832">
        <v>0.2</v>
      </c>
      <c r="F84" s="819">
        <v>30</v>
      </c>
    </row>
    <row r="85" spans="1:6" s="815" customFormat="1" ht="36">
      <c r="A85" s="819">
        <v>25</v>
      </c>
      <c r="B85" s="3476"/>
      <c r="C85" s="755" t="s">
        <v>664</v>
      </c>
      <c r="D85" s="755" t="s">
        <v>665</v>
      </c>
      <c r="E85" s="832">
        <v>0.5</v>
      </c>
      <c r="F85" s="819">
        <v>80</v>
      </c>
    </row>
    <row r="86" spans="1:6" s="815" customFormat="1" ht="36">
      <c r="A86" s="819">
        <v>26</v>
      </c>
      <c r="B86" s="3476"/>
      <c r="C86" s="755" t="s">
        <v>666</v>
      </c>
      <c r="D86" s="755" t="s">
        <v>667</v>
      </c>
      <c r="E86" s="832">
        <v>0.2</v>
      </c>
      <c r="F86" s="819">
        <v>30</v>
      </c>
    </row>
    <row r="87" spans="1:6" s="815" customFormat="1" ht="36">
      <c r="A87" s="819">
        <v>27</v>
      </c>
      <c r="B87" s="3476"/>
      <c r="C87" s="755" t="s">
        <v>668</v>
      </c>
      <c r="D87" s="755" t="s">
        <v>669</v>
      </c>
      <c r="E87" s="832">
        <v>0.2</v>
      </c>
      <c r="F87" s="819">
        <v>30</v>
      </c>
    </row>
    <row r="88" spans="1:6" s="815" customFormat="1" ht="36">
      <c r="A88" s="819">
        <v>28</v>
      </c>
      <c r="B88" s="3476"/>
      <c r="C88" s="755" t="s">
        <v>670</v>
      </c>
      <c r="D88" s="755" t="s">
        <v>671</v>
      </c>
      <c r="E88" s="832">
        <v>0.2</v>
      </c>
      <c r="F88" s="819">
        <v>30</v>
      </c>
    </row>
    <row r="89" spans="1:6" s="815" customFormat="1" ht="24">
      <c r="A89" s="819">
        <v>29</v>
      </c>
      <c r="B89" s="3476"/>
      <c r="C89" s="755" t="s">
        <v>672</v>
      </c>
      <c r="D89" s="755" t="s">
        <v>673</v>
      </c>
      <c r="E89" s="832">
        <v>0.2</v>
      </c>
      <c r="F89" s="819">
        <v>30</v>
      </c>
    </row>
    <row r="90" spans="1:6" s="815" customFormat="1" ht="24">
      <c r="A90" s="819">
        <v>30</v>
      </c>
      <c r="B90" s="3476"/>
      <c r="C90" s="755" t="s">
        <v>674</v>
      </c>
      <c r="D90" s="755" t="s">
        <v>675</v>
      </c>
      <c r="E90" s="832">
        <v>0.2</v>
      </c>
      <c r="F90" s="819">
        <v>30</v>
      </c>
    </row>
    <row r="91" spans="1:6" s="815" customFormat="1" ht="36">
      <c r="A91" s="819">
        <v>31</v>
      </c>
      <c r="B91" s="3476"/>
      <c r="C91" s="755" t="s">
        <v>676</v>
      </c>
      <c r="D91" s="755" t="s">
        <v>677</v>
      </c>
      <c r="E91" s="832">
        <v>0.2</v>
      </c>
      <c r="F91" s="819">
        <v>30</v>
      </c>
    </row>
    <row r="92" spans="1:6" s="815" customFormat="1" ht="24">
      <c r="A92" s="819">
        <v>32</v>
      </c>
      <c r="B92" s="3476" t="s">
        <v>678</v>
      </c>
      <c r="C92" s="819" t="s">
        <v>679</v>
      </c>
      <c r="D92" s="755" t="s">
        <v>680</v>
      </c>
      <c r="E92" s="832">
        <v>0.2</v>
      </c>
      <c r="F92" s="819">
        <v>30</v>
      </c>
    </row>
    <row r="93" spans="1:6" s="815" customFormat="1" ht="36">
      <c r="A93" s="819">
        <v>33</v>
      </c>
      <c r="B93" s="3476"/>
      <c r="C93" s="819" t="s">
        <v>681</v>
      </c>
      <c r="D93" s="755" t="s">
        <v>682</v>
      </c>
      <c r="E93" s="832">
        <v>0.2</v>
      </c>
      <c r="F93" s="819">
        <v>30</v>
      </c>
    </row>
    <row r="94" spans="1:6" s="815" customFormat="1" ht="48">
      <c r="A94" s="819">
        <v>34</v>
      </c>
      <c r="B94" s="3476"/>
      <c r="C94" s="819" t="s">
        <v>683</v>
      </c>
      <c r="D94" s="755" t="s">
        <v>684</v>
      </c>
      <c r="E94" s="832">
        <v>0.2</v>
      </c>
      <c r="F94" s="819">
        <v>30</v>
      </c>
    </row>
    <row r="95" spans="1:6" s="815" customFormat="1" ht="36">
      <c r="A95" s="819">
        <v>35</v>
      </c>
      <c r="B95" s="3476"/>
      <c r="C95" s="819" t="s">
        <v>685</v>
      </c>
      <c r="D95" s="755" t="s">
        <v>686</v>
      </c>
      <c r="E95" s="832">
        <v>0.2</v>
      </c>
      <c r="F95" s="819">
        <v>30</v>
      </c>
    </row>
    <row r="96" spans="1:6" s="815" customFormat="1" ht="48">
      <c r="A96" s="819">
        <v>36</v>
      </c>
      <c r="B96" s="3476"/>
      <c r="C96" s="755" t="s">
        <v>687</v>
      </c>
      <c r="D96" s="755" t="s">
        <v>688</v>
      </c>
      <c r="E96" s="832">
        <v>0.2</v>
      </c>
      <c r="F96" s="819">
        <v>30</v>
      </c>
    </row>
    <row r="97" spans="1:6" s="815" customFormat="1" ht="36">
      <c r="A97" s="819">
        <v>37</v>
      </c>
      <c r="B97" s="3476"/>
      <c r="C97" s="819" t="s">
        <v>689</v>
      </c>
      <c r="D97" s="755" t="s">
        <v>690</v>
      </c>
      <c r="E97" s="832">
        <v>0.2</v>
      </c>
      <c r="F97" s="819">
        <v>30</v>
      </c>
    </row>
    <row r="98" spans="1:6" s="815" customFormat="1" ht="36">
      <c r="A98" s="819">
        <v>38</v>
      </c>
      <c r="B98" s="3476"/>
      <c r="C98" s="819" t="s">
        <v>691</v>
      </c>
      <c r="D98" s="755" t="s">
        <v>692</v>
      </c>
      <c r="E98" s="832">
        <v>0.2</v>
      </c>
      <c r="F98" s="819">
        <v>30</v>
      </c>
    </row>
    <row r="99" spans="1:6" s="815" customFormat="1" ht="36">
      <c r="A99" s="819">
        <v>39</v>
      </c>
      <c r="B99" s="3476" t="s">
        <v>693</v>
      </c>
      <c r="C99" s="819" t="s">
        <v>694</v>
      </c>
      <c r="D99" s="755" t="s">
        <v>695</v>
      </c>
      <c r="E99" s="832">
        <v>0.3</v>
      </c>
      <c r="F99" s="819">
        <v>50</v>
      </c>
    </row>
    <row r="100" spans="1:6" s="815" customFormat="1" ht="24">
      <c r="A100" s="819">
        <v>40</v>
      </c>
      <c r="B100" s="3476"/>
      <c r="C100" s="819" t="s">
        <v>696</v>
      </c>
      <c r="D100" s="755" t="s">
        <v>697</v>
      </c>
      <c r="E100" s="832">
        <v>0.2</v>
      </c>
      <c r="F100" s="819">
        <v>30</v>
      </c>
    </row>
    <row r="101" spans="1:6" s="815" customFormat="1" ht="36">
      <c r="A101" s="819">
        <v>41</v>
      </c>
      <c r="B101" s="347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76" t="s">
        <v>708</v>
      </c>
      <c r="C105" s="819" t="s">
        <v>709</v>
      </c>
      <c r="D105" s="755" t="s">
        <v>710</v>
      </c>
      <c r="E105" s="832">
        <v>0.2</v>
      </c>
      <c r="F105" s="819">
        <v>30</v>
      </c>
    </row>
    <row r="106" spans="1:6" s="815" customFormat="1" ht="36">
      <c r="A106" s="819">
        <v>46</v>
      </c>
      <c r="B106" s="3476"/>
      <c r="C106" s="819" t="s">
        <v>711</v>
      </c>
      <c r="D106" s="755" t="s">
        <v>712</v>
      </c>
      <c r="E106" s="832">
        <v>0.2</v>
      </c>
      <c r="F106" s="819">
        <v>30</v>
      </c>
    </row>
    <row r="107" spans="1:6" s="815" customFormat="1" ht="36">
      <c r="A107" s="819">
        <v>47</v>
      </c>
      <c r="B107" s="3476" t="s">
        <v>713</v>
      </c>
      <c r="C107" s="819" t="s">
        <v>714</v>
      </c>
      <c r="D107" s="755" t="s">
        <v>715</v>
      </c>
      <c r="E107" s="832">
        <v>0.3</v>
      </c>
      <c r="F107" s="819">
        <v>50</v>
      </c>
    </row>
    <row r="108" spans="1:6" s="815" customFormat="1" ht="36">
      <c r="A108" s="819">
        <v>48</v>
      </c>
      <c r="B108" s="347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76" t="s">
        <v>724</v>
      </c>
      <c r="C111" s="819" t="s">
        <v>725</v>
      </c>
      <c r="D111" s="755" t="s">
        <v>726</v>
      </c>
      <c r="E111" s="832">
        <v>0.2</v>
      </c>
      <c r="F111" s="819">
        <v>30</v>
      </c>
    </row>
    <row r="112" spans="1:6" s="815" customFormat="1" ht="24">
      <c r="A112" s="819">
        <v>52</v>
      </c>
      <c r="B112" s="3476"/>
      <c r="C112" s="819" t="s">
        <v>727</v>
      </c>
      <c r="D112" s="755" t="s">
        <v>728</v>
      </c>
      <c r="E112" s="832">
        <v>0.2</v>
      </c>
      <c r="F112" s="819">
        <v>30</v>
      </c>
    </row>
    <row r="113" spans="1:6" s="815" customFormat="1" ht="24">
      <c r="A113" s="819">
        <v>53</v>
      </c>
      <c r="B113" s="347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76" t="s">
        <v>737</v>
      </c>
      <c r="C116" s="819" t="s">
        <v>738</v>
      </c>
      <c r="D116" s="755" t="s">
        <v>739</v>
      </c>
      <c r="E116" s="832">
        <v>0.2</v>
      </c>
      <c r="F116" s="819">
        <v>30</v>
      </c>
    </row>
    <row r="117" spans="1:6" ht="36">
      <c r="A117" s="819">
        <v>57</v>
      </c>
      <c r="B117" s="347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0" t="s">
        <v>2819</v>
      </c>
      <c r="B1" s="2357"/>
      <c r="C1" s="2357"/>
      <c r="D1" s="2357"/>
      <c r="E1" s="2357"/>
      <c r="F1" s="3013"/>
      <c r="G1" s="3013"/>
      <c r="H1" s="3013"/>
      <c r="I1" s="3013"/>
      <c r="J1" s="3013"/>
      <c r="K1" s="3013"/>
      <c r="L1" s="3013"/>
      <c r="M1" s="3013"/>
      <c r="N1" s="3013"/>
      <c r="O1" s="3013"/>
      <c r="P1" s="3013"/>
    </row>
    <row r="2" spans="1:16" ht="15.75">
      <c r="A2" s="2355" t="s">
        <v>2811</v>
      </c>
      <c r="B2" s="2818" t="e">
        <f ca="1">SUMIF(B6:B13,"&lt;&gt;#ref!",B6:B13)</f>
        <v>#DIV/0!</v>
      </c>
      <c r="C2" s="2355" t="s">
        <v>2812</v>
      </c>
      <c r="D2" s="2355" t="s">
        <v>2813</v>
      </c>
      <c r="E2" s="2828">
        <f ca="1">SUMIF(E6:E13,"&lt;&gt;#ref!",E6:E13)</f>
        <v>0</v>
      </c>
      <c r="F2" s="3013"/>
      <c r="G2" s="3013"/>
      <c r="H2" s="3013"/>
      <c r="I2" s="3013"/>
      <c r="J2" s="3013"/>
      <c r="K2" s="3013"/>
      <c r="L2" s="3013"/>
      <c r="M2" s="3013"/>
      <c r="N2" s="3013"/>
      <c r="O2" s="3013"/>
      <c r="P2" s="3013"/>
    </row>
    <row r="3" spans="1:16" ht="15.75">
      <c r="A3" s="2355" t="s">
        <v>2814</v>
      </c>
      <c r="B3" s="2818" t="e">
        <f ca="1">ROUND(B2*10000/E2,0)</f>
        <v>#DIV/0!</v>
      </c>
      <c r="C3" s="2355" t="s">
        <v>2820</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2815</v>
      </c>
      <c r="B5" s="2826" t="s">
        <v>2816</v>
      </c>
      <c r="C5" s="2356"/>
      <c r="D5" s="3013"/>
      <c r="E5" s="2827" t="s">
        <v>2817</v>
      </c>
      <c r="F5" s="3013"/>
      <c r="G5" s="3013"/>
      <c r="H5" s="3013"/>
      <c r="I5" s="3013"/>
      <c r="J5" s="3013"/>
      <c r="K5" s="3013"/>
      <c r="L5" s="3013"/>
      <c r="M5" s="3013"/>
      <c r="N5" s="3013"/>
      <c r="O5" s="3013"/>
      <c r="P5" s="3013"/>
    </row>
    <row r="6" spans="1:16" ht="15.75">
      <c r="A6" s="2825" t="s">
        <v>2818</v>
      </c>
      <c r="B6" s="2818" t="e">
        <f ca="1">SUMIF(INDIRECT("'"&amp;A6&amp;"'"&amp;"!A:A"),"总价",INDIRECT("'"&amp;A6&amp;"'"&amp;"!B:B"))</f>
        <v>#DIV/0!</v>
      </c>
      <c r="C6" s="2355" t="s">
        <v>2812</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5" t="s">
        <v>2812</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5" t="s">
        <v>2812</v>
      </c>
      <c r="D8" s="3013"/>
      <c r="E8" s="2828" t="e">
        <f t="shared" ca="1" si="0"/>
        <v>#REF!</v>
      </c>
      <c r="F8" s="3013"/>
      <c r="G8" s="3013"/>
      <c r="H8" s="3013"/>
      <c r="I8" s="3013"/>
      <c r="J8" s="3013"/>
      <c r="K8" s="3013"/>
      <c r="L8" s="3013"/>
      <c r="M8" s="3013"/>
      <c r="N8" s="3013"/>
      <c r="O8" s="3013"/>
      <c r="P8" s="3013"/>
    </row>
    <row r="9" spans="1:16" ht="15.75">
      <c r="A9" s="2825"/>
      <c r="B9" s="2818" t="e">
        <f t="shared" ca="1" si="1"/>
        <v>#REF!</v>
      </c>
      <c r="C9" s="2355" t="s">
        <v>2812</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5" t="s">
        <v>2812</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5" t="s">
        <v>2812</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5" t="s">
        <v>2812</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5" t="s">
        <v>2812</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82" t="s">
        <v>1117</v>
      </c>
      <c r="C1" s="3482"/>
      <c r="D1" s="3482"/>
      <c r="E1" s="3482"/>
      <c r="F1" s="3482"/>
      <c r="G1" s="3481" t="s">
        <v>1118</v>
      </c>
      <c r="H1" s="3481"/>
      <c r="I1" s="3481"/>
      <c r="J1" s="3481"/>
      <c r="K1" s="3481"/>
      <c r="L1" s="3481"/>
      <c r="N1" s="3481" t="s">
        <v>1119</v>
      </c>
      <c r="O1" s="3481"/>
      <c r="P1" s="3481"/>
      <c r="Q1" s="3481"/>
      <c r="S1" s="3481" t="s">
        <v>1120</v>
      </c>
      <c r="T1" s="3481"/>
      <c r="U1" s="3481"/>
      <c r="V1" s="3481"/>
      <c r="X1" s="3480" t="s">
        <v>1121</v>
      </c>
      <c r="Y1" s="3481"/>
      <c r="Z1" s="3481"/>
      <c r="AA1" s="3481"/>
      <c r="AB1" s="3481"/>
      <c r="AD1" s="3480" t="s">
        <v>1122</v>
      </c>
      <c r="AE1" s="3481"/>
      <c r="AF1" s="3481"/>
      <c r="AG1" s="3481"/>
      <c r="AH1" s="3481"/>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2852</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3053</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3054</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3052</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2869</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2867</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2866</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2865</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2863</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2861</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2864</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478">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2859</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478"/>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2858</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478"/>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2851</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487"/>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2849</v>
      </c>
      <c r="B18" s="2432">
        <v>439</v>
      </c>
      <c r="C18" s="2432">
        <v>327</v>
      </c>
      <c r="D18" s="2432">
        <f>C18</f>
        <v>327</v>
      </c>
      <c r="E18" s="2432">
        <v>627</v>
      </c>
      <c r="F18" s="2433">
        <v>283</v>
      </c>
      <c r="G18" s="3483">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2850</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478"/>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478"/>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487"/>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483">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478"/>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478"/>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479"/>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477">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478"/>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478"/>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479"/>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477">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478"/>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478"/>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479"/>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484">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485"/>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485"/>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486"/>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477">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478"/>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478"/>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479"/>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477">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478">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478">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479">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477">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478">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478">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479">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477">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478">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478">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479">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477">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478">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478">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479">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477">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478">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478">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479">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477">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478">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478">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479">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477">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478">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478">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479">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477">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478">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478">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479">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477">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478">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478">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479">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477">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478">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478">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479">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677"/>
      <c r="B4" s="3164" t="s">
        <v>1595</v>
      </c>
      <c r="C4" s="3164"/>
      <c r="D4" s="3164"/>
      <c r="E4" s="1677"/>
    </row>
    <row r="5" spans="1:5" ht="16.5" thickTop="1">
      <c r="A5" s="1675"/>
      <c r="B5" s="3162" t="s">
        <v>1587</v>
      </c>
      <c r="C5" s="1678" t="s">
        <v>1588</v>
      </c>
      <c r="D5" s="957">
        <f ca="1">结果表!H101</f>
        <v>52355</v>
      </c>
      <c r="E5" s="1675"/>
    </row>
    <row r="6" spans="1:5" ht="15.75">
      <c r="A6" s="1675"/>
      <c r="B6" s="3162"/>
      <c r="C6" s="1678" t="s">
        <v>1589</v>
      </c>
      <c r="D6" s="957" t="str">
        <f ca="1">NUMBERSTRING(INT(D5*10000),2)&amp;"元整"</f>
        <v>伍亿贰仟叁佰伍拾伍万元整</v>
      </c>
      <c r="E6" s="1675"/>
    </row>
    <row r="7" spans="1:5" ht="15.75">
      <c r="A7" s="1675"/>
      <c r="B7" s="3167"/>
      <c r="C7" s="1679" t="s">
        <v>1590</v>
      </c>
      <c r="D7" s="958">
        <f ca="1">结果表!H102</f>
        <v>9561</v>
      </c>
      <c r="E7" s="1675"/>
    </row>
    <row r="8" spans="1:5" ht="15.75">
      <c r="A8" s="1675"/>
      <c r="B8" s="3168" t="str">
        <f>结果表!E103</f>
        <v>2.估价师知悉的法定优先受偿款</v>
      </c>
      <c r="C8" s="1680" t="s">
        <v>1591</v>
      </c>
      <c r="D8" s="958">
        <f>结果表!H103</f>
        <v>0</v>
      </c>
      <c r="E8" s="1675"/>
    </row>
    <row r="9" spans="1:5" ht="15.75">
      <c r="A9" s="1675"/>
      <c r="B9" s="3170"/>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161" t="str">
        <f>结果表!E107</f>
        <v>3.房地产抵押价值</v>
      </c>
      <c r="C13" s="1683" t="s">
        <v>1588</v>
      </c>
      <c r="D13" s="960">
        <f ca="1">结果表!H107</f>
        <v>52355</v>
      </c>
      <c r="E13" s="1675"/>
    </row>
    <row r="14" spans="1:5" ht="15.75">
      <c r="A14" s="1675"/>
      <c r="B14" s="3162"/>
      <c r="C14" s="1678" t="s">
        <v>1589</v>
      </c>
      <c r="D14" s="957" t="str">
        <f ca="1">NUMBERSTRING(INT(D13*10000),2)&amp;"元整"</f>
        <v>伍亿贰仟叁佰伍拾伍万元整</v>
      </c>
      <c r="E14" s="1675"/>
    </row>
    <row r="15" spans="1:5" ht="15">
      <c r="A15" s="1675"/>
      <c r="B15" s="3167"/>
      <c r="C15" s="1679" t="s">
        <v>1599</v>
      </c>
      <c r="D15" s="966">
        <f ca="1">结果表!H108</f>
        <v>9561</v>
      </c>
      <c r="E15" s="1675"/>
    </row>
    <row r="16" spans="1:5" ht="15">
      <c r="A16" s="1675"/>
      <c r="B16" s="3168" t="str">
        <f>结果表!E109</f>
        <v>——</v>
      </c>
      <c r="C16" s="1683" t="s">
        <v>1600</v>
      </c>
      <c r="D16" s="1684" t="str">
        <f>结果表!H109</f>
        <v>——</v>
      </c>
      <c r="E16" s="1675"/>
    </row>
    <row r="17" spans="1:5" ht="15.75">
      <c r="A17" s="1675"/>
      <c r="B17" s="3169"/>
      <c r="C17" s="1678" t="s">
        <v>1601</v>
      </c>
      <c r="D17" s="957" t="e">
        <f>NUMBERSTRING(INT(D16*10000),2)&amp;"元整"</f>
        <v>#VALUE!</v>
      </c>
      <c r="E17" s="1675"/>
    </row>
    <row r="18" spans="1:5" ht="15">
      <c r="A18" s="1675"/>
      <c r="B18" s="3170"/>
      <c r="C18" s="1679" t="s">
        <v>1590</v>
      </c>
      <c r="D18" s="966" t="str">
        <f>结果表!H110</f>
        <v>——</v>
      </c>
      <c r="E18" s="1675"/>
    </row>
    <row r="19" spans="1:5" ht="15.75">
      <c r="A19" s="1675"/>
      <c r="B19" s="3161" t="str">
        <f>结果表!E111</f>
        <v>——</v>
      </c>
      <c r="C19" s="1683" t="s">
        <v>1588</v>
      </c>
      <c r="D19" s="958" t="str">
        <f>结果表!H111</f>
        <v>——</v>
      </c>
      <c r="E19" s="1675"/>
    </row>
    <row r="20" spans="1:5" ht="15.75">
      <c r="A20" s="1675"/>
      <c r="B20" s="3162"/>
      <c r="C20" s="1678" t="s">
        <v>1601</v>
      </c>
      <c r="D20" s="957" t="e">
        <f>NUMBERSTRING(INT(D19*10000),2)&amp;"元整"</f>
        <v>#VALUE!</v>
      </c>
      <c r="E20" s="1675"/>
    </row>
    <row r="21" spans="1:5" ht="15.75" thickBot="1">
      <c r="A21" s="1675"/>
      <c r="B21" s="3163"/>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2821</v>
      </c>
      <c r="C1" s="3491" t="s">
        <v>2822</v>
      </c>
      <c r="D1" s="3492"/>
      <c r="E1" s="3492"/>
      <c r="F1" s="3492"/>
      <c r="G1" s="3492"/>
      <c r="H1" s="3492"/>
      <c r="I1" s="3492"/>
      <c r="J1" s="3492"/>
      <c r="K1" s="3492"/>
      <c r="L1" s="3492"/>
      <c r="M1" s="3492"/>
      <c r="N1" s="3492"/>
      <c r="O1" s="3492"/>
      <c r="P1" s="3492"/>
      <c r="Q1" s="3492"/>
      <c r="R1" s="3492"/>
      <c r="S1" s="3493"/>
      <c r="T1" s="1112" t="s">
        <v>2823</v>
      </c>
    </row>
    <row r="2" spans="1:45" s="662" customFormat="1">
      <c r="A2" s="1113"/>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2831</v>
      </c>
      <c r="B17" s="2359" t="s">
        <v>2832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0" t="s">
        <v>2833</v>
      </c>
      <c r="E19" s="1523"/>
      <c r="F19" s="1523"/>
      <c r="G19" s="1523"/>
      <c r="H19" s="1188"/>
      <c r="I19" s="163"/>
      <c r="J19" s="163"/>
      <c r="K19" s="163"/>
      <c r="L19" s="163"/>
      <c r="M19" s="163"/>
      <c r="N19" s="163"/>
      <c r="O19" s="163"/>
      <c r="P19" s="163"/>
      <c r="Q19" s="163"/>
      <c r="R19" s="726"/>
      <c r="S19" s="133"/>
    </row>
    <row r="20" spans="1:45" ht="16.5" thickBot="1">
      <c r="A20" s="670" t="s">
        <v>2834</v>
      </c>
      <c r="B20" s="299" t="e">
        <f ca="1">IF(D20="——",S22,S22-F20)</f>
        <v>#REF!</v>
      </c>
      <c r="C20" s="163"/>
      <c r="D20" s="2361"/>
      <c r="E20" s="1524"/>
      <c r="F20" s="1112" t="e">
        <f ca="1">SUMIF(INDIRECT("'"&amp;H20&amp;"'"&amp;"!A:A"),"承租人权益价值",INDIRECT("'"&amp;H20&amp;"'"&amp;"!c:c"))</f>
        <v>#REF!</v>
      </c>
      <c r="G20" s="1112" t="s">
        <v>2835</v>
      </c>
      <c r="H20" s="2362"/>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488" t="s">
        <v>33</v>
      </c>
      <c r="D22" s="3489"/>
      <c r="E22" s="3489"/>
      <c r="F22" s="3489"/>
      <c r="G22" s="3489"/>
      <c r="H22" s="3489"/>
      <c r="I22" s="3489"/>
      <c r="J22" s="3489"/>
      <c r="K22" s="3489"/>
      <c r="L22" s="3489"/>
      <c r="M22" s="3489"/>
      <c r="N22" s="3489"/>
      <c r="O22" s="3489"/>
      <c r="P22" s="3489"/>
      <c r="Q22" s="3490"/>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33205</v>
      </c>
      <c r="C2" s="2" t="s">
        <v>133</v>
      </c>
      <c r="D2" s="204"/>
      <c r="E2" s="204"/>
      <c r="F2" s="204"/>
      <c r="G2" s="204"/>
    </row>
    <row r="3" spans="1:7" s="205" customFormat="1" ht="18" customHeight="1" thickBot="1">
      <c r="A3" s="208" t="s">
        <v>85</v>
      </c>
      <c r="B3" s="209">
        <f ca="1">ROUND(B2*10000/'数据-汇总表'!E3,0)</f>
        <v>6064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54761.34</v>
      </c>
      <c r="E9" s="230">
        <f>'数据-取费表'!B27</f>
        <v>0</v>
      </c>
      <c r="F9" s="226"/>
      <c r="G9" s="231"/>
    </row>
    <row r="10" spans="1:7" s="219" customFormat="1" ht="13.5" customHeight="1">
      <c r="A10" s="885" t="s">
        <v>801</v>
      </c>
      <c r="B10" s="229" t="s">
        <v>94</v>
      </c>
      <c r="C10" s="230">
        <f>ROUND(D10*E10/10000,0)</f>
        <v>0</v>
      </c>
      <c r="D10" s="952">
        <f>'数据-汇总表'!E6</f>
        <v>0</v>
      </c>
      <c r="E10" s="230">
        <f>'数据-取费表'!B28</f>
        <v>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1095</v>
      </c>
      <c r="D19" s="956">
        <f>'数据-汇总表'!E3</f>
        <v>54761.34</v>
      </c>
      <c r="E19" s="216">
        <f>'数据-取费表'!B31</f>
        <v>200</v>
      </c>
      <c r="F19" s="236"/>
      <c r="G19" s="1" t="s">
        <v>1042</v>
      </c>
    </row>
    <row r="20" spans="1:7" s="219" customFormat="1" ht="13.5" customHeight="1">
      <c r="A20" s="883" t="s">
        <v>1025</v>
      </c>
      <c r="B20" s="215" t="s">
        <v>104</v>
      </c>
      <c r="C20" s="237">
        <f>ROUND((C5+C19)*F20,0)</f>
        <v>651</v>
      </c>
      <c r="D20" s="237"/>
      <c r="E20" s="237"/>
      <c r="F20" s="238">
        <f>'数据-取费表'!B37</f>
        <v>0.03</v>
      </c>
      <c r="G20" s="1197" t="s">
        <v>1036</v>
      </c>
    </row>
    <row r="21" spans="1:7" s="219" customFormat="1" ht="13.5" customHeight="1">
      <c r="A21" s="883" t="s">
        <v>1027</v>
      </c>
      <c r="B21" s="215" t="s">
        <v>105</v>
      </c>
      <c r="C21" s="240">
        <f>F21</f>
        <v>0.03</v>
      </c>
      <c r="D21" s="241" t="s">
        <v>126</v>
      </c>
      <c r="E21" s="237"/>
      <c r="F21" s="238">
        <f>'数据-取费表'!B38</f>
        <v>0.03</v>
      </c>
      <c r="G21" s="239" t="s">
        <v>106</v>
      </c>
    </row>
    <row r="22" spans="1:7" s="219" customFormat="1" ht="13.5" customHeight="1">
      <c r="A22" s="883" t="s">
        <v>786</v>
      </c>
      <c r="B22" s="215" t="s">
        <v>107</v>
      </c>
      <c r="C22" s="1262">
        <f ca="1">ROUND(SUM(C23:C25),0)</f>
        <v>590</v>
      </c>
      <c r="D22" s="240">
        <f ca="1">C26</f>
        <v>4.0000000000000002E-4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552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29</v>
      </c>
      <c r="D24" s="243"/>
      <c r="E24" s="243"/>
      <c r="F24" s="244"/>
      <c r="G24" s="245" t="s">
        <v>109</v>
      </c>
    </row>
    <row r="25" spans="1:7" s="219" customFormat="1" ht="24">
      <c r="A25" s="886" t="s">
        <v>793</v>
      </c>
      <c r="B25" s="220" t="s">
        <v>1026</v>
      </c>
      <c r="C25" s="1263">
        <f ca="1">ROUND(IF('数据-取费表'!B22&lt;=1,C20*F22*'数据-取费表'!B23/2,C20*(POWER((1+F22),'数据-取费表'!B23/2)-1)),0)</f>
        <v>9</v>
      </c>
      <c r="D25" s="243"/>
      <c r="E25" s="246"/>
      <c r="F25" s="244"/>
      <c r="G25" s="247" t="s">
        <v>110</v>
      </c>
    </row>
    <row r="26" spans="1:7" s="219" customFormat="1">
      <c r="A26" s="886" t="s">
        <v>795</v>
      </c>
      <c r="B26" s="220" t="s">
        <v>1028</v>
      </c>
      <c r="C26" s="243">
        <f ca="1">ROUND(IF('数据-取费表'!B22&lt;=1,F21*F22*'数据-取费表'!B23/2,F21*(POWER((1+F22),'数据-取费表'!B23/2)-1)),4)</f>
        <v>4.0000000000000002E-4</v>
      </c>
      <c r="D26" s="243"/>
      <c r="E26" s="246"/>
      <c r="F26" s="244"/>
      <c r="G26" s="248"/>
    </row>
    <row r="27" spans="1:7" s="219" customFormat="1" ht="24.75">
      <c r="A27" s="883" t="s">
        <v>787</v>
      </c>
      <c r="B27" s="249" t="s">
        <v>112</v>
      </c>
      <c r="C27" s="250">
        <f>C28</f>
        <v>704</v>
      </c>
      <c r="D27" s="240">
        <f>C29</f>
        <v>8.9999999999999998E-4</v>
      </c>
      <c r="E27" s="241" t="s">
        <v>126</v>
      </c>
      <c r="F27" s="251">
        <f>'数据-取费表'!Q16</f>
        <v>0.09</v>
      </c>
      <c r="G27" s="252" t="s">
        <v>1037</v>
      </c>
    </row>
    <row r="28" spans="1:7" s="219" customFormat="1" ht="13.5" customHeight="1">
      <c r="A28" s="886" t="s">
        <v>794</v>
      </c>
      <c r="B28" s="253" t="s">
        <v>1030</v>
      </c>
      <c r="C28" s="254">
        <f>ROUND((C5+C19+C20)*F27*'数据-取费表'!B21/'数据-取费表'!B20,0)</f>
        <v>704</v>
      </c>
      <c r="D28" s="240"/>
      <c r="E28" s="241"/>
      <c r="F28" s="251"/>
      <c r="G28" s="252"/>
    </row>
    <row r="29" spans="1:7" s="219" customFormat="1" ht="13.5" customHeight="1">
      <c r="A29" s="886" t="s">
        <v>792</v>
      </c>
      <c r="B29" s="253" t="s">
        <v>1031</v>
      </c>
      <c r="C29" s="243">
        <f>ROUND(C21*F27*'数据-取费表'!B21/'数据-取费表'!B20,4)</f>
        <v>8.9999999999999998E-4</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25837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5923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5041</v>
      </c>
      <c r="D34" s="222"/>
      <c r="E34" s="225"/>
      <c r="F34" s="262">
        <f>IF('数据-取费表'!B24=0,1,'数据-取费表'!N16)</f>
        <v>0.36799999999999999</v>
      </c>
      <c r="G34" s="224" t="s">
        <v>116</v>
      </c>
    </row>
    <row r="35" spans="1:7" ht="13.5" customHeight="1">
      <c r="A35" s="886" t="s">
        <v>796</v>
      </c>
      <c r="B35" s="220" t="s">
        <v>60</v>
      </c>
      <c r="C35" s="225">
        <f>ROUND(C34*F35,0)</f>
        <v>151</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252</v>
      </c>
      <c r="D36" s="225"/>
      <c r="E36" s="225"/>
      <c r="F36" s="264">
        <f>'数据-取费表'!B34</f>
        <v>0.05</v>
      </c>
      <c r="G36" s="265" t="s">
        <v>62</v>
      </c>
    </row>
    <row r="37" spans="1:7" s="263" customFormat="1" ht="13.5" customHeight="1">
      <c r="A37" s="886" t="s">
        <v>798</v>
      </c>
      <c r="B37" s="220" t="s">
        <v>118</v>
      </c>
      <c r="C37" s="254">
        <f>ROUND(E37*D37*F34/10000,0)</f>
        <v>403</v>
      </c>
      <c r="D37" s="222">
        <f>'数据-汇总表'!E3</f>
        <v>54761.34</v>
      </c>
      <c r="E37" s="254">
        <f>'数据-取费表'!B35</f>
        <v>200</v>
      </c>
      <c r="F37" s="264"/>
      <c r="G37" s="266" t="s">
        <v>119</v>
      </c>
    </row>
    <row r="38" spans="1:7" ht="13.5" customHeight="1">
      <c r="A38" s="886" t="s">
        <v>799</v>
      </c>
      <c r="B38" s="220" t="s">
        <v>63</v>
      </c>
      <c r="C38" s="225">
        <f>ROUND(C34*F38,0)</f>
        <v>76</v>
      </c>
      <c r="D38" s="225"/>
      <c r="E38" s="225"/>
      <c r="F38" s="264">
        <f>'数据-取费表'!B36</f>
        <v>1.4999999999999999E-2</v>
      </c>
      <c r="G38" s="224" t="s">
        <v>117</v>
      </c>
    </row>
    <row r="39" spans="1:7" s="219" customFormat="1" ht="13.5" customHeight="1">
      <c r="A39" s="883" t="s">
        <v>783</v>
      </c>
      <c r="B39" s="215" t="s">
        <v>104</v>
      </c>
      <c r="C39" s="237">
        <f>ROUND(C33*F20,0)</f>
        <v>178</v>
      </c>
      <c r="D39" s="237"/>
      <c r="E39" s="237"/>
      <c r="F39" s="238"/>
      <c r="G39" s="1197" t="s">
        <v>1039</v>
      </c>
    </row>
    <row r="40" spans="1:7" s="219" customFormat="1" ht="13.5" customHeight="1">
      <c r="A40" s="883" t="s">
        <v>784</v>
      </c>
      <c r="B40" s="215" t="s">
        <v>105</v>
      </c>
      <c r="C40" s="267">
        <f>F21</f>
        <v>0.03</v>
      </c>
      <c r="D40" s="241" t="s">
        <v>129</v>
      </c>
      <c r="E40" s="237"/>
      <c r="F40" s="238"/>
      <c r="G40" s="239" t="s">
        <v>120</v>
      </c>
    </row>
    <row r="41" spans="1:7" s="219" customFormat="1" ht="13.5" customHeight="1">
      <c r="A41" s="883" t="s">
        <v>785</v>
      </c>
      <c r="B41" s="215" t="s">
        <v>107</v>
      </c>
      <c r="C41" s="237">
        <f ca="1">ROUND(SUM(C42:C43),0)</f>
        <v>81</v>
      </c>
      <c r="D41" s="240">
        <f ca="1">C44</f>
        <v>4.0000000000000002E-4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79</v>
      </c>
      <c r="D42" s="243"/>
      <c r="E42" s="243"/>
      <c r="F42" s="244"/>
      <c r="G42" s="3346" t="s">
        <v>121</v>
      </c>
    </row>
    <row r="43" spans="1:7" ht="13.5" customHeight="1">
      <c r="A43" s="886" t="s">
        <v>792</v>
      </c>
      <c r="B43" s="220" t="s">
        <v>1032</v>
      </c>
      <c r="C43" s="243">
        <f ca="1">ROUND(IF('数据-取费表'!B22&lt;=1,C39*F22*'数据-取费表'!B21/2,C39*(POWER((1+F22),'数据-取费表'!B21/2)-1)),0)</f>
        <v>2</v>
      </c>
      <c r="D43" s="243"/>
      <c r="E43" s="243"/>
      <c r="F43" s="244"/>
      <c r="G43" s="3347"/>
    </row>
    <row r="44" spans="1:7" ht="13.5" customHeight="1">
      <c r="A44" s="886" t="s">
        <v>793</v>
      </c>
      <c r="B44" s="220" t="s">
        <v>1034</v>
      </c>
      <c r="C44" s="243">
        <f ca="1">ROUND(IF('数据-取费表'!B22&lt;=1,C40*F22*'数据-取费表'!B21/2,C40*(POWER((1+F22),'数据-取费表'!B21/2)-1)),4)</f>
        <v>4.0000000000000002E-4</v>
      </c>
      <c r="D44" s="243"/>
      <c r="E44" s="243"/>
      <c r="F44" s="244"/>
      <c r="G44" s="3348"/>
    </row>
    <row r="45" spans="1:7" s="219" customFormat="1" ht="13.5" customHeight="1">
      <c r="A45" s="883" t="s">
        <v>786</v>
      </c>
      <c r="B45" s="249" t="s">
        <v>112</v>
      </c>
      <c r="C45" s="250">
        <f>C46</f>
        <v>549</v>
      </c>
      <c r="D45" s="240">
        <f>C47</f>
        <v>2.7000000000000001E-3</v>
      </c>
      <c r="E45" s="241" t="s">
        <v>129</v>
      </c>
      <c r="F45" s="251"/>
      <c r="G45" s="252" t="s">
        <v>1040</v>
      </c>
    </row>
    <row r="46" spans="1:7" s="219" customFormat="1" ht="13.5" customHeight="1">
      <c r="A46" s="886" t="s">
        <v>794</v>
      </c>
      <c r="B46" s="253" t="s">
        <v>1033</v>
      </c>
      <c r="C46" s="254">
        <f>ROUND((C33+C39)*F27,0)</f>
        <v>549</v>
      </c>
      <c r="D46" s="268"/>
      <c r="E46" s="241"/>
      <c r="F46" s="251"/>
      <c r="G46" s="252"/>
    </row>
    <row r="47" spans="1:7" s="219" customFormat="1" ht="13.5" customHeight="1">
      <c r="A47" s="886" t="s">
        <v>792</v>
      </c>
      <c r="B47" s="253" t="s">
        <v>1035</v>
      </c>
      <c r="C47" s="243">
        <f>ROUND(C40*F27,4)</f>
        <v>2.7000000000000001E-3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7368</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7368</v>
      </c>
      <c r="D51" s="237"/>
      <c r="E51" s="237"/>
      <c r="F51" s="269"/>
      <c r="G51" s="239" t="s">
        <v>64</v>
      </c>
    </row>
    <row r="52" spans="1:7" s="213" customFormat="1" ht="16.5" thickBot="1">
      <c r="A52" s="270" t="s">
        <v>65</v>
      </c>
      <c r="B52" s="271"/>
      <c r="C52" s="272">
        <f ca="1">C31+C51</f>
        <v>33205</v>
      </c>
      <c r="D52" s="271"/>
      <c r="E52" s="271"/>
      <c r="F52" s="271"/>
      <c r="G52" s="273"/>
    </row>
    <row r="55" spans="1:7" ht="15">
      <c r="B55" s="275" t="s">
        <v>66</v>
      </c>
      <c r="C55" s="276"/>
    </row>
    <row r="56" spans="1:7">
      <c r="B56" s="278" t="s">
        <v>67</v>
      </c>
      <c r="C56" s="279">
        <f ca="1">ROUND(C51/C52,3)</f>
        <v>0.222</v>
      </c>
    </row>
    <row r="57" spans="1:7">
      <c r="B57" s="278" t="s">
        <v>68</v>
      </c>
      <c r="C57" s="280">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94" t="s">
        <v>156</v>
      </c>
      <c r="B1" s="3494"/>
      <c r="C1" s="3494"/>
      <c r="D1" s="3494"/>
      <c r="E1" s="3494"/>
      <c r="F1" s="349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95" t="s">
        <v>169</v>
      </c>
      <c r="B2" s="3495"/>
      <c r="C2" s="3495"/>
      <c r="D2" s="3495"/>
      <c r="E2" s="3495"/>
      <c r="F2" s="349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9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9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94" t="s">
        <v>839</v>
      </c>
      <c r="B1" s="349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44259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0">
        <v>43941</v>
      </c>
      <c r="D13" s="3041">
        <v>3.85</v>
      </c>
      <c r="E13" s="3041">
        <v>3.85</v>
      </c>
      <c r="F13" s="3041">
        <v>3.85</v>
      </c>
      <c r="G13" s="3041">
        <v>3.85</v>
      </c>
      <c r="H13" s="304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6"/>
      <c r="C14" s="3037">
        <v>43881</v>
      </c>
      <c r="D14" s="3036">
        <v>4.05</v>
      </c>
      <c r="E14" s="3036">
        <v>4.05</v>
      </c>
      <c r="F14" s="3036">
        <v>4.05</v>
      </c>
      <c r="G14" s="3036">
        <v>4.05</v>
      </c>
      <c r="H14" s="3036">
        <v>4.75</v>
      </c>
      <c r="I14" s="3036"/>
      <c r="J14" s="303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6"/>
      <c r="C15" s="3037">
        <v>43789</v>
      </c>
      <c r="D15" s="3036">
        <v>4.1500000000000004</v>
      </c>
      <c r="E15" s="3036">
        <v>4.1500000000000004</v>
      </c>
      <c r="F15" s="3036">
        <v>4.1500000000000004</v>
      </c>
      <c r="G15" s="3036">
        <v>4.1500000000000004</v>
      </c>
      <c r="H15" s="3036">
        <v>4.8</v>
      </c>
      <c r="I15" s="3036"/>
      <c r="J15" s="303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6"/>
      <c r="C16" s="3037">
        <v>43728</v>
      </c>
      <c r="D16" s="3036">
        <v>4.2</v>
      </c>
      <c r="E16" s="3036">
        <v>4.2</v>
      </c>
      <c r="F16" s="3036">
        <v>4.2</v>
      </c>
      <c r="G16" s="3036">
        <v>4.2</v>
      </c>
      <c r="H16" s="3036">
        <v>4.8499999999999996</v>
      </c>
      <c r="I16" s="3036"/>
      <c r="J16" s="303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35" t="s">
        <v>3055</v>
      </c>
      <c r="C17" s="3038">
        <v>43697</v>
      </c>
      <c r="D17" s="3039">
        <v>4.25</v>
      </c>
      <c r="E17" s="3039">
        <v>4.25</v>
      </c>
      <c r="F17" s="3039">
        <v>4.25</v>
      </c>
      <c r="G17" s="3039">
        <v>4.25</v>
      </c>
      <c r="H17" s="3039">
        <v>4.8499999999999996</v>
      </c>
      <c r="I17" s="3039"/>
      <c r="J17" s="303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18" workbookViewId="0">
      <selection activeCell="T50" sqref="T50"/>
    </sheetView>
  </sheetViews>
  <sheetFormatPr defaultRowHeight="13.5"/>
  <cols>
    <col min="1" max="1" width="29.5" style="1405" customWidth="1"/>
    <col min="2" max="2" width="6.25" style="1405" hidden="1" customWidth="1"/>
    <col min="3" max="3" width="13.875" style="1405" hidden="1" customWidth="1"/>
    <col min="4" max="5" width="11.875" style="1405" customWidth="1"/>
    <col min="6" max="6" width="10" style="3084" customWidth="1"/>
    <col min="7" max="7" width="7.875" style="1405" hidden="1" customWidth="1"/>
    <col min="8" max="8" width="9.875" style="1405" hidden="1" customWidth="1"/>
    <col min="9" max="9" width="9" style="1405" hidden="1" customWidth="1"/>
    <col min="10" max="10" width="9" style="1405" customWidth="1"/>
    <col min="11" max="11" width="10.625" style="1405" hidden="1" customWidth="1"/>
    <col min="12" max="14" width="8.5" style="1405" customWidth="1"/>
    <col min="15" max="15" width="7.125" style="1405" customWidth="1"/>
    <col min="16" max="16" width="6.25" style="1405" customWidth="1"/>
    <col min="17" max="17" width="17" style="1405" customWidth="1"/>
    <col min="18" max="18" width="7.875" style="1405" customWidth="1"/>
    <col min="19" max="257" width="9" style="1405"/>
    <col min="258" max="258" width="29.5" style="1405" customWidth="1"/>
    <col min="259" max="260" width="0" style="1405" hidden="1" customWidth="1"/>
    <col min="261" max="262" width="11.875" style="1405" customWidth="1"/>
    <col min="263" max="263" width="10" style="1405" customWidth="1"/>
    <col min="264" max="264" width="0" style="1405" hidden="1" customWidth="1"/>
    <col min="265" max="265" width="17.75" style="1405" customWidth="1"/>
    <col min="266" max="266" width="0" style="1405" hidden="1" customWidth="1"/>
    <col min="267" max="267" width="9" style="1405" customWidth="1"/>
    <col min="268" max="268" width="0" style="1405" hidden="1" customWidth="1"/>
    <col min="269" max="269" width="10.625" style="1405" customWidth="1"/>
    <col min="270" max="270" width="14.375" style="1405" customWidth="1"/>
    <col min="271" max="271" width="7.125" style="1405" customWidth="1"/>
    <col min="272" max="272" width="6.25" style="1405" customWidth="1"/>
    <col min="273" max="273" width="29.25" style="1405" customWidth="1"/>
    <col min="274" max="274" width="7.875" style="1405" customWidth="1"/>
    <col min="275" max="513" width="9" style="1405"/>
    <col min="514" max="514" width="29.5" style="1405" customWidth="1"/>
    <col min="515" max="516" width="0" style="1405" hidden="1" customWidth="1"/>
    <col min="517" max="518" width="11.875" style="1405" customWidth="1"/>
    <col min="519" max="519" width="10" style="1405" customWidth="1"/>
    <col min="520" max="520" width="0" style="1405" hidden="1" customWidth="1"/>
    <col min="521" max="521" width="17.75" style="1405" customWidth="1"/>
    <col min="522" max="522" width="0" style="1405" hidden="1" customWidth="1"/>
    <col min="523" max="523" width="9" style="1405" customWidth="1"/>
    <col min="524" max="524" width="0" style="1405" hidden="1" customWidth="1"/>
    <col min="525" max="525" width="10.625" style="1405" customWidth="1"/>
    <col min="526" max="526" width="14.375" style="1405" customWidth="1"/>
    <col min="527" max="527" width="7.125" style="1405" customWidth="1"/>
    <col min="528" max="528" width="6.25" style="1405" customWidth="1"/>
    <col min="529" max="529" width="29.25" style="1405" customWidth="1"/>
    <col min="530" max="530" width="7.875" style="1405" customWidth="1"/>
    <col min="531" max="769" width="9" style="1405"/>
    <col min="770" max="770" width="29.5" style="1405" customWidth="1"/>
    <col min="771" max="772" width="0" style="1405" hidden="1" customWidth="1"/>
    <col min="773" max="774" width="11.875" style="1405" customWidth="1"/>
    <col min="775" max="775" width="10" style="1405" customWidth="1"/>
    <col min="776" max="776" width="0" style="1405" hidden="1" customWidth="1"/>
    <col min="777" max="777" width="17.75" style="1405" customWidth="1"/>
    <col min="778" max="778" width="0" style="1405" hidden="1" customWidth="1"/>
    <col min="779" max="779" width="9" style="1405" customWidth="1"/>
    <col min="780" max="780" width="0" style="1405" hidden="1" customWidth="1"/>
    <col min="781" max="781" width="10.625" style="1405" customWidth="1"/>
    <col min="782" max="782" width="14.375" style="1405" customWidth="1"/>
    <col min="783" max="783" width="7.125" style="1405" customWidth="1"/>
    <col min="784" max="784" width="6.25" style="1405" customWidth="1"/>
    <col min="785" max="785" width="29.25" style="1405" customWidth="1"/>
    <col min="786" max="786" width="7.875" style="1405" customWidth="1"/>
    <col min="787" max="1025" width="9" style="1405"/>
    <col min="1026" max="1026" width="29.5" style="1405" customWidth="1"/>
    <col min="1027" max="1028" width="0" style="1405" hidden="1" customWidth="1"/>
    <col min="1029" max="1030" width="11.875" style="1405" customWidth="1"/>
    <col min="1031" max="1031" width="10" style="1405" customWidth="1"/>
    <col min="1032" max="1032" width="0" style="1405" hidden="1" customWidth="1"/>
    <col min="1033" max="1033" width="17.75" style="1405" customWidth="1"/>
    <col min="1034" max="1034" width="0" style="1405" hidden="1" customWidth="1"/>
    <col min="1035" max="1035" width="9" style="1405" customWidth="1"/>
    <col min="1036" max="1036" width="0" style="1405" hidden="1" customWidth="1"/>
    <col min="1037" max="1037" width="10.625" style="1405" customWidth="1"/>
    <col min="1038" max="1038" width="14.375" style="1405" customWidth="1"/>
    <col min="1039" max="1039" width="7.125" style="1405" customWidth="1"/>
    <col min="1040" max="1040" width="6.25" style="1405" customWidth="1"/>
    <col min="1041" max="1041" width="29.25" style="1405" customWidth="1"/>
    <col min="1042" max="1042" width="7.875" style="1405" customWidth="1"/>
    <col min="1043" max="1281" width="9" style="1405"/>
    <col min="1282" max="1282" width="29.5" style="1405" customWidth="1"/>
    <col min="1283" max="1284" width="0" style="1405" hidden="1" customWidth="1"/>
    <col min="1285" max="1286" width="11.875" style="1405" customWidth="1"/>
    <col min="1287" max="1287" width="10" style="1405" customWidth="1"/>
    <col min="1288" max="1288" width="0" style="1405" hidden="1" customWidth="1"/>
    <col min="1289" max="1289" width="17.75" style="1405" customWidth="1"/>
    <col min="1290" max="1290" width="0" style="1405" hidden="1" customWidth="1"/>
    <col min="1291" max="1291" width="9" style="1405" customWidth="1"/>
    <col min="1292" max="1292" width="0" style="1405" hidden="1" customWidth="1"/>
    <col min="1293" max="1293" width="10.625" style="1405" customWidth="1"/>
    <col min="1294" max="1294" width="14.375" style="1405" customWidth="1"/>
    <col min="1295" max="1295" width="7.125" style="1405" customWidth="1"/>
    <col min="1296" max="1296" width="6.25" style="1405" customWidth="1"/>
    <col min="1297" max="1297" width="29.25" style="1405" customWidth="1"/>
    <col min="1298" max="1298" width="7.875" style="1405" customWidth="1"/>
    <col min="1299" max="1537" width="9" style="1405"/>
    <col min="1538" max="1538" width="29.5" style="1405" customWidth="1"/>
    <col min="1539" max="1540" width="0" style="1405" hidden="1" customWidth="1"/>
    <col min="1541" max="1542" width="11.875" style="1405" customWidth="1"/>
    <col min="1543" max="1543" width="10" style="1405" customWidth="1"/>
    <col min="1544" max="1544" width="0" style="1405" hidden="1" customWidth="1"/>
    <col min="1545" max="1545" width="17.75" style="1405" customWidth="1"/>
    <col min="1546" max="1546" width="0" style="1405" hidden="1" customWidth="1"/>
    <col min="1547" max="1547" width="9" style="1405" customWidth="1"/>
    <col min="1548" max="1548" width="0" style="1405" hidden="1" customWidth="1"/>
    <col min="1549" max="1549" width="10.625" style="1405" customWidth="1"/>
    <col min="1550" max="1550" width="14.375" style="1405" customWidth="1"/>
    <col min="1551" max="1551" width="7.125" style="1405" customWidth="1"/>
    <col min="1552" max="1552" width="6.25" style="1405" customWidth="1"/>
    <col min="1553" max="1553" width="29.25" style="1405" customWidth="1"/>
    <col min="1554" max="1554" width="7.875" style="1405" customWidth="1"/>
    <col min="1555" max="1793" width="9" style="1405"/>
    <col min="1794" max="1794" width="29.5" style="1405" customWidth="1"/>
    <col min="1795" max="1796" width="0" style="1405" hidden="1" customWidth="1"/>
    <col min="1797" max="1798" width="11.875" style="1405" customWidth="1"/>
    <col min="1799" max="1799" width="10" style="1405" customWidth="1"/>
    <col min="1800" max="1800" width="0" style="1405" hidden="1" customWidth="1"/>
    <col min="1801" max="1801" width="17.75" style="1405" customWidth="1"/>
    <col min="1802" max="1802" width="0" style="1405" hidden="1" customWidth="1"/>
    <col min="1803" max="1803" width="9" style="1405" customWidth="1"/>
    <col min="1804" max="1804" width="0" style="1405" hidden="1" customWidth="1"/>
    <col min="1805" max="1805" width="10.625" style="1405" customWidth="1"/>
    <col min="1806" max="1806" width="14.375" style="1405" customWidth="1"/>
    <col min="1807" max="1807" width="7.125" style="1405" customWidth="1"/>
    <col min="1808" max="1808" width="6.25" style="1405" customWidth="1"/>
    <col min="1809" max="1809" width="29.25" style="1405" customWidth="1"/>
    <col min="1810" max="1810" width="7.875" style="1405" customWidth="1"/>
    <col min="1811" max="2049" width="9" style="1405"/>
    <col min="2050" max="2050" width="29.5" style="1405" customWidth="1"/>
    <col min="2051" max="2052" width="0" style="1405" hidden="1" customWidth="1"/>
    <col min="2053" max="2054" width="11.875" style="1405" customWidth="1"/>
    <col min="2055" max="2055" width="10" style="1405" customWidth="1"/>
    <col min="2056" max="2056" width="0" style="1405" hidden="1" customWidth="1"/>
    <col min="2057" max="2057" width="17.75" style="1405" customWidth="1"/>
    <col min="2058" max="2058" width="0" style="1405" hidden="1" customWidth="1"/>
    <col min="2059" max="2059" width="9" style="1405" customWidth="1"/>
    <col min="2060" max="2060" width="0" style="1405" hidden="1" customWidth="1"/>
    <col min="2061" max="2061" width="10.625" style="1405" customWidth="1"/>
    <col min="2062" max="2062" width="14.375" style="1405" customWidth="1"/>
    <col min="2063" max="2063" width="7.125" style="1405" customWidth="1"/>
    <col min="2064" max="2064" width="6.25" style="1405" customWidth="1"/>
    <col min="2065" max="2065" width="29.25" style="1405" customWidth="1"/>
    <col min="2066" max="2066" width="7.875" style="1405" customWidth="1"/>
    <col min="2067" max="2305" width="9" style="1405"/>
    <col min="2306" max="2306" width="29.5" style="1405" customWidth="1"/>
    <col min="2307" max="2308" width="0" style="1405" hidden="1" customWidth="1"/>
    <col min="2309" max="2310" width="11.875" style="1405" customWidth="1"/>
    <col min="2311" max="2311" width="10" style="1405" customWidth="1"/>
    <col min="2312" max="2312" width="0" style="1405" hidden="1" customWidth="1"/>
    <col min="2313" max="2313" width="17.75" style="1405" customWidth="1"/>
    <col min="2314" max="2314" width="0" style="1405" hidden="1" customWidth="1"/>
    <col min="2315" max="2315" width="9" style="1405" customWidth="1"/>
    <col min="2316" max="2316" width="0" style="1405" hidden="1" customWidth="1"/>
    <col min="2317" max="2317" width="10.625" style="1405" customWidth="1"/>
    <col min="2318" max="2318" width="14.375" style="1405" customWidth="1"/>
    <col min="2319" max="2319" width="7.125" style="1405" customWidth="1"/>
    <col min="2320" max="2320" width="6.25" style="1405" customWidth="1"/>
    <col min="2321" max="2321" width="29.25" style="1405" customWidth="1"/>
    <col min="2322" max="2322" width="7.875" style="1405" customWidth="1"/>
    <col min="2323" max="2561" width="9" style="1405"/>
    <col min="2562" max="2562" width="29.5" style="1405" customWidth="1"/>
    <col min="2563" max="2564" width="0" style="1405" hidden="1" customWidth="1"/>
    <col min="2565" max="2566" width="11.875" style="1405" customWidth="1"/>
    <col min="2567" max="2567" width="10" style="1405" customWidth="1"/>
    <col min="2568" max="2568" width="0" style="1405" hidden="1" customWidth="1"/>
    <col min="2569" max="2569" width="17.75" style="1405" customWidth="1"/>
    <col min="2570" max="2570" width="0" style="1405" hidden="1" customWidth="1"/>
    <col min="2571" max="2571" width="9" style="1405" customWidth="1"/>
    <col min="2572" max="2572" width="0" style="1405" hidden="1" customWidth="1"/>
    <col min="2573" max="2573" width="10.625" style="1405" customWidth="1"/>
    <col min="2574" max="2574" width="14.375" style="1405" customWidth="1"/>
    <col min="2575" max="2575" width="7.125" style="1405" customWidth="1"/>
    <col min="2576" max="2576" width="6.25" style="1405" customWidth="1"/>
    <col min="2577" max="2577" width="29.25" style="1405" customWidth="1"/>
    <col min="2578" max="2578" width="7.875" style="1405" customWidth="1"/>
    <col min="2579" max="2817" width="9" style="1405"/>
    <col min="2818" max="2818" width="29.5" style="1405" customWidth="1"/>
    <col min="2819" max="2820" width="0" style="1405" hidden="1" customWidth="1"/>
    <col min="2821" max="2822" width="11.875" style="1405" customWidth="1"/>
    <col min="2823" max="2823" width="10" style="1405" customWidth="1"/>
    <col min="2824" max="2824" width="0" style="1405" hidden="1" customWidth="1"/>
    <col min="2825" max="2825" width="17.75" style="1405" customWidth="1"/>
    <col min="2826" max="2826" width="0" style="1405" hidden="1" customWidth="1"/>
    <col min="2827" max="2827" width="9" style="1405" customWidth="1"/>
    <col min="2828" max="2828" width="0" style="1405" hidden="1" customWidth="1"/>
    <col min="2829" max="2829" width="10.625" style="1405" customWidth="1"/>
    <col min="2830" max="2830" width="14.375" style="1405" customWidth="1"/>
    <col min="2831" max="2831" width="7.125" style="1405" customWidth="1"/>
    <col min="2832" max="2832" width="6.25" style="1405" customWidth="1"/>
    <col min="2833" max="2833" width="29.25" style="1405" customWidth="1"/>
    <col min="2834" max="2834" width="7.875" style="1405" customWidth="1"/>
    <col min="2835" max="3073" width="9" style="1405"/>
    <col min="3074" max="3074" width="29.5" style="1405" customWidth="1"/>
    <col min="3075" max="3076" width="0" style="1405" hidden="1" customWidth="1"/>
    <col min="3077" max="3078" width="11.875" style="1405" customWidth="1"/>
    <col min="3079" max="3079" width="10" style="1405" customWidth="1"/>
    <col min="3080" max="3080" width="0" style="1405" hidden="1" customWidth="1"/>
    <col min="3081" max="3081" width="17.75" style="1405" customWidth="1"/>
    <col min="3082" max="3082" width="0" style="1405" hidden="1" customWidth="1"/>
    <col min="3083" max="3083" width="9" style="1405" customWidth="1"/>
    <col min="3084" max="3084" width="0" style="1405" hidden="1" customWidth="1"/>
    <col min="3085" max="3085" width="10.625" style="1405" customWidth="1"/>
    <col min="3086" max="3086" width="14.375" style="1405" customWidth="1"/>
    <col min="3087" max="3087" width="7.125" style="1405" customWidth="1"/>
    <col min="3088" max="3088" width="6.25" style="1405" customWidth="1"/>
    <col min="3089" max="3089" width="29.25" style="1405" customWidth="1"/>
    <col min="3090" max="3090" width="7.875" style="1405" customWidth="1"/>
    <col min="3091" max="3329" width="9" style="1405"/>
    <col min="3330" max="3330" width="29.5" style="1405" customWidth="1"/>
    <col min="3331" max="3332" width="0" style="1405" hidden="1" customWidth="1"/>
    <col min="3333" max="3334" width="11.875" style="1405" customWidth="1"/>
    <col min="3335" max="3335" width="10" style="1405" customWidth="1"/>
    <col min="3336" max="3336" width="0" style="1405" hidden="1" customWidth="1"/>
    <col min="3337" max="3337" width="17.75" style="1405" customWidth="1"/>
    <col min="3338" max="3338" width="0" style="1405" hidden="1" customWidth="1"/>
    <col min="3339" max="3339" width="9" style="1405" customWidth="1"/>
    <col min="3340" max="3340" width="0" style="1405" hidden="1" customWidth="1"/>
    <col min="3341" max="3341" width="10.625" style="1405" customWidth="1"/>
    <col min="3342" max="3342" width="14.375" style="1405" customWidth="1"/>
    <col min="3343" max="3343" width="7.125" style="1405" customWidth="1"/>
    <col min="3344" max="3344" width="6.25" style="1405" customWidth="1"/>
    <col min="3345" max="3345" width="29.25" style="1405" customWidth="1"/>
    <col min="3346" max="3346" width="7.875" style="1405" customWidth="1"/>
    <col min="3347" max="3585" width="9" style="1405"/>
    <col min="3586" max="3586" width="29.5" style="1405" customWidth="1"/>
    <col min="3587" max="3588" width="0" style="1405" hidden="1" customWidth="1"/>
    <col min="3589" max="3590" width="11.875" style="1405" customWidth="1"/>
    <col min="3591" max="3591" width="10" style="1405" customWidth="1"/>
    <col min="3592" max="3592" width="0" style="1405" hidden="1" customWidth="1"/>
    <col min="3593" max="3593" width="17.75" style="1405" customWidth="1"/>
    <col min="3594" max="3594" width="0" style="1405" hidden="1" customWidth="1"/>
    <col min="3595" max="3595" width="9" style="1405" customWidth="1"/>
    <col min="3596" max="3596" width="0" style="1405" hidden="1" customWidth="1"/>
    <col min="3597" max="3597" width="10.625" style="1405" customWidth="1"/>
    <col min="3598" max="3598" width="14.375" style="1405" customWidth="1"/>
    <col min="3599" max="3599" width="7.125" style="1405" customWidth="1"/>
    <col min="3600" max="3600" width="6.25" style="1405" customWidth="1"/>
    <col min="3601" max="3601" width="29.25" style="1405" customWidth="1"/>
    <col min="3602" max="3602" width="7.875" style="1405" customWidth="1"/>
    <col min="3603" max="3841" width="9" style="1405"/>
    <col min="3842" max="3842" width="29.5" style="1405" customWidth="1"/>
    <col min="3843" max="3844" width="0" style="1405" hidden="1" customWidth="1"/>
    <col min="3845" max="3846" width="11.875" style="1405" customWidth="1"/>
    <col min="3847" max="3847" width="10" style="1405" customWidth="1"/>
    <col min="3848" max="3848" width="0" style="1405" hidden="1" customWidth="1"/>
    <col min="3849" max="3849" width="17.75" style="1405" customWidth="1"/>
    <col min="3850" max="3850" width="0" style="1405" hidden="1" customWidth="1"/>
    <col min="3851" max="3851" width="9" style="1405" customWidth="1"/>
    <col min="3852" max="3852" width="0" style="1405" hidden="1" customWidth="1"/>
    <col min="3853" max="3853" width="10.625" style="1405" customWidth="1"/>
    <col min="3854" max="3854" width="14.375" style="1405" customWidth="1"/>
    <col min="3855" max="3855" width="7.125" style="1405" customWidth="1"/>
    <col min="3856" max="3856" width="6.25" style="1405" customWidth="1"/>
    <col min="3857" max="3857" width="29.25" style="1405" customWidth="1"/>
    <col min="3858" max="3858" width="7.875" style="1405" customWidth="1"/>
    <col min="3859" max="4097" width="9" style="1405"/>
    <col min="4098" max="4098" width="29.5" style="1405" customWidth="1"/>
    <col min="4099" max="4100" width="0" style="1405" hidden="1" customWidth="1"/>
    <col min="4101" max="4102" width="11.875" style="1405" customWidth="1"/>
    <col min="4103" max="4103" width="10" style="1405" customWidth="1"/>
    <col min="4104" max="4104" width="0" style="1405" hidden="1" customWidth="1"/>
    <col min="4105" max="4105" width="17.75" style="1405" customWidth="1"/>
    <col min="4106" max="4106" width="0" style="1405" hidden="1" customWidth="1"/>
    <col min="4107" max="4107" width="9" style="1405" customWidth="1"/>
    <col min="4108" max="4108" width="0" style="1405" hidden="1" customWidth="1"/>
    <col min="4109" max="4109" width="10.625" style="1405" customWidth="1"/>
    <col min="4110" max="4110" width="14.375" style="1405" customWidth="1"/>
    <col min="4111" max="4111" width="7.125" style="1405" customWidth="1"/>
    <col min="4112" max="4112" width="6.25" style="1405" customWidth="1"/>
    <col min="4113" max="4113" width="29.25" style="1405" customWidth="1"/>
    <col min="4114" max="4114" width="7.875" style="1405" customWidth="1"/>
    <col min="4115" max="4353" width="9" style="1405"/>
    <col min="4354" max="4354" width="29.5" style="1405" customWidth="1"/>
    <col min="4355" max="4356" width="0" style="1405" hidden="1" customWidth="1"/>
    <col min="4357" max="4358" width="11.875" style="1405" customWidth="1"/>
    <col min="4359" max="4359" width="10" style="1405" customWidth="1"/>
    <col min="4360" max="4360" width="0" style="1405" hidden="1" customWidth="1"/>
    <col min="4361" max="4361" width="17.75" style="1405" customWidth="1"/>
    <col min="4362" max="4362" width="0" style="1405" hidden="1" customWidth="1"/>
    <col min="4363" max="4363" width="9" style="1405" customWidth="1"/>
    <col min="4364" max="4364" width="0" style="1405" hidden="1" customWidth="1"/>
    <col min="4365" max="4365" width="10.625" style="1405" customWidth="1"/>
    <col min="4366" max="4366" width="14.375" style="1405" customWidth="1"/>
    <col min="4367" max="4367" width="7.125" style="1405" customWidth="1"/>
    <col min="4368" max="4368" width="6.25" style="1405" customWidth="1"/>
    <col min="4369" max="4369" width="29.25" style="1405" customWidth="1"/>
    <col min="4370" max="4370" width="7.875" style="1405" customWidth="1"/>
    <col min="4371" max="4609" width="9" style="1405"/>
    <col min="4610" max="4610" width="29.5" style="1405" customWidth="1"/>
    <col min="4611" max="4612" width="0" style="1405" hidden="1" customWidth="1"/>
    <col min="4613" max="4614" width="11.875" style="1405" customWidth="1"/>
    <col min="4615" max="4615" width="10" style="1405" customWidth="1"/>
    <col min="4616" max="4616" width="0" style="1405" hidden="1" customWidth="1"/>
    <col min="4617" max="4617" width="17.75" style="1405" customWidth="1"/>
    <col min="4618" max="4618" width="0" style="1405" hidden="1" customWidth="1"/>
    <col min="4619" max="4619" width="9" style="1405" customWidth="1"/>
    <col min="4620" max="4620" width="0" style="1405" hidden="1" customWidth="1"/>
    <col min="4621" max="4621" width="10.625" style="1405" customWidth="1"/>
    <col min="4622" max="4622" width="14.375" style="1405" customWidth="1"/>
    <col min="4623" max="4623" width="7.125" style="1405" customWidth="1"/>
    <col min="4624" max="4624" width="6.25" style="1405" customWidth="1"/>
    <col min="4625" max="4625" width="29.25" style="1405" customWidth="1"/>
    <col min="4626" max="4626" width="7.875" style="1405" customWidth="1"/>
    <col min="4627" max="4865" width="9" style="1405"/>
    <col min="4866" max="4866" width="29.5" style="1405" customWidth="1"/>
    <col min="4867" max="4868" width="0" style="1405" hidden="1" customWidth="1"/>
    <col min="4869" max="4870" width="11.875" style="1405" customWidth="1"/>
    <col min="4871" max="4871" width="10" style="1405" customWidth="1"/>
    <col min="4872" max="4872" width="0" style="1405" hidden="1" customWidth="1"/>
    <col min="4873" max="4873" width="17.75" style="1405" customWidth="1"/>
    <col min="4874" max="4874" width="0" style="1405" hidden="1" customWidth="1"/>
    <col min="4875" max="4875" width="9" style="1405" customWidth="1"/>
    <col min="4876" max="4876" width="0" style="1405" hidden="1" customWidth="1"/>
    <col min="4877" max="4877" width="10.625" style="1405" customWidth="1"/>
    <col min="4878" max="4878" width="14.375" style="1405" customWidth="1"/>
    <col min="4879" max="4879" width="7.125" style="1405" customWidth="1"/>
    <col min="4880" max="4880" width="6.25" style="1405" customWidth="1"/>
    <col min="4881" max="4881" width="29.25" style="1405" customWidth="1"/>
    <col min="4882" max="4882" width="7.875" style="1405" customWidth="1"/>
    <col min="4883" max="5121" width="9" style="1405"/>
    <col min="5122" max="5122" width="29.5" style="1405" customWidth="1"/>
    <col min="5123" max="5124" width="0" style="1405" hidden="1" customWidth="1"/>
    <col min="5125" max="5126" width="11.875" style="1405" customWidth="1"/>
    <col min="5127" max="5127" width="10" style="1405" customWidth="1"/>
    <col min="5128" max="5128" width="0" style="1405" hidden="1" customWidth="1"/>
    <col min="5129" max="5129" width="17.75" style="1405" customWidth="1"/>
    <col min="5130" max="5130" width="0" style="1405" hidden="1" customWidth="1"/>
    <col min="5131" max="5131" width="9" style="1405" customWidth="1"/>
    <col min="5132" max="5132" width="0" style="1405" hidden="1" customWidth="1"/>
    <col min="5133" max="5133" width="10.625" style="1405" customWidth="1"/>
    <col min="5134" max="5134" width="14.375" style="1405" customWidth="1"/>
    <col min="5135" max="5135" width="7.125" style="1405" customWidth="1"/>
    <col min="5136" max="5136" width="6.25" style="1405" customWidth="1"/>
    <col min="5137" max="5137" width="29.25" style="1405" customWidth="1"/>
    <col min="5138" max="5138" width="7.875" style="1405" customWidth="1"/>
    <col min="5139" max="5377" width="9" style="1405"/>
    <col min="5378" max="5378" width="29.5" style="1405" customWidth="1"/>
    <col min="5379" max="5380" width="0" style="1405" hidden="1" customWidth="1"/>
    <col min="5381" max="5382" width="11.875" style="1405" customWidth="1"/>
    <col min="5383" max="5383" width="10" style="1405" customWidth="1"/>
    <col min="5384" max="5384" width="0" style="1405" hidden="1" customWidth="1"/>
    <col min="5385" max="5385" width="17.75" style="1405" customWidth="1"/>
    <col min="5386" max="5386" width="0" style="1405" hidden="1" customWidth="1"/>
    <col min="5387" max="5387" width="9" style="1405" customWidth="1"/>
    <col min="5388" max="5388" width="0" style="1405" hidden="1" customWidth="1"/>
    <col min="5389" max="5389" width="10.625" style="1405" customWidth="1"/>
    <col min="5390" max="5390" width="14.375" style="1405" customWidth="1"/>
    <col min="5391" max="5391" width="7.125" style="1405" customWidth="1"/>
    <col min="5392" max="5392" width="6.25" style="1405" customWidth="1"/>
    <col min="5393" max="5393" width="29.25" style="1405" customWidth="1"/>
    <col min="5394" max="5394" width="7.875" style="1405" customWidth="1"/>
    <col min="5395" max="5633" width="9" style="1405"/>
    <col min="5634" max="5634" width="29.5" style="1405" customWidth="1"/>
    <col min="5635" max="5636" width="0" style="1405" hidden="1" customWidth="1"/>
    <col min="5637" max="5638" width="11.875" style="1405" customWidth="1"/>
    <col min="5639" max="5639" width="10" style="1405" customWidth="1"/>
    <col min="5640" max="5640" width="0" style="1405" hidden="1" customWidth="1"/>
    <col min="5641" max="5641" width="17.75" style="1405" customWidth="1"/>
    <col min="5642" max="5642" width="0" style="1405" hidden="1" customWidth="1"/>
    <col min="5643" max="5643" width="9" style="1405" customWidth="1"/>
    <col min="5644" max="5644" width="0" style="1405" hidden="1" customWidth="1"/>
    <col min="5645" max="5645" width="10.625" style="1405" customWidth="1"/>
    <col min="5646" max="5646" width="14.375" style="1405" customWidth="1"/>
    <col min="5647" max="5647" width="7.125" style="1405" customWidth="1"/>
    <col min="5648" max="5648" width="6.25" style="1405" customWidth="1"/>
    <col min="5649" max="5649" width="29.25" style="1405" customWidth="1"/>
    <col min="5650" max="5650" width="7.875" style="1405" customWidth="1"/>
    <col min="5651" max="5889" width="9" style="1405"/>
    <col min="5890" max="5890" width="29.5" style="1405" customWidth="1"/>
    <col min="5891" max="5892" width="0" style="1405" hidden="1" customWidth="1"/>
    <col min="5893" max="5894" width="11.875" style="1405" customWidth="1"/>
    <col min="5895" max="5895" width="10" style="1405" customWidth="1"/>
    <col min="5896" max="5896" width="0" style="1405" hidden="1" customWidth="1"/>
    <col min="5897" max="5897" width="17.75" style="1405" customWidth="1"/>
    <col min="5898" max="5898" width="0" style="1405" hidden="1" customWidth="1"/>
    <col min="5899" max="5899" width="9" style="1405" customWidth="1"/>
    <col min="5900" max="5900" width="0" style="1405" hidden="1" customWidth="1"/>
    <col min="5901" max="5901" width="10.625" style="1405" customWidth="1"/>
    <col min="5902" max="5902" width="14.375" style="1405" customWidth="1"/>
    <col min="5903" max="5903" width="7.125" style="1405" customWidth="1"/>
    <col min="5904" max="5904" width="6.25" style="1405" customWidth="1"/>
    <col min="5905" max="5905" width="29.25" style="1405" customWidth="1"/>
    <col min="5906" max="5906" width="7.875" style="1405" customWidth="1"/>
    <col min="5907" max="6145" width="9" style="1405"/>
    <col min="6146" max="6146" width="29.5" style="1405" customWidth="1"/>
    <col min="6147" max="6148" width="0" style="1405" hidden="1" customWidth="1"/>
    <col min="6149" max="6150" width="11.875" style="1405" customWidth="1"/>
    <col min="6151" max="6151" width="10" style="1405" customWidth="1"/>
    <col min="6152" max="6152" width="0" style="1405" hidden="1" customWidth="1"/>
    <col min="6153" max="6153" width="17.75" style="1405" customWidth="1"/>
    <col min="6154" max="6154" width="0" style="1405" hidden="1" customWidth="1"/>
    <col min="6155" max="6155" width="9" style="1405" customWidth="1"/>
    <col min="6156" max="6156" width="0" style="1405" hidden="1" customWidth="1"/>
    <col min="6157" max="6157" width="10.625" style="1405" customWidth="1"/>
    <col min="6158" max="6158" width="14.375" style="1405" customWidth="1"/>
    <col min="6159" max="6159" width="7.125" style="1405" customWidth="1"/>
    <col min="6160" max="6160" width="6.25" style="1405" customWidth="1"/>
    <col min="6161" max="6161" width="29.25" style="1405" customWidth="1"/>
    <col min="6162" max="6162" width="7.875" style="1405" customWidth="1"/>
    <col min="6163" max="6401" width="9" style="1405"/>
    <col min="6402" max="6402" width="29.5" style="1405" customWidth="1"/>
    <col min="6403" max="6404" width="0" style="1405" hidden="1" customWidth="1"/>
    <col min="6405" max="6406" width="11.875" style="1405" customWidth="1"/>
    <col min="6407" max="6407" width="10" style="1405" customWidth="1"/>
    <col min="6408" max="6408" width="0" style="1405" hidden="1" customWidth="1"/>
    <col min="6409" max="6409" width="17.75" style="1405" customWidth="1"/>
    <col min="6410" max="6410" width="0" style="1405" hidden="1" customWidth="1"/>
    <col min="6411" max="6411" width="9" style="1405" customWidth="1"/>
    <col min="6412" max="6412" width="0" style="1405" hidden="1" customWidth="1"/>
    <col min="6413" max="6413" width="10.625" style="1405" customWidth="1"/>
    <col min="6414" max="6414" width="14.375" style="1405" customWidth="1"/>
    <col min="6415" max="6415" width="7.125" style="1405" customWidth="1"/>
    <col min="6416" max="6416" width="6.25" style="1405" customWidth="1"/>
    <col min="6417" max="6417" width="29.25" style="1405" customWidth="1"/>
    <col min="6418" max="6418" width="7.875" style="1405" customWidth="1"/>
    <col min="6419" max="6657" width="9" style="1405"/>
    <col min="6658" max="6658" width="29.5" style="1405" customWidth="1"/>
    <col min="6659" max="6660" width="0" style="1405" hidden="1" customWidth="1"/>
    <col min="6661" max="6662" width="11.875" style="1405" customWidth="1"/>
    <col min="6663" max="6663" width="10" style="1405" customWidth="1"/>
    <col min="6664" max="6664" width="0" style="1405" hidden="1" customWidth="1"/>
    <col min="6665" max="6665" width="17.75" style="1405" customWidth="1"/>
    <col min="6666" max="6666" width="0" style="1405" hidden="1" customWidth="1"/>
    <col min="6667" max="6667" width="9" style="1405" customWidth="1"/>
    <col min="6668" max="6668" width="0" style="1405" hidden="1" customWidth="1"/>
    <col min="6669" max="6669" width="10.625" style="1405" customWidth="1"/>
    <col min="6670" max="6670" width="14.375" style="1405" customWidth="1"/>
    <col min="6671" max="6671" width="7.125" style="1405" customWidth="1"/>
    <col min="6672" max="6672" width="6.25" style="1405" customWidth="1"/>
    <col min="6673" max="6673" width="29.25" style="1405" customWidth="1"/>
    <col min="6674" max="6674" width="7.875" style="1405" customWidth="1"/>
    <col min="6675" max="6913" width="9" style="1405"/>
    <col min="6914" max="6914" width="29.5" style="1405" customWidth="1"/>
    <col min="6915" max="6916" width="0" style="1405" hidden="1" customWidth="1"/>
    <col min="6917" max="6918" width="11.875" style="1405" customWidth="1"/>
    <col min="6919" max="6919" width="10" style="1405" customWidth="1"/>
    <col min="6920" max="6920" width="0" style="1405" hidden="1" customWidth="1"/>
    <col min="6921" max="6921" width="17.75" style="1405" customWidth="1"/>
    <col min="6922" max="6922" width="0" style="1405" hidden="1" customWidth="1"/>
    <col min="6923" max="6923" width="9" style="1405" customWidth="1"/>
    <col min="6924" max="6924" width="0" style="1405" hidden="1" customWidth="1"/>
    <col min="6925" max="6925" width="10.625" style="1405" customWidth="1"/>
    <col min="6926" max="6926" width="14.375" style="1405" customWidth="1"/>
    <col min="6927" max="6927" width="7.125" style="1405" customWidth="1"/>
    <col min="6928" max="6928" width="6.25" style="1405" customWidth="1"/>
    <col min="6929" max="6929" width="29.25" style="1405" customWidth="1"/>
    <col min="6930" max="6930" width="7.875" style="1405" customWidth="1"/>
    <col min="6931" max="7169" width="9" style="1405"/>
    <col min="7170" max="7170" width="29.5" style="1405" customWidth="1"/>
    <col min="7171" max="7172" width="0" style="1405" hidden="1" customWidth="1"/>
    <col min="7173" max="7174" width="11.875" style="1405" customWidth="1"/>
    <col min="7175" max="7175" width="10" style="1405" customWidth="1"/>
    <col min="7176" max="7176" width="0" style="1405" hidden="1" customWidth="1"/>
    <col min="7177" max="7177" width="17.75" style="1405" customWidth="1"/>
    <col min="7178" max="7178" width="0" style="1405" hidden="1" customWidth="1"/>
    <col min="7179" max="7179" width="9" style="1405" customWidth="1"/>
    <col min="7180" max="7180" width="0" style="1405" hidden="1" customWidth="1"/>
    <col min="7181" max="7181" width="10.625" style="1405" customWidth="1"/>
    <col min="7182" max="7182" width="14.375" style="1405" customWidth="1"/>
    <col min="7183" max="7183" width="7.125" style="1405" customWidth="1"/>
    <col min="7184" max="7184" width="6.25" style="1405" customWidth="1"/>
    <col min="7185" max="7185" width="29.25" style="1405" customWidth="1"/>
    <col min="7186" max="7186" width="7.875" style="1405" customWidth="1"/>
    <col min="7187" max="7425" width="9" style="1405"/>
    <col min="7426" max="7426" width="29.5" style="1405" customWidth="1"/>
    <col min="7427" max="7428" width="0" style="1405" hidden="1" customWidth="1"/>
    <col min="7429" max="7430" width="11.875" style="1405" customWidth="1"/>
    <col min="7431" max="7431" width="10" style="1405" customWidth="1"/>
    <col min="7432" max="7432" width="0" style="1405" hidden="1" customWidth="1"/>
    <col min="7433" max="7433" width="17.75" style="1405" customWidth="1"/>
    <col min="7434" max="7434" width="0" style="1405" hidden="1" customWidth="1"/>
    <col min="7435" max="7435" width="9" style="1405" customWidth="1"/>
    <col min="7436" max="7436" width="0" style="1405" hidden="1" customWidth="1"/>
    <col min="7437" max="7437" width="10.625" style="1405" customWidth="1"/>
    <col min="7438" max="7438" width="14.375" style="1405" customWidth="1"/>
    <col min="7439" max="7439" width="7.125" style="1405" customWidth="1"/>
    <col min="7440" max="7440" width="6.25" style="1405" customWidth="1"/>
    <col min="7441" max="7441" width="29.25" style="1405" customWidth="1"/>
    <col min="7442" max="7442" width="7.875" style="1405" customWidth="1"/>
    <col min="7443" max="7681" width="9" style="1405"/>
    <col min="7682" max="7682" width="29.5" style="1405" customWidth="1"/>
    <col min="7683" max="7684" width="0" style="1405" hidden="1" customWidth="1"/>
    <col min="7685" max="7686" width="11.875" style="1405" customWidth="1"/>
    <col min="7687" max="7687" width="10" style="1405" customWidth="1"/>
    <col min="7688" max="7688" width="0" style="1405" hidden="1" customWidth="1"/>
    <col min="7689" max="7689" width="17.75" style="1405" customWidth="1"/>
    <col min="7690" max="7690" width="0" style="1405" hidden="1" customWidth="1"/>
    <col min="7691" max="7691" width="9" style="1405" customWidth="1"/>
    <col min="7692" max="7692" width="0" style="1405" hidden="1" customWidth="1"/>
    <col min="7693" max="7693" width="10.625" style="1405" customWidth="1"/>
    <col min="7694" max="7694" width="14.375" style="1405" customWidth="1"/>
    <col min="7695" max="7695" width="7.125" style="1405" customWidth="1"/>
    <col min="7696" max="7696" width="6.25" style="1405" customWidth="1"/>
    <col min="7697" max="7697" width="29.25" style="1405" customWidth="1"/>
    <col min="7698" max="7698" width="7.875" style="1405" customWidth="1"/>
    <col min="7699" max="7937" width="9" style="1405"/>
    <col min="7938" max="7938" width="29.5" style="1405" customWidth="1"/>
    <col min="7939" max="7940" width="0" style="1405" hidden="1" customWidth="1"/>
    <col min="7941" max="7942" width="11.875" style="1405" customWidth="1"/>
    <col min="7943" max="7943" width="10" style="1405" customWidth="1"/>
    <col min="7944" max="7944" width="0" style="1405" hidden="1" customWidth="1"/>
    <col min="7945" max="7945" width="17.75" style="1405" customWidth="1"/>
    <col min="7946" max="7946" width="0" style="1405" hidden="1" customWidth="1"/>
    <col min="7947" max="7947" width="9" style="1405" customWidth="1"/>
    <col min="7948" max="7948" width="0" style="1405" hidden="1" customWidth="1"/>
    <col min="7949" max="7949" width="10.625" style="1405" customWidth="1"/>
    <col min="7950" max="7950" width="14.375" style="1405" customWidth="1"/>
    <col min="7951" max="7951" width="7.125" style="1405" customWidth="1"/>
    <col min="7952" max="7952" width="6.25" style="1405" customWidth="1"/>
    <col min="7953" max="7953" width="29.25" style="1405" customWidth="1"/>
    <col min="7954" max="7954" width="7.875" style="1405" customWidth="1"/>
    <col min="7955" max="8193" width="9" style="1405"/>
    <col min="8194" max="8194" width="29.5" style="1405" customWidth="1"/>
    <col min="8195" max="8196" width="0" style="1405" hidden="1" customWidth="1"/>
    <col min="8197" max="8198" width="11.875" style="1405" customWidth="1"/>
    <col min="8199" max="8199" width="10" style="1405" customWidth="1"/>
    <col min="8200" max="8200" width="0" style="1405" hidden="1" customWidth="1"/>
    <col min="8201" max="8201" width="17.75" style="1405" customWidth="1"/>
    <col min="8202" max="8202" width="0" style="1405" hidden="1" customWidth="1"/>
    <col min="8203" max="8203" width="9" style="1405" customWidth="1"/>
    <col min="8204" max="8204" width="0" style="1405" hidden="1" customWidth="1"/>
    <col min="8205" max="8205" width="10.625" style="1405" customWidth="1"/>
    <col min="8206" max="8206" width="14.375" style="1405" customWidth="1"/>
    <col min="8207" max="8207" width="7.125" style="1405" customWidth="1"/>
    <col min="8208" max="8208" width="6.25" style="1405" customWidth="1"/>
    <col min="8209" max="8209" width="29.25" style="1405" customWidth="1"/>
    <col min="8210" max="8210" width="7.875" style="1405" customWidth="1"/>
    <col min="8211" max="8449" width="9" style="1405"/>
    <col min="8450" max="8450" width="29.5" style="1405" customWidth="1"/>
    <col min="8451" max="8452" width="0" style="1405" hidden="1" customWidth="1"/>
    <col min="8453" max="8454" width="11.875" style="1405" customWidth="1"/>
    <col min="8455" max="8455" width="10" style="1405" customWidth="1"/>
    <col min="8456" max="8456" width="0" style="1405" hidden="1" customWidth="1"/>
    <col min="8457" max="8457" width="17.75" style="1405" customWidth="1"/>
    <col min="8458" max="8458" width="0" style="1405" hidden="1" customWidth="1"/>
    <col min="8459" max="8459" width="9" style="1405" customWidth="1"/>
    <col min="8460" max="8460" width="0" style="1405" hidden="1" customWidth="1"/>
    <col min="8461" max="8461" width="10.625" style="1405" customWidth="1"/>
    <col min="8462" max="8462" width="14.375" style="1405" customWidth="1"/>
    <col min="8463" max="8463" width="7.125" style="1405" customWidth="1"/>
    <col min="8464" max="8464" width="6.25" style="1405" customWidth="1"/>
    <col min="8465" max="8465" width="29.25" style="1405" customWidth="1"/>
    <col min="8466" max="8466" width="7.875" style="1405" customWidth="1"/>
    <col min="8467" max="8705" width="9" style="1405"/>
    <col min="8706" max="8706" width="29.5" style="1405" customWidth="1"/>
    <col min="8707" max="8708" width="0" style="1405" hidden="1" customWidth="1"/>
    <col min="8709" max="8710" width="11.875" style="1405" customWidth="1"/>
    <col min="8711" max="8711" width="10" style="1405" customWidth="1"/>
    <col min="8712" max="8712" width="0" style="1405" hidden="1" customWidth="1"/>
    <col min="8713" max="8713" width="17.75" style="1405" customWidth="1"/>
    <col min="8714" max="8714" width="0" style="1405" hidden="1" customWidth="1"/>
    <col min="8715" max="8715" width="9" style="1405" customWidth="1"/>
    <col min="8716" max="8716" width="0" style="1405" hidden="1" customWidth="1"/>
    <col min="8717" max="8717" width="10.625" style="1405" customWidth="1"/>
    <col min="8718" max="8718" width="14.375" style="1405" customWidth="1"/>
    <col min="8719" max="8719" width="7.125" style="1405" customWidth="1"/>
    <col min="8720" max="8720" width="6.25" style="1405" customWidth="1"/>
    <col min="8721" max="8721" width="29.25" style="1405" customWidth="1"/>
    <col min="8722" max="8722" width="7.875" style="1405" customWidth="1"/>
    <col min="8723" max="8961" width="9" style="1405"/>
    <col min="8962" max="8962" width="29.5" style="1405" customWidth="1"/>
    <col min="8963" max="8964" width="0" style="1405" hidden="1" customWidth="1"/>
    <col min="8965" max="8966" width="11.875" style="1405" customWidth="1"/>
    <col min="8967" max="8967" width="10" style="1405" customWidth="1"/>
    <col min="8968" max="8968" width="0" style="1405" hidden="1" customWidth="1"/>
    <col min="8969" max="8969" width="17.75" style="1405" customWidth="1"/>
    <col min="8970" max="8970" width="0" style="1405" hidden="1" customWidth="1"/>
    <col min="8971" max="8971" width="9" style="1405" customWidth="1"/>
    <col min="8972" max="8972" width="0" style="1405" hidden="1" customWidth="1"/>
    <col min="8973" max="8973" width="10.625" style="1405" customWidth="1"/>
    <col min="8974" max="8974" width="14.375" style="1405" customWidth="1"/>
    <col min="8975" max="8975" width="7.125" style="1405" customWidth="1"/>
    <col min="8976" max="8976" width="6.25" style="1405" customWidth="1"/>
    <col min="8977" max="8977" width="29.25" style="1405" customWidth="1"/>
    <col min="8978" max="8978" width="7.875" style="1405" customWidth="1"/>
    <col min="8979" max="9217" width="9" style="1405"/>
    <col min="9218" max="9218" width="29.5" style="1405" customWidth="1"/>
    <col min="9219" max="9220" width="0" style="1405" hidden="1" customWidth="1"/>
    <col min="9221" max="9222" width="11.875" style="1405" customWidth="1"/>
    <col min="9223" max="9223" width="10" style="1405" customWidth="1"/>
    <col min="9224" max="9224" width="0" style="1405" hidden="1" customWidth="1"/>
    <col min="9225" max="9225" width="17.75" style="1405" customWidth="1"/>
    <col min="9226" max="9226" width="0" style="1405" hidden="1" customWidth="1"/>
    <col min="9227" max="9227" width="9" style="1405" customWidth="1"/>
    <col min="9228" max="9228" width="0" style="1405" hidden="1" customWidth="1"/>
    <col min="9229" max="9229" width="10.625" style="1405" customWidth="1"/>
    <col min="9230" max="9230" width="14.375" style="1405" customWidth="1"/>
    <col min="9231" max="9231" width="7.125" style="1405" customWidth="1"/>
    <col min="9232" max="9232" width="6.25" style="1405" customWidth="1"/>
    <col min="9233" max="9233" width="29.25" style="1405" customWidth="1"/>
    <col min="9234" max="9234" width="7.875" style="1405" customWidth="1"/>
    <col min="9235" max="9473" width="9" style="1405"/>
    <col min="9474" max="9474" width="29.5" style="1405" customWidth="1"/>
    <col min="9475" max="9476" width="0" style="1405" hidden="1" customWidth="1"/>
    <col min="9477" max="9478" width="11.875" style="1405" customWidth="1"/>
    <col min="9479" max="9479" width="10" style="1405" customWidth="1"/>
    <col min="9480" max="9480" width="0" style="1405" hidden="1" customWidth="1"/>
    <col min="9481" max="9481" width="17.75" style="1405" customWidth="1"/>
    <col min="9482" max="9482" width="0" style="1405" hidden="1" customWidth="1"/>
    <col min="9483" max="9483" width="9" style="1405" customWidth="1"/>
    <col min="9484" max="9484" width="0" style="1405" hidden="1" customWidth="1"/>
    <col min="9485" max="9485" width="10.625" style="1405" customWidth="1"/>
    <col min="9486" max="9486" width="14.375" style="1405" customWidth="1"/>
    <col min="9487" max="9487" width="7.125" style="1405" customWidth="1"/>
    <col min="9488" max="9488" width="6.25" style="1405" customWidth="1"/>
    <col min="9489" max="9489" width="29.25" style="1405" customWidth="1"/>
    <col min="9490" max="9490" width="7.875" style="1405" customWidth="1"/>
    <col min="9491" max="9729" width="9" style="1405"/>
    <col min="9730" max="9730" width="29.5" style="1405" customWidth="1"/>
    <col min="9731" max="9732" width="0" style="1405" hidden="1" customWidth="1"/>
    <col min="9733" max="9734" width="11.875" style="1405" customWidth="1"/>
    <col min="9735" max="9735" width="10" style="1405" customWidth="1"/>
    <col min="9736" max="9736" width="0" style="1405" hidden="1" customWidth="1"/>
    <col min="9737" max="9737" width="17.75" style="1405" customWidth="1"/>
    <col min="9738" max="9738" width="0" style="1405" hidden="1" customWidth="1"/>
    <col min="9739" max="9739" width="9" style="1405" customWidth="1"/>
    <col min="9740" max="9740" width="0" style="1405" hidden="1" customWidth="1"/>
    <col min="9741" max="9741" width="10.625" style="1405" customWidth="1"/>
    <col min="9742" max="9742" width="14.375" style="1405" customWidth="1"/>
    <col min="9743" max="9743" width="7.125" style="1405" customWidth="1"/>
    <col min="9744" max="9744" width="6.25" style="1405" customWidth="1"/>
    <col min="9745" max="9745" width="29.25" style="1405" customWidth="1"/>
    <col min="9746" max="9746" width="7.875" style="1405" customWidth="1"/>
    <col min="9747" max="9985" width="9" style="1405"/>
    <col min="9986" max="9986" width="29.5" style="1405" customWidth="1"/>
    <col min="9987" max="9988" width="0" style="1405" hidden="1" customWidth="1"/>
    <col min="9989" max="9990" width="11.875" style="1405" customWidth="1"/>
    <col min="9991" max="9991" width="10" style="1405" customWidth="1"/>
    <col min="9992" max="9992" width="0" style="1405" hidden="1" customWidth="1"/>
    <col min="9993" max="9993" width="17.75" style="1405" customWidth="1"/>
    <col min="9994" max="9994" width="0" style="1405" hidden="1" customWidth="1"/>
    <col min="9995" max="9995" width="9" style="1405" customWidth="1"/>
    <col min="9996" max="9996" width="0" style="1405" hidden="1" customWidth="1"/>
    <col min="9997" max="9997" width="10.625" style="1405" customWidth="1"/>
    <col min="9998" max="9998" width="14.375" style="1405" customWidth="1"/>
    <col min="9999" max="9999" width="7.125" style="1405" customWidth="1"/>
    <col min="10000" max="10000" width="6.25" style="1405" customWidth="1"/>
    <col min="10001" max="10001" width="29.25" style="1405" customWidth="1"/>
    <col min="10002" max="10002" width="7.875" style="1405" customWidth="1"/>
    <col min="10003" max="10241" width="9" style="1405"/>
    <col min="10242" max="10242" width="29.5" style="1405" customWidth="1"/>
    <col min="10243" max="10244" width="0" style="1405" hidden="1" customWidth="1"/>
    <col min="10245" max="10246" width="11.875" style="1405" customWidth="1"/>
    <col min="10247" max="10247" width="10" style="1405" customWidth="1"/>
    <col min="10248" max="10248" width="0" style="1405" hidden="1" customWidth="1"/>
    <col min="10249" max="10249" width="17.75" style="1405" customWidth="1"/>
    <col min="10250" max="10250" width="0" style="1405" hidden="1" customWidth="1"/>
    <col min="10251" max="10251" width="9" style="1405" customWidth="1"/>
    <col min="10252" max="10252" width="0" style="1405" hidden="1" customWidth="1"/>
    <col min="10253" max="10253" width="10.625" style="1405" customWidth="1"/>
    <col min="10254" max="10254" width="14.375" style="1405" customWidth="1"/>
    <col min="10255" max="10255" width="7.125" style="1405" customWidth="1"/>
    <col min="10256" max="10256" width="6.25" style="1405" customWidth="1"/>
    <col min="10257" max="10257" width="29.25" style="1405" customWidth="1"/>
    <col min="10258" max="10258" width="7.875" style="1405" customWidth="1"/>
    <col min="10259" max="10497" width="9" style="1405"/>
    <col min="10498" max="10498" width="29.5" style="1405" customWidth="1"/>
    <col min="10499" max="10500" width="0" style="1405" hidden="1" customWidth="1"/>
    <col min="10501" max="10502" width="11.875" style="1405" customWidth="1"/>
    <col min="10503" max="10503" width="10" style="1405" customWidth="1"/>
    <col min="10504" max="10504" width="0" style="1405" hidden="1" customWidth="1"/>
    <col min="10505" max="10505" width="17.75" style="1405" customWidth="1"/>
    <col min="10506" max="10506" width="0" style="1405" hidden="1" customWidth="1"/>
    <col min="10507" max="10507" width="9" style="1405" customWidth="1"/>
    <col min="10508" max="10508" width="0" style="1405" hidden="1" customWidth="1"/>
    <col min="10509" max="10509" width="10.625" style="1405" customWidth="1"/>
    <col min="10510" max="10510" width="14.375" style="1405" customWidth="1"/>
    <col min="10511" max="10511" width="7.125" style="1405" customWidth="1"/>
    <col min="10512" max="10512" width="6.25" style="1405" customWidth="1"/>
    <col min="10513" max="10513" width="29.25" style="1405" customWidth="1"/>
    <col min="10514" max="10514" width="7.875" style="1405" customWidth="1"/>
    <col min="10515" max="10753" width="9" style="1405"/>
    <col min="10754" max="10754" width="29.5" style="1405" customWidth="1"/>
    <col min="10755" max="10756" width="0" style="1405" hidden="1" customWidth="1"/>
    <col min="10757" max="10758" width="11.875" style="1405" customWidth="1"/>
    <col min="10759" max="10759" width="10" style="1405" customWidth="1"/>
    <col min="10760" max="10760" width="0" style="1405" hidden="1" customWidth="1"/>
    <col min="10761" max="10761" width="17.75" style="1405" customWidth="1"/>
    <col min="10762" max="10762" width="0" style="1405" hidden="1" customWidth="1"/>
    <col min="10763" max="10763" width="9" style="1405" customWidth="1"/>
    <col min="10764" max="10764" width="0" style="1405" hidden="1" customWidth="1"/>
    <col min="10765" max="10765" width="10.625" style="1405" customWidth="1"/>
    <col min="10766" max="10766" width="14.375" style="1405" customWidth="1"/>
    <col min="10767" max="10767" width="7.125" style="1405" customWidth="1"/>
    <col min="10768" max="10768" width="6.25" style="1405" customWidth="1"/>
    <col min="10769" max="10769" width="29.25" style="1405" customWidth="1"/>
    <col min="10770" max="10770" width="7.875" style="1405" customWidth="1"/>
    <col min="10771" max="11009" width="9" style="1405"/>
    <col min="11010" max="11010" width="29.5" style="1405" customWidth="1"/>
    <col min="11011" max="11012" width="0" style="1405" hidden="1" customWidth="1"/>
    <col min="11013" max="11014" width="11.875" style="1405" customWidth="1"/>
    <col min="11015" max="11015" width="10" style="1405" customWidth="1"/>
    <col min="11016" max="11016" width="0" style="1405" hidden="1" customWidth="1"/>
    <col min="11017" max="11017" width="17.75" style="1405" customWidth="1"/>
    <col min="11018" max="11018" width="0" style="1405" hidden="1" customWidth="1"/>
    <col min="11019" max="11019" width="9" style="1405" customWidth="1"/>
    <col min="11020" max="11020" width="0" style="1405" hidden="1" customWidth="1"/>
    <col min="11021" max="11021" width="10.625" style="1405" customWidth="1"/>
    <col min="11022" max="11022" width="14.375" style="1405" customWidth="1"/>
    <col min="11023" max="11023" width="7.125" style="1405" customWidth="1"/>
    <col min="11024" max="11024" width="6.25" style="1405" customWidth="1"/>
    <col min="11025" max="11025" width="29.25" style="1405" customWidth="1"/>
    <col min="11026" max="11026" width="7.875" style="1405" customWidth="1"/>
    <col min="11027" max="11265" width="9" style="1405"/>
    <col min="11266" max="11266" width="29.5" style="1405" customWidth="1"/>
    <col min="11267" max="11268" width="0" style="1405" hidden="1" customWidth="1"/>
    <col min="11269" max="11270" width="11.875" style="1405" customWidth="1"/>
    <col min="11271" max="11271" width="10" style="1405" customWidth="1"/>
    <col min="11272" max="11272" width="0" style="1405" hidden="1" customWidth="1"/>
    <col min="11273" max="11273" width="17.75" style="1405" customWidth="1"/>
    <col min="11274" max="11274" width="0" style="1405" hidden="1" customWidth="1"/>
    <col min="11275" max="11275" width="9" style="1405" customWidth="1"/>
    <col min="11276" max="11276" width="0" style="1405" hidden="1" customWidth="1"/>
    <col min="11277" max="11277" width="10.625" style="1405" customWidth="1"/>
    <col min="11278" max="11278" width="14.375" style="1405" customWidth="1"/>
    <col min="11279" max="11279" width="7.125" style="1405" customWidth="1"/>
    <col min="11280" max="11280" width="6.25" style="1405" customWidth="1"/>
    <col min="11281" max="11281" width="29.25" style="1405" customWidth="1"/>
    <col min="11282" max="11282" width="7.875" style="1405" customWidth="1"/>
    <col min="11283" max="11521" width="9" style="1405"/>
    <col min="11522" max="11522" width="29.5" style="1405" customWidth="1"/>
    <col min="11523" max="11524" width="0" style="1405" hidden="1" customWidth="1"/>
    <col min="11525" max="11526" width="11.875" style="1405" customWidth="1"/>
    <col min="11527" max="11527" width="10" style="1405" customWidth="1"/>
    <col min="11528" max="11528" width="0" style="1405" hidden="1" customWidth="1"/>
    <col min="11529" max="11529" width="17.75" style="1405" customWidth="1"/>
    <col min="11530" max="11530" width="0" style="1405" hidden="1" customWidth="1"/>
    <col min="11531" max="11531" width="9" style="1405" customWidth="1"/>
    <col min="11532" max="11532" width="0" style="1405" hidden="1" customWidth="1"/>
    <col min="11533" max="11533" width="10.625" style="1405" customWidth="1"/>
    <col min="11534" max="11534" width="14.375" style="1405" customWidth="1"/>
    <col min="11535" max="11535" width="7.125" style="1405" customWidth="1"/>
    <col min="11536" max="11536" width="6.25" style="1405" customWidth="1"/>
    <col min="11537" max="11537" width="29.25" style="1405" customWidth="1"/>
    <col min="11538" max="11538" width="7.875" style="1405" customWidth="1"/>
    <col min="11539" max="11777" width="9" style="1405"/>
    <col min="11778" max="11778" width="29.5" style="1405" customWidth="1"/>
    <col min="11779" max="11780" width="0" style="1405" hidden="1" customWidth="1"/>
    <col min="11781" max="11782" width="11.875" style="1405" customWidth="1"/>
    <col min="11783" max="11783" width="10" style="1405" customWidth="1"/>
    <col min="11784" max="11784" width="0" style="1405" hidden="1" customWidth="1"/>
    <col min="11785" max="11785" width="17.75" style="1405" customWidth="1"/>
    <col min="11786" max="11786" width="0" style="1405" hidden="1" customWidth="1"/>
    <col min="11787" max="11787" width="9" style="1405" customWidth="1"/>
    <col min="11788" max="11788" width="0" style="1405" hidden="1" customWidth="1"/>
    <col min="11789" max="11789" width="10.625" style="1405" customWidth="1"/>
    <col min="11790" max="11790" width="14.375" style="1405" customWidth="1"/>
    <col min="11791" max="11791" width="7.125" style="1405" customWidth="1"/>
    <col min="11792" max="11792" width="6.25" style="1405" customWidth="1"/>
    <col min="11793" max="11793" width="29.25" style="1405" customWidth="1"/>
    <col min="11794" max="11794" width="7.875" style="1405" customWidth="1"/>
    <col min="11795" max="12033" width="9" style="1405"/>
    <col min="12034" max="12034" width="29.5" style="1405" customWidth="1"/>
    <col min="12035" max="12036" width="0" style="1405" hidden="1" customWidth="1"/>
    <col min="12037" max="12038" width="11.875" style="1405" customWidth="1"/>
    <col min="12039" max="12039" width="10" style="1405" customWidth="1"/>
    <col min="12040" max="12040" width="0" style="1405" hidden="1" customWidth="1"/>
    <col min="12041" max="12041" width="17.75" style="1405" customWidth="1"/>
    <col min="12042" max="12042" width="0" style="1405" hidden="1" customWidth="1"/>
    <col min="12043" max="12043" width="9" style="1405" customWidth="1"/>
    <col min="12044" max="12044" width="0" style="1405" hidden="1" customWidth="1"/>
    <col min="12045" max="12045" width="10.625" style="1405" customWidth="1"/>
    <col min="12046" max="12046" width="14.375" style="1405" customWidth="1"/>
    <col min="12047" max="12047" width="7.125" style="1405" customWidth="1"/>
    <col min="12048" max="12048" width="6.25" style="1405" customWidth="1"/>
    <col min="12049" max="12049" width="29.25" style="1405" customWidth="1"/>
    <col min="12050" max="12050" width="7.875" style="1405" customWidth="1"/>
    <col min="12051" max="12289" width="9" style="1405"/>
    <col min="12290" max="12290" width="29.5" style="1405" customWidth="1"/>
    <col min="12291" max="12292" width="0" style="1405" hidden="1" customWidth="1"/>
    <col min="12293" max="12294" width="11.875" style="1405" customWidth="1"/>
    <col min="12295" max="12295" width="10" style="1405" customWidth="1"/>
    <col min="12296" max="12296" width="0" style="1405" hidden="1" customWidth="1"/>
    <col min="12297" max="12297" width="17.75" style="1405" customWidth="1"/>
    <col min="12298" max="12298" width="0" style="1405" hidden="1" customWidth="1"/>
    <col min="12299" max="12299" width="9" style="1405" customWidth="1"/>
    <col min="12300" max="12300" width="0" style="1405" hidden="1" customWidth="1"/>
    <col min="12301" max="12301" width="10.625" style="1405" customWidth="1"/>
    <col min="12302" max="12302" width="14.375" style="1405" customWidth="1"/>
    <col min="12303" max="12303" width="7.125" style="1405" customWidth="1"/>
    <col min="12304" max="12304" width="6.25" style="1405" customWidth="1"/>
    <col min="12305" max="12305" width="29.25" style="1405" customWidth="1"/>
    <col min="12306" max="12306" width="7.875" style="1405" customWidth="1"/>
    <col min="12307" max="12545" width="9" style="1405"/>
    <col min="12546" max="12546" width="29.5" style="1405" customWidth="1"/>
    <col min="12547" max="12548" width="0" style="1405" hidden="1" customWidth="1"/>
    <col min="12549" max="12550" width="11.875" style="1405" customWidth="1"/>
    <col min="12551" max="12551" width="10" style="1405" customWidth="1"/>
    <col min="12552" max="12552" width="0" style="1405" hidden="1" customWidth="1"/>
    <col min="12553" max="12553" width="17.75" style="1405" customWidth="1"/>
    <col min="12554" max="12554" width="0" style="1405" hidden="1" customWidth="1"/>
    <col min="12555" max="12555" width="9" style="1405" customWidth="1"/>
    <col min="12556" max="12556" width="0" style="1405" hidden="1" customWidth="1"/>
    <col min="12557" max="12557" width="10.625" style="1405" customWidth="1"/>
    <col min="12558" max="12558" width="14.375" style="1405" customWidth="1"/>
    <col min="12559" max="12559" width="7.125" style="1405" customWidth="1"/>
    <col min="12560" max="12560" width="6.25" style="1405" customWidth="1"/>
    <col min="12561" max="12561" width="29.25" style="1405" customWidth="1"/>
    <col min="12562" max="12562" width="7.875" style="1405" customWidth="1"/>
    <col min="12563" max="12801" width="9" style="1405"/>
    <col min="12802" max="12802" width="29.5" style="1405" customWidth="1"/>
    <col min="12803" max="12804" width="0" style="1405" hidden="1" customWidth="1"/>
    <col min="12805" max="12806" width="11.875" style="1405" customWidth="1"/>
    <col min="12807" max="12807" width="10" style="1405" customWidth="1"/>
    <col min="12808" max="12808" width="0" style="1405" hidden="1" customWidth="1"/>
    <col min="12809" max="12809" width="17.75" style="1405" customWidth="1"/>
    <col min="12810" max="12810" width="0" style="1405" hidden="1" customWidth="1"/>
    <col min="12811" max="12811" width="9" style="1405" customWidth="1"/>
    <col min="12812" max="12812" width="0" style="1405" hidden="1" customWidth="1"/>
    <col min="12813" max="12813" width="10.625" style="1405" customWidth="1"/>
    <col min="12814" max="12814" width="14.375" style="1405" customWidth="1"/>
    <col min="12815" max="12815" width="7.125" style="1405" customWidth="1"/>
    <col min="12816" max="12816" width="6.25" style="1405" customWidth="1"/>
    <col min="12817" max="12817" width="29.25" style="1405" customWidth="1"/>
    <col min="12818" max="12818" width="7.875" style="1405" customWidth="1"/>
    <col min="12819" max="13057" width="9" style="1405"/>
    <col min="13058" max="13058" width="29.5" style="1405" customWidth="1"/>
    <col min="13059" max="13060" width="0" style="1405" hidden="1" customWidth="1"/>
    <col min="13061" max="13062" width="11.875" style="1405" customWidth="1"/>
    <col min="13063" max="13063" width="10" style="1405" customWidth="1"/>
    <col min="13064" max="13064" width="0" style="1405" hidden="1" customWidth="1"/>
    <col min="13065" max="13065" width="17.75" style="1405" customWidth="1"/>
    <col min="13066" max="13066" width="0" style="1405" hidden="1" customWidth="1"/>
    <col min="13067" max="13067" width="9" style="1405" customWidth="1"/>
    <col min="13068" max="13068" width="0" style="1405" hidden="1" customWidth="1"/>
    <col min="13069" max="13069" width="10.625" style="1405" customWidth="1"/>
    <col min="13070" max="13070" width="14.375" style="1405" customWidth="1"/>
    <col min="13071" max="13071" width="7.125" style="1405" customWidth="1"/>
    <col min="13072" max="13072" width="6.25" style="1405" customWidth="1"/>
    <col min="13073" max="13073" width="29.25" style="1405" customWidth="1"/>
    <col min="13074" max="13074" width="7.875" style="1405" customWidth="1"/>
    <col min="13075" max="13313" width="9" style="1405"/>
    <col min="13314" max="13314" width="29.5" style="1405" customWidth="1"/>
    <col min="13315" max="13316" width="0" style="1405" hidden="1" customWidth="1"/>
    <col min="13317" max="13318" width="11.875" style="1405" customWidth="1"/>
    <col min="13319" max="13319" width="10" style="1405" customWidth="1"/>
    <col min="13320" max="13320" width="0" style="1405" hidden="1" customWidth="1"/>
    <col min="13321" max="13321" width="17.75" style="1405" customWidth="1"/>
    <col min="13322" max="13322" width="0" style="1405" hidden="1" customWidth="1"/>
    <col min="13323" max="13323" width="9" style="1405" customWidth="1"/>
    <col min="13324" max="13324" width="0" style="1405" hidden="1" customWidth="1"/>
    <col min="13325" max="13325" width="10.625" style="1405" customWidth="1"/>
    <col min="13326" max="13326" width="14.375" style="1405" customWidth="1"/>
    <col min="13327" max="13327" width="7.125" style="1405" customWidth="1"/>
    <col min="13328" max="13328" width="6.25" style="1405" customWidth="1"/>
    <col min="13329" max="13329" width="29.25" style="1405" customWidth="1"/>
    <col min="13330" max="13330" width="7.875" style="1405" customWidth="1"/>
    <col min="13331" max="13569" width="9" style="1405"/>
    <col min="13570" max="13570" width="29.5" style="1405" customWidth="1"/>
    <col min="13571" max="13572" width="0" style="1405" hidden="1" customWidth="1"/>
    <col min="13573" max="13574" width="11.875" style="1405" customWidth="1"/>
    <col min="13575" max="13575" width="10" style="1405" customWidth="1"/>
    <col min="13576" max="13576" width="0" style="1405" hidden="1" customWidth="1"/>
    <col min="13577" max="13577" width="17.75" style="1405" customWidth="1"/>
    <col min="13578" max="13578" width="0" style="1405" hidden="1" customWidth="1"/>
    <col min="13579" max="13579" width="9" style="1405" customWidth="1"/>
    <col min="13580" max="13580" width="0" style="1405" hidden="1" customWidth="1"/>
    <col min="13581" max="13581" width="10.625" style="1405" customWidth="1"/>
    <col min="13582" max="13582" width="14.375" style="1405" customWidth="1"/>
    <col min="13583" max="13583" width="7.125" style="1405" customWidth="1"/>
    <col min="13584" max="13584" width="6.25" style="1405" customWidth="1"/>
    <col min="13585" max="13585" width="29.25" style="1405" customWidth="1"/>
    <col min="13586" max="13586" width="7.875" style="1405" customWidth="1"/>
    <col min="13587" max="13825" width="9" style="1405"/>
    <col min="13826" max="13826" width="29.5" style="1405" customWidth="1"/>
    <col min="13827" max="13828" width="0" style="1405" hidden="1" customWidth="1"/>
    <col min="13829" max="13830" width="11.875" style="1405" customWidth="1"/>
    <col min="13831" max="13831" width="10" style="1405" customWidth="1"/>
    <col min="13832" max="13832" width="0" style="1405" hidden="1" customWidth="1"/>
    <col min="13833" max="13833" width="17.75" style="1405" customWidth="1"/>
    <col min="13834" max="13834" width="0" style="1405" hidden="1" customWidth="1"/>
    <col min="13835" max="13835" width="9" style="1405" customWidth="1"/>
    <col min="13836" max="13836" width="0" style="1405" hidden="1" customWidth="1"/>
    <col min="13837" max="13837" width="10.625" style="1405" customWidth="1"/>
    <col min="13838" max="13838" width="14.375" style="1405" customWidth="1"/>
    <col min="13839" max="13839" width="7.125" style="1405" customWidth="1"/>
    <col min="13840" max="13840" width="6.25" style="1405" customWidth="1"/>
    <col min="13841" max="13841" width="29.25" style="1405" customWidth="1"/>
    <col min="13842" max="13842" width="7.875" style="1405" customWidth="1"/>
    <col min="13843" max="14081" width="9" style="1405"/>
    <col min="14082" max="14082" width="29.5" style="1405" customWidth="1"/>
    <col min="14083" max="14084" width="0" style="1405" hidden="1" customWidth="1"/>
    <col min="14085" max="14086" width="11.875" style="1405" customWidth="1"/>
    <col min="14087" max="14087" width="10" style="1405" customWidth="1"/>
    <col min="14088" max="14088" width="0" style="1405" hidden="1" customWidth="1"/>
    <col min="14089" max="14089" width="17.75" style="1405" customWidth="1"/>
    <col min="14090" max="14090" width="0" style="1405" hidden="1" customWidth="1"/>
    <col min="14091" max="14091" width="9" style="1405" customWidth="1"/>
    <col min="14092" max="14092" width="0" style="1405" hidden="1" customWidth="1"/>
    <col min="14093" max="14093" width="10.625" style="1405" customWidth="1"/>
    <col min="14094" max="14094" width="14.375" style="1405" customWidth="1"/>
    <col min="14095" max="14095" width="7.125" style="1405" customWidth="1"/>
    <col min="14096" max="14096" width="6.25" style="1405" customWidth="1"/>
    <col min="14097" max="14097" width="29.25" style="1405" customWidth="1"/>
    <col min="14098" max="14098" width="7.875" style="1405" customWidth="1"/>
    <col min="14099" max="14337" width="9" style="1405"/>
    <col min="14338" max="14338" width="29.5" style="1405" customWidth="1"/>
    <col min="14339" max="14340" width="0" style="1405" hidden="1" customWidth="1"/>
    <col min="14341" max="14342" width="11.875" style="1405" customWidth="1"/>
    <col min="14343" max="14343" width="10" style="1405" customWidth="1"/>
    <col min="14344" max="14344" width="0" style="1405" hidden="1" customWidth="1"/>
    <col min="14345" max="14345" width="17.75" style="1405" customWidth="1"/>
    <col min="14346" max="14346" width="0" style="1405" hidden="1" customWidth="1"/>
    <col min="14347" max="14347" width="9" style="1405" customWidth="1"/>
    <col min="14348" max="14348" width="0" style="1405" hidden="1" customWidth="1"/>
    <col min="14349" max="14349" width="10.625" style="1405" customWidth="1"/>
    <col min="14350" max="14350" width="14.375" style="1405" customWidth="1"/>
    <col min="14351" max="14351" width="7.125" style="1405" customWidth="1"/>
    <col min="14352" max="14352" width="6.25" style="1405" customWidth="1"/>
    <col min="14353" max="14353" width="29.25" style="1405" customWidth="1"/>
    <col min="14354" max="14354" width="7.875" style="1405" customWidth="1"/>
    <col min="14355" max="14593" width="9" style="1405"/>
    <col min="14594" max="14594" width="29.5" style="1405" customWidth="1"/>
    <col min="14595" max="14596" width="0" style="1405" hidden="1" customWidth="1"/>
    <col min="14597" max="14598" width="11.875" style="1405" customWidth="1"/>
    <col min="14599" max="14599" width="10" style="1405" customWidth="1"/>
    <col min="14600" max="14600" width="0" style="1405" hidden="1" customWidth="1"/>
    <col min="14601" max="14601" width="17.75" style="1405" customWidth="1"/>
    <col min="14602" max="14602" width="0" style="1405" hidden="1" customWidth="1"/>
    <col min="14603" max="14603" width="9" style="1405" customWidth="1"/>
    <col min="14604" max="14604" width="0" style="1405" hidden="1" customWidth="1"/>
    <col min="14605" max="14605" width="10.625" style="1405" customWidth="1"/>
    <col min="14606" max="14606" width="14.375" style="1405" customWidth="1"/>
    <col min="14607" max="14607" width="7.125" style="1405" customWidth="1"/>
    <col min="14608" max="14608" width="6.25" style="1405" customWidth="1"/>
    <col min="14609" max="14609" width="29.25" style="1405" customWidth="1"/>
    <col min="14610" max="14610" width="7.875" style="1405" customWidth="1"/>
    <col min="14611" max="14849" width="9" style="1405"/>
    <col min="14850" max="14850" width="29.5" style="1405" customWidth="1"/>
    <col min="14851" max="14852" width="0" style="1405" hidden="1" customWidth="1"/>
    <col min="14853" max="14854" width="11.875" style="1405" customWidth="1"/>
    <col min="14855" max="14855" width="10" style="1405" customWidth="1"/>
    <col min="14856" max="14856" width="0" style="1405" hidden="1" customWidth="1"/>
    <col min="14857" max="14857" width="17.75" style="1405" customWidth="1"/>
    <col min="14858" max="14858" width="0" style="1405" hidden="1" customWidth="1"/>
    <col min="14859" max="14859" width="9" style="1405" customWidth="1"/>
    <col min="14860" max="14860" width="0" style="1405" hidden="1" customWidth="1"/>
    <col min="14861" max="14861" width="10.625" style="1405" customWidth="1"/>
    <col min="14862" max="14862" width="14.375" style="1405" customWidth="1"/>
    <col min="14863" max="14863" width="7.125" style="1405" customWidth="1"/>
    <col min="14864" max="14864" width="6.25" style="1405" customWidth="1"/>
    <col min="14865" max="14865" width="29.25" style="1405" customWidth="1"/>
    <col min="14866" max="14866" width="7.875" style="1405" customWidth="1"/>
    <col min="14867" max="15105" width="9" style="1405"/>
    <col min="15106" max="15106" width="29.5" style="1405" customWidth="1"/>
    <col min="15107" max="15108" width="0" style="1405" hidden="1" customWidth="1"/>
    <col min="15109" max="15110" width="11.875" style="1405" customWidth="1"/>
    <col min="15111" max="15111" width="10" style="1405" customWidth="1"/>
    <col min="15112" max="15112" width="0" style="1405" hidden="1" customWidth="1"/>
    <col min="15113" max="15113" width="17.75" style="1405" customWidth="1"/>
    <col min="15114" max="15114" width="0" style="1405" hidden="1" customWidth="1"/>
    <col min="15115" max="15115" width="9" style="1405" customWidth="1"/>
    <col min="15116" max="15116" width="0" style="1405" hidden="1" customWidth="1"/>
    <col min="15117" max="15117" width="10.625" style="1405" customWidth="1"/>
    <col min="15118" max="15118" width="14.375" style="1405" customWidth="1"/>
    <col min="15119" max="15119" width="7.125" style="1405" customWidth="1"/>
    <col min="15120" max="15120" width="6.25" style="1405" customWidth="1"/>
    <col min="15121" max="15121" width="29.25" style="1405" customWidth="1"/>
    <col min="15122" max="15122" width="7.875" style="1405" customWidth="1"/>
    <col min="15123" max="15361" width="9" style="1405"/>
    <col min="15362" max="15362" width="29.5" style="1405" customWidth="1"/>
    <col min="15363" max="15364" width="0" style="1405" hidden="1" customWidth="1"/>
    <col min="15365" max="15366" width="11.875" style="1405" customWidth="1"/>
    <col min="15367" max="15367" width="10" style="1405" customWidth="1"/>
    <col min="15368" max="15368" width="0" style="1405" hidden="1" customWidth="1"/>
    <col min="15369" max="15369" width="17.75" style="1405" customWidth="1"/>
    <col min="15370" max="15370" width="0" style="1405" hidden="1" customWidth="1"/>
    <col min="15371" max="15371" width="9" style="1405" customWidth="1"/>
    <col min="15372" max="15372" width="0" style="1405" hidden="1" customWidth="1"/>
    <col min="15373" max="15373" width="10.625" style="1405" customWidth="1"/>
    <col min="15374" max="15374" width="14.375" style="1405" customWidth="1"/>
    <col min="15375" max="15375" width="7.125" style="1405" customWidth="1"/>
    <col min="15376" max="15376" width="6.25" style="1405" customWidth="1"/>
    <col min="15377" max="15377" width="29.25" style="1405" customWidth="1"/>
    <col min="15378" max="15378" width="7.875" style="1405" customWidth="1"/>
    <col min="15379" max="15617" width="9" style="1405"/>
    <col min="15618" max="15618" width="29.5" style="1405" customWidth="1"/>
    <col min="15619" max="15620" width="0" style="1405" hidden="1" customWidth="1"/>
    <col min="15621" max="15622" width="11.875" style="1405" customWidth="1"/>
    <col min="15623" max="15623" width="10" style="1405" customWidth="1"/>
    <col min="15624" max="15624" width="0" style="1405" hidden="1" customWidth="1"/>
    <col min="15625" max="15625" width="17.75" style="1405" customWidth="1"/>
    <col min="15626" max="15626" width="0" style="1405" hidden="1" customWidth="1"/>
    <col min="15627" max="15627" width="9" style="1405" customWidth="1"/>
    <col min="15628" max="15628" width="0" style="1405" hidden="1" customWidth="1"/>
    <col min="15629" max="15629" width="10.625" style="1405" customWidth="1"/>
    <col min="15630" max="15630" width="14.375" style="1405" customWidth="1"/>
    <col min="15631" max="15631" width="7.125" style="1405" customWidth="1"/>
    <col min="15632" max="15632" width="6.25" style="1405" customWidth="1"/>
    <col min="15633" max="15633" width="29.25" style="1405" customWidth="1"/>
    <col min="15634" max="15634" width="7.875" style="1405" customWidth="1"/>
    <col min="15635" max="15873" width="9" style="1405"/>
    <col min="15874" max="15874" width="29.5" style="1405" customWidth="1"/>
    <col min="15875" max="15876" width="0" style="1405" hidden="1" customWidth="1"/>
    <col min="15877" max="15878" width="11.875" style="1405" customWidth="1"/>
    <col min="15879" max="15879" width="10" style="1405" customWidth="1"/>
    <col min="15880" max="15880" width="0" style="1405" hidden="1" customWidth="1"/>
    <col min="15881" max="15881" width="17.75" style="1405" customWidth="1"/>
    <col min="15882" max="15882" width="0" style="1405" hidden="1" customWidth="1"/>
    <col min="15883" max="15883" width="9" style="1405" customWidth="1"/>
    <col min="15884" max="15884" width="0" style="1405" hidden="1" customWidth="1"/>
    <col min="15885" max="15885" width="10.625" style="1405" customWidth="1"/>
    <col min="15886" max="15886" width="14.375" style="1405" customWidth="1"/>
    <col min="15887" max="15887" width="7.125" style="1405" customWidth="1"/>
    <col min="15888" max="15888" width="6.25" style="1405" customWidth="1"/>
    <col min="15889" max="15889" width="29.25" style="1405" customWidth="1"/>
    <col min="15890" max="15890" width="7.875" style="1405" customWidth="1"/>
    <col min="15891" max="16129" width="9" style="1405"/>
    <col min="16130" max="16130" width="29.5" style="1405" customWidth="1"/>
    <col min="16131" max="16132" width="0" style="1405" hidden="1" customWidth="1"/>
    <col min="16133" max="16134" width="11.875" style="1405" customWidth="1"/>
    <col min="16135" max="16135" width="10" style="1405" customWidth="1"/>
    <col min="16136" max="16136" width="0" style="1405" hidden="1" customWidth="1"/>
    <col min="16137" max="16137" width="17.75" style="1405" customWidth="1"/>
    <col min="16138" max="16138" width="0" style="1405" hidden="1" customWidth="1"/>
    <col min="16139" max="16139" width="9" style="1405" customWidth="1"/>
    <col min="16140" max="16140" width="0" style="1405" hidden="1" customWidth="1"/>
    <col min="16141" max="16141" width="10.625" style="1405" customWidth="1"/>
    <col min="16142" max="16142" width="14.375" style="1405" customWidth="1"/>
    <col min="16143" max="16143" width="7.125" style="1405" customWidth="1"/>
    <col min="16144" max="16144" width="6.25" style="1405" customWidth="1"/>
    <col min="16145" max="16145" width="29.25" style="1405" customWidth="1"/>
    <col min="16146" max="16146" width="7.875" style="1405" customWidth="1"/>
    <col min="16147" max="16384" width="9" style="1405"/>
  </cols>
  <sheetData>
    <row r="1" spans="1:20" s="3084" customFormat="1" ht="40.5">
      <c r="A1" s="3084" t="s">
        <v>3156</v>
      </c>
      <c r="B1" s="3084" t="s">
        <v>3157</v>
      </c>
      <c r="C1" s="3084" t="s">
        <v>3158</v>
      </c>
      <c r="D1" s="3084" t="s">
        <v>3159</v>
      </c>
      <c r="E1" s="3084" t="s">
        <v>3160</v>
      </c>
      <c r="F1" s="3084" t="s">
        <v>3161</v>
      </c>
      <c r="G1" s="3084" t="s">
        <v>3162</v>
      </c>
      <c r="H1" s="3084" t="s">
        <v>3163</v>
      </c>
      <c r="I1" s="3084" t="s">
        <v>3164</v>
      </c>
      <c r="J1" s="3084" t="s">
        <v>3165</v>
      </c>
      <c r="K1" s="3084" t="s">
        <v>3166</v>
      </c>
      <c r="L1" s="3084" t="s">
        <v>3167</v>
      </c>
      <c r="M1" s="3093" t="s">
        <v>3241</v>
      </c>
      <c r="N1" s="3084" t="s">
        <v>3168</v>
      </c>
      <c r="O1" s="3085" t="s">
        <v>3169</v>
      </c>
      <c r="P1" s="3084" t="s">
        <v>3170</v>
      </c>
      <c r="Q1" s="3084" t="s">
        <v>3171</v>
      </c>
      <c r="R1" s="3084" t="s">
        <v>3172</v>
      </c>
      <c r="S1" s="3093" t="s">
        <v>3323</v>
      </c>
    </row>
    <row r="2" spans="1:20">
      <c r="A2" s="1405" t="s">
        <v>3173</v>
      </c>
      <c r="B2" s="1405" t="s">
        <v>3174</v>
      </c>
      <c r="C2" s="1405" t="s">
        <v>3175</v>
      </c>
      <c r="D2" s="1405">
        <v>94857.5</v>
      </c>
      <c r="E2" s="1405">
        <v>132800.5</v>
      </c>
      <c r="F2" s="3084" t="s">
        <v>3176</v>
      </c>
      <c r="G2" s="1405" t="s">
        <v>3177</v>
      </c>
      <c r="H2" s="1405" t="s">
        <v>3178</v>
      </c>
      <c r="I2" s="1405" t="s">
        <v>3179</v>
      </c>
      <c r="J2" s="1405" t="s">
        <v>3179</v>
      </c>
      <c r="K2" s="1405">
        <v>100000</v>
      </c>
      <c r="L2" s="1405">
        <v>100000</v>
      </c>
      <c r="M2" s="1405">
        <f>ROUND(L2/D2*10000,0)</f>
        <v>10542</v>
      </c>
      <c r="N2" s="3099">
        <v>7530.09</v>
      </c>
      <c r="O2" s="3086">
        <f>L2/D2*666.67</f>
        <v>702.81211290620138</v>
      </c>
      <c r="P2" s="1405">
        <v>0</v>
      </c>
      <c r="Q2" s="1405" t="s">
        <v>3180</v>
      </c>
      <c r="R2" s="1405" t="s">
        <v>3181</v>
      </c>
    </row>
    <row r="3" spans="1:20" s="3095" customFormat="1">
      <c r="A3" s="3095" t="s">
        <v>3182</v>
      </c>
      <c r="B3" s="3095" t="s">
        <v>3174</v>
      </c>
      <c r="C3" s="3095" t="s">
        <v>3175</v>
      </c>
      <c r="D3" s="3095">
        <v>131697</v>
      </c>
      <c r="E3" s="3095">
        <v>184375.8</v>
      </c>
      <c r="F3" s="3096" t="s">
        <v>3176</v>
      </c>
      <c r="G3" s="3095" t="s">
        <v>3177</v>
      </c>
      <c r="H3" s="3095" t="s">
        <v>3178</v>
      </c>
      <c r="I3" s="3095" t="s">
        <v>3183</v>
      </c>
      <c r="J3" s="3095" t="s">
        <v>3183</v>
      </c>
      <c r="K3" s="3095">
        <v>147000</v>
      </c>
      <c r="L3" s="3095">
        <v>160000</v>
      </c>
      <c r="M3" s="3095">
        <f t="shared" ref="M3:M20" si="0">ROUND(L3/D3*10000,0)</f>
        <v>12149</v>
      </c>
      <c r="N3" s="3100">
        <v>8677.93</v>
      </c>
      <c r="O3" s="3097">
        <f t="shared" ref="O3:O20" si="1">L3/D3*666.67</f>
        <v>809.94403820891887</v>
      </c>
      <c r="P3" s="3095">
        <v>8.84</v>
      </c>
      <c r="Q3" s="3095" t="s">
        <v>3184</v>
      </c>
      <c r="R3" s="3095" t="s">
        <v>3181</v>
      </c>
    </row>
    <row r="4" spans="1:20" s="3095" customFormat="1">
      <c r="A4" s="3095" t="s">
        <v>3185</v>
      </c>
      <c r="B4" s="3095" t="s">
        <v>3174</v>
      </c>
      <c r="C4" s="3095" t="s">
        <v>3175</v>
      </c>
      <c r="D4" s="3095">
        <v>50223</v>
      </c>
      <c r="E4" s="3095">
        <v>70312.2</v>
      </c>
      <c r="F4" s="3096" t="s">
        <v>3176</v>
      </c>
      <c r="G4" s="3095" t="s">
        <v>3177</v>
      </c>
      <c r="H4" s="3095" t="s">
        <v>3178</v>
      </c>
      <c r="I4" s="3095" t="s">
        <v>3186</v>
      </c>
      <c r="J4" s="3095" t="s">
        <v>3186</v>
      </c>
      <c r="K4" s="3095">
        <v>56000</v>
      </c>
      <c r="L4" s="3095">
        <v>64000</v>
      </c>
      <c r="M4" s="3095">
        <f t="shared" si="0"/>
        <v>12743</v>
      </c>
      <c r="N4" s="3100">
        <v>9102.26</v>
      </c>
      <c r="O4" s="3097">
        <f t="shared" si="1"/>
        <v>849.54861318519397</v>
      </c>
      <c r="P4" s="3095">
        <v>14.29</v>
      </c>
      <c r="Q4" s="3095" t="s">
        <v>3187</v>
      </c>
      <c r="R4" s="3095" t="s">
        <v>3181</v>
      </c>
    </row>
    <row r="5" spans="1:20" s="3095" customFormat="1">
      <c r="A5" s="3095" t="s">
        <v>3188</v>
      </c>
      <c r="B5" s="3095" t="s">
        <v>3174</v>
      </c>
      <c r="C5" s="3095" t="s">
        <v>3175</v>
      </c>
      <c r="D5" s="3095">
        <v>115995.9</v>
      </c>
      <c r="E5" s="3095">
        <v>156594</v>
      </c>
      <c r="F5" s="3096" t="s">
        <v>3189</v>
      </c>
      <c r="G5" s="3095" t="s">
        <v>3177</v>
      </c>
      <c r="H5" s="3095" t="s">
        <v>3190</v>
      </c>
      <c r="I5" s="3095" t="s">
        <v>3191</v>
      </c>
      <c r="J5" s="3095" t="s">
        <v>3191</v>
      </c>
      <c r="K5" s="3095">
        <v>150000</v>
      </c>
      <c r="L5" s="3095">
        <v>190000</v>
      </c>
      <c r="M5" s="3095">
        <f t="shared" si="0"/>
        <v>16380</v>
      </c>
      <c r="N5" s="3100">
        <v>12133.29</v>
      </c>
      <c r="O5" s="3097">
        <f t="shared" si="1"/>
        <v>1091.998079242456</v>
      </c>
      <c r="P5" s="3095">
        <v>26.67</v>
      </c>
      <c r="Q5" s="3095" t="s">
        <v>3192</v>
      </c>
      <c r="R5" s="3095" t="s">
        <v>3181</v>
      </c>
    </row>
    <row r="6" spans="1:20" s="3148" customFormat="1" ht="108">
      <c r="A6" s="3148" t="s">
        <v>3193</v>
      </c>
      <c r="B6" s="3148" t="s">
        <v>3174</v>
      </c>
      <c r="C6" s="3148" t="s">
        <v>3175</v>
      </c>
      <c r="D6" s="3148">
        <v>230355.1</v>
      </c>
      <c r="E6" s="3148">
        <v>327275</v>
      </c>
      <c r="F6" s="3149" t="s">
        <v>3194</v>
      </c>
      <c r="G6" s="3148" t="s">
        <v>3177</v>
      </c>
      <c r="H6" s="3148" t="s">
        <v>3195</v>
      </c>
      <c r="I6" s="3148" t="s">
        <v>3196</v>
      </c>
      <c r="J6" s="3148" t="s">
        <v>3196</v>
      </c>
      <c r="K6" s="3148">
        <v>254500</v>
      </c>
      <c r="L6" s="3148">
        <v>289000</v>
      </c>
      <c r="M6" s="3148">
        <f t="shared" si="0"/>
        <v>12546</v>
      </c>
      <c r="N6" s="3150">
        <v>8830.48</v>
      </c>
      <c r="O6" s="3151">
        <f t="shared" si="1"/>
        <v>836.39402817649795</v>
      </c>
      <c r="P6" s="3148">
        <v>13.56</v>
      </c>
      <c r="Q6" s="3148" t="s">
        <v>3197</v>
      </c>
      <c r="R6" s="3148" t="s">
        <v>3198</v>
      </c>
      <c r="S6" s="3148">
        <v>240000</v>
      </c>
      <c r="T6" s="3148">
        <f>S6/E6</f>
        <v>0.7333282407761057</v>
      </c>
    </row>
    <row r="7" spans="1:20" s="3087" customFormat="1">
      <c r="A7" s="3087" t="s">
        <v>3065</v>
      </c>
      <c r="B7" s="3087" t="s">
        <v>3174</v>
      </c>
      <c r="C7" s="3087" t="s">
        <v>3175</v>
      </c>
      <c r="D7" s="3087">
        <v>92861</v>
      </c>
      <c r="E7" s="3087">
        <v>125362</v>
      </c>
      <c r="F7" s="3088" t="s">
        <v>3189</v>
      </c>
      <c r="G7" s="3087" t="s">
        <v>3177</v>
      </c>
      <c r="H7" s="3087" t="s">
        <v>3190</v>
      </c>
      <c r="I7" s="3087" t="s">
        <v>3199</v>
      </c>
      <c r="J7" s="3087" t="s">
        <v>3199</v>
      </c>
      <c r="K7" s="3087">
        <v>116000</v>
      </c>
      <c r="L7" s="3087">
        <v>120000</v>
      </c>
      <c r="M7" s="3087">
        <f t="shared" si="0"/>
        <v>12923</v>
      </c>
      <c r="N7" s="3103">
        <v>9572.2800000000007</v>
      </c>
      <c r="O7" s="3089">
        <f t="shared" si="1"/>
        <v>861.50698355606767</v>
      </c>
      <c r="P7" s="3087">
        <v>3.45</v>
      </c>
      <c r="Q7" s="3087" t="s">
        <v>3200</v>
      </c>
      <c r="R7" s="3087" t="s">
        <v>3181</v>
      </c>
      <c r="S7" s="3087">
        <v>100000</v>
      </c>
      <c r="T7" s="3152">
        <f t="shared" ref="T7:T9" si="2">S7/E7</f>
        <v>0.79768989007833313</v>
      </c>
    </row>
    <row r="8" spans="1:20" s="3090" customFormat="1">
      <c r="A8" s="3090" t="s">
        <v>3201</v>
      </c>
      <c r="B8" s="3090" t="s">
        <v>3174</v>
      </c>
      <c r="C8" s="3090" t="s">
        <v>3175</v>
      </c>
      <c r="D8" s="3090">
        <v>71941.600000000006</v>
      </c>
      <c r="E8" s="3090">
        <v>100718.2</v>
      </c>
      <c r="F8" s="3098">
        <f>E8/D8</f>
        <v>1.3999994439934611</v>
      </c>
      <c r="G8" s="3090" t="s">
        <v>3177</v>
      </c>
      <c r="H8" s="3090" t="s">
        <v>3178</v>
      </c>
      <c r="I8" s="3090" t="s">
        <v>3202</v>
      </c>
      <c r="J8" s="3090" t="s">
        <v>3202</v>
      </c>
      <c r="K8" s="3090">
        <v>100000</v>
      </c>
      <c r="L8" s="3090">
        <v>100000</v>
      </c>
      <c r="M8" s="3090">
        <f t="shared" si="0"/>
        <v>13900</v>
      </c>
      <c r="N8" s="3101">
        <v>9928.69</v>
      </c>
      <c r="O8" s="3092">
        <f t="shared" si="1"/>
        <v>926.68219778264574</v>
      </c>
      <c r="P8" s="3090">
        <v>0</v>
      </c>
      <c r="Q8" s="3090" t="s">
        <v>3203</v>
      </c>
      <c r="R8" s="3090" t="s">
        <v>3181</v>
      </c>
      <c r="S8" s="3090">
        <v>90000</v>
      </c>
      <c r="T8" s="3148">
        <f t="shared" si="2"/>
        <v>0.89358229197900685</v>
      </c>
    </row>
    <row r="9" spans="1:20" s="3090" customFormat="1">
      <c r="A9" s="3104" t="s">
        <v>3243</v>
      </c>
      <c r="B9" s="3090" t="s">
        <v>3174</v>
      </c>
      <c r="C9" s="3090" t="s">
        <v>3175</v>
      </c>
      <c r="D9" s="3090">
        <v>45708.5</v>
      </c>
      <c r="E9" s="3090">
        <v>77704.45</v>
      </c>
      <c r="F9" s="3091">
        <f>E9/D9</f>
        <v>1.7</v>
      </c>
      <c r="G9" s="3090" t="s">
        <v>3177</v>
      </c>
      <c r="H9" s="3090" t="s">
        <v>3178</v>
      </c>
      <c r="I9" s="3090" t="s">
        <v>3202</v>
      </c>
      <c r="J9" s="3090" t="s">
        <v>3202</v>
      </c>
      <c r="K9" s="3090">
        <v>78000</v>
      </c>
      <c r="L9" s="3090">
        <v>78000</v>
      </c>
      <c r="M9" s="3090">
        <f t="shared" si="0"/>
        <v>17065</v>
      </c>
      <c r="N9" s="3101">
        <v>10038.040000000001</v>
      </c>
      <c r="O9" s="3092">
        <f t="shared" si="1"/>
        <v>1137.6496712865221</v>
      </c>
      <c r="P9" s="3090">
        <v>0</v>
      </c>
      <c r="Q9" s="3090" t="s">
        <v>3204</v>
      </c>
      <c r="R9" s="3090" t="s">
        <v>3198</v>
      </c>
      <c r="S9" s="3090">
        <v>70000</v>
      </c>
      <c r="T9" s="3148">
        <f t="shared" si="2"/>
        <v>0.90084930785817285</v>
      </c>
    </row>
    <row r="10" spans="1:20">
      <c r="A10" s="1405" t="s">
        <v>3205</v>
      </c>
      <c r="B10" s="1405" t="s">
        <v>3174</v>
      </c>
      <c r="C10" s="1405" t="s">
        <v>3175</v>
      </c>
      <c r="D10" s="1405">
        <v>60460.800000000003</v>
      </c>
      <c r="E10" s="1405">
        <v>90691.199999999997</v>
      </c>
      <c r="F10" s="3084" t="s">
        <v>3206</v>
      </c>
      <c r="G10" s="1405" t="s">
        <v>3177</v>
      </c>
      <c r="H10" s="1405" t="s">
        <v>3178</v>
      </c>
      <c r="I10" s="1405" t="s">
        <v>3207</v>
      </c>
      <c r="J10" s="1405" t="s">
        <v>3207</v>
      </c>
      <c r="K10" s="1405">
        <v>76000</v>
      </c>
      <c r="L10" s="1405">
        <v>114000</v>
      </c>
      <c r="M10" s="1405">
        <f t="shared" si="0"/>
        <v>18855</v>
      </c>
      <c r="N10" s="3099">
        <v>12570.12</v>
      </c>
      <c r="O10" s="3086">
        <f t="shared" si="1"/>
        <v>1257.0190933629722</v>
      </c>
      <c r="P10" s="1405">
        <v>50</v>
      </c>
      <c r="Q10" s="1405" t="s">
        <v>3208</v>
      </c>
      <c r="R10" s="1405" t="s">
        <v>3181</v>
      </c>
    </row>
    <row r="11" spans="1:20">
      <c r="A11" s="1405" t="s">
        <v>3209</v>
      </c>
      <c r="B11" s="1405" t="s">
        <v>3174</v>
      </c>
      <c r="C11" s="1405" t="s">
        <v>3175</v>
      </c>
      <c r="D11" s="1405">
        <v>85689</v>
      </c>
      <c r="E11" s="1405">
        <v>128533.5</v>
      </c>
      <c r="F11" s="3084" t="s">
        <v>3206</v>
      </c>
      <c r="G11" s="1405" t="s">
        <v>3177</v>
      </c>
      <c r="H11" s="1405" t="s">
        <v>3178</v>
      </c>
      <c r="I11" s="1405" t="s">
        <v>3207</v>
      </c>
      <c r="J11" s="1405" t="s">
        <v>3207</v>
      </c>
      <c r="K11" s="1405">
        <v>107000</v>
      </c>
      <c r="L11" s="1405">
        <v>160500</v>
      </c>
      <c r="M11" s="1405">
        <f t="shared" si="0"/>
        <v>18731</v>
      </c>
      <c r="N11" s="3099">
        <v>12487.02</v>
      </c>
      <c r="O11" s="3086">
        <f t="shared" si="1"/>
        <v>1248.7079438434337</v>
      </c>
      <c r="P11" s="1405">
        <v>50</v>
      </c>
      <c r="Q11" s="1405" t="s">
        <v>3210</v>
      </c>
      <c r="R11" s="1405" t="s">
        <v>3181</v>
      </c>
    </row>
    <row r="12" spans="1:20">
      <c r="A12" s="1405" t="s">
        <v>3211</v>
      </c>
      <c r="B12" s="1405" t="s">
        <v>3174</v>
      </c>
      <c r="C12" s="1405" t="s">
        <v>3175</v>
      </c>
      <c r="D12" s="1405">
        <v>127321.60000000001</v>
      </c>
      <c r="E12" s="1405">
        <v>171882</v>
      </c>
      <c r="F12" s="3084" t="s">
        <v>3212</v>
      </c>
      <c r="G12" s="1405" t="s">
        <v>3177</v>
      </c>
      <c r="H12" s="1405" t="s">
        <v>3178</v>
      </c>
      <c r="I12" s="1405" t="s">
        <v>3213</v>
      </c>
      <c r="J12" s="1405" t="s">
        <v>3213</v>
      </c>
      <c r="K12" s="1405">
        <v>76400</v>
      </c>
      <c r="L12" s="1405">
        <v>76500</v>
      </c>
      <c r="M12" s="1405">
        <f t="shared" si="0"/>
        <v>6008</v>
      </c>
      <c r="N12" s="3102">
        <v>4450.72</v>
      </c>
      <c r="O12" s="3086">
        <f t="shared" si="1"/>
        <v>400.56247329596863</v>
      </c>
      <c r="P12" s="1405">
        <v>0.13</v>
      </c>
      <c r="Q12" s="1405" t="s">
        <v>3214</v>
      </c>
      <c r="R12" s="1405" t="s">
        <v>3181</v>
      </c>
    </row>
    <row r="13" spans="1:20">
      <c r="A13" s="1405" t="s">
        <v>3215</v>
      </c>
      <c r="B13" s="1405" t="s">
        <v>3174</v>
      </c>
      <c r="C13" s="1405" t="s">
        <v>3175</v>
      </c>
      <c r="D13" s="1405">
        <v>150243</v>
      </c>
      <c r="E13" s="1405">
        <v>202826</v>
      </c>
      <c r="F13" s="3084" t="s">
        <v>3212</v>
      </c>
      <c r="G13" s="1405" t="s">
        <v>3177</v>
      </c>
      <c r="H13" s="1405" t="s">
        <v>3178</v>
      </c>
      <c r="I13" s="1405" t="s">
        <v>3213</v>
      </c>
      <c r="J13" s="1405" t="s">
        <v>3213</v>
      </c>
      <c r="K13" s="1405">
        <v>90100</v>
      </c>
      <c r="L13" s="1405">
        <v>90200</v>
      </c>
      <c r="M13" s="1405">
        <f t="shared" si="0"/>
        <v>6004</v>
      </c>
      <c r="N13" s="3099">
        <v>4447.1499999999996</v>
      </c>
      <c r="O13" s="3086">
        <f t="shared" si="1"/>
        <v>400.24250048255158</v>
      </c>
      <c r="P13" s="1405">
        <v>0.11</v>
      </c>
      <c r="Q13" s="1405" t="s">
        <v>3216</v>
      </c>
      <c r="R13" s="1405" t="s">
        <v>3181</v>
      </c>
    </row>
    <row r="14" spans="1:20">
      <c r="A14" s="1405" t="s">
        <v>3217</v>
      </c>
      <c r="B14" s="1405" t="s">
        <v>3174</v>
      </c>
      <c r="C14" s="1405" t="s">
        <v>3175</v>
      </c>
      <c r="D14" s="1405">
        <v>105165.2</v>
      </c>
      <c r="E14" s="1405">
        <v>147230</v>
      </c>
      <c r="F14" s="3084" t="s">
        <v>3218</v>
      </c>
      <c r="G14" s="1405" t="s">
        <v>3177</v>
      </c>
      <c r="H14" s="1405" t="s">
        <v>3178</v>
      </c>
      <c r="I14" s="1405" t="s">
        <v>3219</v>
      </c>
      <c r="J14" s="1405" t="s">
        <v>3219</v>
      </c>
      <c r="K14" s="1405">
        <v>74100</v>
      </c>
      <c r="L14" s="1405">
        <v>107000</v>
      </c>
      <c r="M14" s="1405">
        <f t="shared" si="0"/>
        <v>10174</v>
      </c>
      <c r="N14" s="3099">
        <v>7267.53</v>
      </c>
      <c r="O14" s="3086">
        <f t="shared" si="1"/>
        <v>678.30128217319032</v>
      </c>
      <c r="P14" s="1405">
        <v>44.4</v>
      </c>
      <c r="Q14" s="1405" t="s">
        <v>3220</v>
      </c>
      <c r="R14" s="1405" t="s">
        <v>3181</v>
      </c>
    </row>
    <row r="15" spans="1:20">
      <c r="A15" s="1405" t="s">
        <v>3221</v>
      </c>
      <c r="B15" s="1405" t="s">
        <v>3174</v>
      </c>
      <c r="C15" s="1405" t="s">
        <v>3175</v>
      </c>
      <c r="D15" s="1405">
        <v>116081.3</v>
      </c>
      <c r="E15" s="1405">
        <v>162512</v>
      </c>
      <c r="F15" s="3084" t="s">
        <v>3218</v>
      </c>
      <c r="G15" s="1405" t="s">
        <v>3177</v>
      </c>
      <c r="H15" s="1405" t="s">
        <v>3178</v>
      </c>
      <c r="I15" s="1405" t="s">
        <v>3219</v>
      </c>
      <c r="J15" s="1405" t="s">
        <v>3219</v>
      </c>
      <c r="K15" s="1405">
        <v>81800</v>
      </c>
      <c r="L15" s="1405">
        <v>127000</v>
      </c>
      <c r="M15" s="1405">
        <f t="shared" si="0"/>
        <v>10941</v>
      </c>
      <c r="N15" s="3099">
        <v>7814.81</v>
      </c>
      <c r="O15" s="3086">
        <f t="shared" si="1"/>
        <v>729.37751386312868</v>
      </c>
      <c r="P15" s="1405">
        <v>55.26</v>
      </c>
      <c r="Q15" s="1405" t="s">
        <v>3222</v>
      </c>
      <c r="R15" s="1405" t="s">
        <v>3181</v>
      </c>
    </row>
    <row r="16" spans="1:20">
      <c r="A16" s="1405" t="s">
        <v>3223</v>
      </c>
      <c r="B16" s="1405" t="s">
        <v>3174</v>
      </c>
      <c r="C16" s="1405" t="s">
        <v>3175</v>
      </c>
      <c r="D16" s="1405">
        <v>123694.1</v>
      </c>
      <c r="E16" s="1405">
        <v>160800</v>
      </c>
      <c r="F16" s="3084">
        <v>1.3</v>
      </c>
      <c r="G16" s="1405" t="s">
        <v>3177</v>
      </c>
      <c r="H16" s="1405" t="s">
        <v>3178</v>
      </c>
      <c r="I16" s="1405" t="s">
        <v>3224</v>
      </c>
      <c r="J16" s="1405" t="s">
        <v>3224</v>
      </c>
      <c r="K16" s="1405">
        <v>84400</v>
      </c>
      <c r="L16" s="1405">
        <v>130000</v>
      </c>
      <c r="M16" s="1405">
        <f t="shared" si="0"/>
        <v>10510</v>
      </c>
      <c r="N16" s="3099">
        <v>8084.57</v>
      </c>
      <c r="O16" s="3086">
        <f t="shared" si="1"/>
        <v>700.65670068337943</v>
      </c>
      <c r="P16" s="1405">
        <v>54.03</v>
      </c>
      <c r="Q16" s="1405" t="s">
        <v>3222</v>
      </c>
      <c r="R16" s="1405" t="s">
        <v>3181</v>
      </c>
    </row>
    <row r="17" spans="1:18">
      <c r="A17" s="1405" t="s">
        <v>3225</v>
      </c>
      <c r="B17" s="1405" t="s">
        <v>3174</v>
      </c>
      <c r="C17" s="1405" t="s">
        <v>3175</v>
      </c>
      <c r="D17" s="1405">
        <v>88348.9</v>
      </c>
      <c r="E17" s="1405">
        <v>114852</v>
      </c>
      <c r="F17" s="3084">
        <v>1.3</v>
      </c>
      <c r="G17" s="1405" t="s">
        <v>3177</v>
      </c>
      <c r="H17" s="1405" t="s">
        <v>3178</v>
      </c>
      <c r="I17" s="1405" t="s">
        <v>3224</v>
      </c>
      <c r="J17" s="1405" t="s">
        <v>3224</v>
      </c>
      <c r="K17" s="1405">
        <v>60300</v>
      </c>
      <c r="L17" s="1405">
        <v>90000</v>
      </c>
      <c r="M17" s="1405">
        <f t="shared" si="0"/>
        <v>10187</v>
      </c>
      <c r="N17" s="3099">
        <v>7836.17</v>
      </c>
      <c r="O17" s="3086">
        <f t="shared" si="1"/>
        <v>679.12899877644202</v>
      </c>
      <c r="P17" s="1405">
        <v>49.25</v>
      </c>
      <c r="Q17" s="1405" t="s">
        <v>3220</v>
      </c>
      <c r="R17" s="1405" t="s">
        <v>3181</v>
      </c>
    </row>
    <row r="18" spans="1:18">
      <c r="A18" s="1405" t="s">
        <v>3226</v>
      </c>
      <c r="B18" s="1405" t="s">
        <v>3174</v>
      </c>
      <c r="C18" s="1405" t="s">
        <v>3175</v>
      </c>
      <c r="D18" s="1405">
        <v>1289227</v>
      </c>
      <c r="E18" s="1405">
        <v>3010901</v>
      </c>
      <c r="F18" s="3084" t="s">
        <v>1298</v>
      </c>
      <c r="G18" s="1405" t="s">
        <v>3177</v>
      </c>
      <c r="H18" s="1405" t="s">
        <v>3227</v>
      </c>
      <c r="I18" s="1405" t="s">
        <v>3228</v>
      </c>
      <c r="J18" s="1405" t="s">
        <v>3228</v>
      </c>
      <c r="K18" s="1405">
        <v>584800</v>
      </c>
      <c r="L18" s="1405">
        <v>705000</v>
      </c>
      <c r="M18" s="1405">
        <f t="shared" si="0"/>
        <v>5468</v>
      </c>
      <c r="N18" s="3099">
        <v>2341.48</v>
      </c>
      <c r="O18" s="3086">
        <f t="shared" si="1"/>
        <v>364.56136118775049</v>
      </c>
      <c r="P18" s="1405">
        <v>20.55</v>
      </c>
      <c r="Q18" s="1405" t="s">
        <v>3229</v>
      </c>
      <c r="R18" s="1405" t="s">
        <v>3181</v>
      </c>
    </row>
    <row r="19" spans="1:18">
      <c r="A19" s="1405" t="s">
        <v>3230</v>
      </c>
      <c r="B19" s="1405" t="s">
        <v>3174</v>
      </c>
      <c r="C19" s="1405" t="s">
        <v>3175</v>
      </c>
      <c r="D19" s="1405">
        <v>96291.65</v>
      </c>
      <c r="E19" s="1405">
        <v>154000</v>
      </c>
      <c r="F19" s="3084" t="s">
        <v>3231</v>
      </c>
      <c r="G19" s="1405" t="s">
        <v>3232</v>
      </c>
      <c r="H19" s="1405" t="s">
        <v>3233</v>
      </c>
      <c r="I19" s="1405" t="s">
        <v>3234</v>
      </c>
      <c r="J19" s="1405" t="s">
        <v>3234</v>
      </c>
      <c r="K19" s="1405">
        <v>5740</v>
      </c>
      <c r="L19" s="1405">
        <v>12250</v>
      </c>
      <c r="M19" s="1405">
        <f t="shared" si="0"/>
        <v>1272</v>
      </c>
      <c r="N19" s="3099">
        <v>795.45</v>
      </c>
      <c r="O19" s="3086">
        <f t="shared" si="1"/>
        <v>84.812208535215674</v>
      </c>
      <c r="P19" s="1405">
        <v>113.41</v>
      </c>
      <c r="Q19" s="1405" t="s">
        <v>3235</v>
      </c>
      <c r="R19" s="1405" t="s">
        <v>3198</v>
      </c>
    </row>
    <row r="20" spans="1:18">
      <c r="A20" s="1405" t="s">
        <v>3236</v>
      </c>
      <c r="B20" s="1405" t="s">
        <v>3174</v>
      </c>
      <c r="C20" s="1405" t="s">
        <v>3175</v>
      </c>
      <c r="D20" s="1405">
        <v>60450.95</v>
      </c>
      <c r="E20" s="1405">
        <v>175384</v>
      </c>
      <c r="F20" s="3084">
        <v>2.9</v>
      </c>
      <c r="G20" s="1405" t="s">
        <v>3177</v>
      </c>
      <c r="H20" s="1405" t="s">
        <v>3237</v>
      </c>
      <c r="I20" s="1405" t="s">
        <v>3238</v>
      </c>
      <c r="J20" s="1405" t="s">
        <v>3238</v>
      </c>
      <c r="K20" s="1405">
        <v>15120</v>
      </c>
      <c r="L20" s="1405">
        <v>15120</v>
      </c>
      <c r="M20" s="1405">
        <f t="shared" si="0"/>
        <v>2501</v>
      </c>
      <c r="N20" s="3099">
        <v>862.11</v>
      </c>
      <c r="O20" s="3086">
        <f t="shared" si="1"/>
        <v>166.7475928831557</v>
      </c>
      <c r="P20" s="1405">
        <v>0</v>
      </c>
      <c r="Q20" s="1405" t="s">
        <v>3239</v>
      </c>
      <c r="R20" s="1405" t="s">
        <v>3240</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opLeftCell="A16" workbookViewId="0">
      <selection activeCell="B35" sqref="B35"/>
    </sheetView>
  </sheetViews>
  <sheetFormatPr defaultColWidth="11" defaultRowHeight="116.25" customHeight="1"/>
  <cols>
    <col min="1" max="1" width="23.5" customWidth="1"/>
    <col min="2" max="3" width="11.625" customWidth="1"/>
    <col min="4" max="4" width="11.625" style="3139" customWidth="1"/>
    <col min="5" max="5" width="0" hidden="1" customWidth="1"/>
    <col min="6" max="6" width="11" style="3134"/>
    <col min="7" max="7" width="12.75" bestFit="1" customWidth="1"/>
    <col min="8" max="8" width="38.75" style="3065" customWidth="1"/>
    <col min="9" max="9" width="34.875" style="3073" customWidth="1"/>
    <col min="10" max="10" width="11" style="3062"/>
  </cols>
  <sheetData>
    <row r="1" spans="1:9" ht="13.5"/>
    <row r="2" spans="1:9" ht="13.5">
      <c r="B2" s="3062" t="s">
        <v>3134</v>
      </c>
      <c r="C2" s="3062" t="s">
        <v>3324</v>
      </c>
      <c r="D2" s="3140" t="s">
        <v>3291</v>
      </c>
      <c r="E2" s="3062" t="s">
        <v>3292</v>
      </c>
      <c r="F2" s="3135" t="s">
        <v>3298</v>
      </c>
      <c r="G2" s="3062" t="s">
        <v>3135</v>
      </c>
      <c r="I2" s="3073" t="s">
        <v>3136</v>
      </c>
    </row>
    <row r="3" spans="1:9" ht="39.75" customHeight="1">
      <c r="A3" s="3498" t="s">
        <v>3131</v>
      </c>
      <c r="B3" s="3066" t="s">
        <v>3084</v>
      </c>
      <c r="C3" s="3066">
        <v>5014.83</v>
      </c>
      <c r="D3" s="3072">
        <v>4934.8599999999997</v>
      </c>
      <c r="E3" s="3066">
        <v>4899.57</v>
      </c>
      <c r="F3" s="3136">
        <f>Sheet2!L18</f>
        <v>0</v>
      </c>
      <c r="G3" s="3067">
        <v>0.8</v>
      </c>
      <c r="H3" s="3077" t="s">
        <v>3142</v>
      </c>
      <c r="I3" s="3074" t="s">
        <v>3138</v>
      </c>
    </row>
    <row r="4" spans="1:9" ht="39.75" customHeight="1">
      <c r="A4" s="3499"/>
      <c r="B4" s="3066" t="s">
        <v>3086</v>
      </c>
      <c r="C4" s="3066">
        <v>5450.68</v>
      </c>
      <c r="D4" s="3072">
        <v>5450.49</v>
      </c>
      <c r="E4" s="3066">
        <v>5344.73</v>
      </c>
      <c r="F4" s="3136">
        <f>Sheet2!L20</f>
        <v>228.84</v>
      </c>
      <c r="G4" s="3067">
        <v>0.8</v>
      </c>
      <c r="H4" s="3077" t="s">
        <v>3143</v>
      </c>
      <c r="I4" s="3074" t="s">
        <v>3139</v>
      </c>
    </row>
    <row r="5" spans="1:9" ht="39.75" customHeight="1">
      <c r="A5" s="3499"/>
      <c r="B5" s="3066" t="s">
        <v>3088</v>
      </c>
      <c r="C5" s="3066">
        <v>5450.68</v>
      </c>
      <c r="D5" s="3072">
        <v>5450.49</v>
      </c>
      <c r="E5" s="3066">
        <v>5344.73</v>
      </c>
      <c r="F5" s="3136">
        <f>Sheet2!L22</f>
        <v>716.96</v>
      </c>
      <c r="G5" s="3067">
        <v>0.8</v>
      </c>
      <c r="H5" s="3077" t="s">
        <v>3144</v>
      </c>
      <c r="I5" s="3074" t="s">
        <v>3126</v>
      </c>
    </row>
    <row r="6" spans="1:9" ht="39.75" customHeight="1">
      <c r="A6" s="3499"/>
      <c r="B6" s="3066" t="s">
        <v>3089</v>
      </c>
      <c r="C6" s="3066">
        <v>5145.17</v>
      </c>
      <c r="D6" s="3072">
        <v>5145.2</v>
      </c>
      <c r="E6" s="3066">
        <v>5033.38</v>
      </c>
      <c r="F6" s="3136">
        <f>Sheet2!L23</f>
        <v>826.05</v>
      </c>
      <c r="G6" s="3067">
        <v>0.75</v>
      </c>
      <c r="H6" s="3077" t="s">
        <v>3145</v>
      </c>
      <c r="I6" s="3074" t="s">
        <v>3140</v>
      </c>
    </row>
    <row r="7" spans="1:9" ht="39.75" customHeight="1">
      <c r="A7" s="3499"/>
      <c r="B7" s="3066" t="s">
        <v>3090</v>
      </c>
      <c r="C7" s="3066">
        <v>5847.11</v>
      </c>
      <c r="D7" s="3072">
        <v>5846.96</v>
      </c>
      <c r="E7" s="3066">
        <v>5739.65</v>
      </c>
      <c r="F7" s="3136">
        <f>Sheet2!L24</f>
        <v>241.15</v>
      </c>
      <c r="G7" s="3067">
        <v>0.8</v>
      </c>
      <c r="H7" s="3077" t="s">
        <v>3146</v>
      </c>
      <c r="I7" s="3074" t="s">
        <v>3125</v>
      </c>
    </row>
    <row r="8" spans="1:9" ht="39.75" customHeight="1">
      <c r="A8" s="3499"/>
      <c r="B8" s="3068" t="s">
        <v>3293</v>
      </c>
      <c r="C8" s="3068">
        <v>4480.5</v>
      </c>
      <c r="D8" s="3072">
        <v>4480.4399999999996</v>
      </c>
      <c r="E8" s="3066">
        <v>4383.97</v>
      </c>
      <c r="F8" s="3136">
        <f>Sheet2!L25</f>
        <v>931.03</v>
      </c>
      <c r="G8" s="3067">
        <v>0.75</v>
      </c>
      <c r="H8" s="3077" t="s">
        <v>3147</v>
      </c>
      <c r="I8" s="3074" t="s">
        <v>3120</v>
      </c>
    </row>
    <row r="9" spans="1:9" ht="39.75" customHeight="1">
      <c r="A9" s="3499"/>
      <c r="B9" s="3066" t="s">
        <v>3092</v>
      </c>
      <c r="C9" s="3066">
        <v>5024.75</v>
      </c>
      <c r="D9" s="3072">
        <v>5024.5200000000004</v>
      </c>
      <c r="E9" s="3066">
        <v>4940.8900000000003</v>
      </c>
      <c r="F9" s="3136">
        <f>Sheet2!L7</f>
        <v>88.66</v>
      </c>
      <c r="G9" s="3067">
        <v>0.8</v>
      </c>
      <c r="H9" s="3077" t="s">
        <v>3146</v>
      </c>
      <c r="I9" s="3074" t="s">
        <v>3141</v>
      </c>
    </row>
    <row r="10" spans="1:9" ht="30.75" customHeight="1">
      <c r="A10" s="3499"/>
      <c r="B10" s="3066" t="s">
        <v>3093</v>
      </c>
      <c r="C10" s="3066">
        <v>4480.5</v>
      </c>
      <c r="D10" s="3072">
        <v>4480.4399999999996</v>
      </c>
      <c r="E10" s="3066">
        <v>4383.97</v>
      </c>
      <c r="F10" s="3136">
        <f>Sheet2!L8</f>
        <v>950.95</v>
      </c>
      <c r="G10" s="3067">
        <v>0.75</v>
      </c>
      <c r="H10" s="3077" t="s">
        <v>3145</v>
      </c>
      <c r="I10" s="3074" t="s">
        <v>3119</v>
      </c>
    </row>
    <row r="11" spans="1:9" ht="30.75" customHeight="1">
      <c r="A11" s="3499"/>
      <c r="B11" s="3066" t="s">
        <v>3094</v>
      </c>
      <c r="C11" s="3066">
        <v>3382.28</v>
      </c>
      <c r="D11" s="3072">
        <v>3382.34</v>
      </c>
      <c r="E11" s="3066">
        <v>3306.61</v>
      </c>
      <c r="F11" s="3136">
        <f>Sheet2!L9</f>
        <v>104.17</v>
      </c>
      <c r="G11" s="3067">
        <v>0.8</v>
      </c>
      <c r="H11" s="3077" t="s">
        <v>3148</v>
      </c>
      <c r="I11" s="3074" t="s">
        <v>3124</v>
      </c>
    </row>
    <row r="12" spans="1:9" ht="37.5" customHeight="1">
      <c r="A12" s="3499"/>
      <c r="B12" s="3066" t="s">
        <v>3095</v>
      </c>
      <c r="C12" s="3066">
        <v>3379.05</v>
      </c>
      <c r="D12" s="3072">
        <v>3379.04</v>
      </c>
      <c r="E12" s="3066">
        <v>3306.61</v>
      </c>
      <c r="F12" s="3136">
        <f>Sheet2!L10</f>
        <v>0</v>
      </c>
      <c r="G12" s="3067">
        <v>0.8</v>
      </c>
      <c r="H12" s="3077" t="s">
        <v>3148</v>
      </c>
      <c r="I12" s="3074" t="s">
        <v>3137</v>
      </c>
    </row>
    <row r="13" spans="1:9" ht="37.5" customHeight="1">
      <c r="A13" s="3499"/>
      <c r="B13" s="3066" t="s">
        <v>3096</v>
      </c>
      <c r="C13" s="3066">
        <v>4480.5</v>
      </c>
      <c r="D13" s="3072">
        <v>4480.4399999999996</v>
      </c>
      <c r="E13" s="3066">
        <v>4383.97</v>
      </c>
      <c r="F13" s="3136">
        <f>Sheet2!L11</f>
        <v>1470.05</v>
      </c>
      <c r="G13" s="3067">
        <v>0.75</v>
      </c>
      <c r="H13" s="3077" t="s">
        <v>3145</v>
      </c>
      <c r="I13" s="3074" t="s">
        <v>3123</v>
      </c>
    </row>
    <row r="14" spans="1:9" ht="33" customHeight="1">
      <c r="A14" s="3499"/>
      <c r="B14" s="3066" t="s">
        <v>3097</v>
      </c>
      <c r="C14" s="3066">
        <v>4480.5</v>
      </c>
      <c r="D14" s="3072">
        <v>4480.4399999999996</v>
      </c>
      <c r="E14" s="3066">
        <v>4383.97</v>
      </c>
      <c r="F14" s="3136">
        <f>Sheet2!L12</f>
        <v>619.45000000000005</v>
      </c>
      <c r="G14" s="3067">
        <v>0.75</v>
      </c>
      <c r="H14" s="3077" t="s">
        <v>3147</v>
      </c>
      <c r="I14" s="3074" t="s">
        <v>3122</v>
      </c>
    </row>
    <row r="15" spans="1:9" ht="33" customHeight="1">
      <c r="A15" s="3499"/>
      <c r="B15" s="3066" t="s">
        <v>3099</v>
      </c>
      <c r="C15" s="3066">
        <v>5145.08</v>
      </c>
      <c r="D15" s="3072">
        <v>5144.92</v>
      </c>
      <c r="E15" s="3066">
        <v>5033.38</v>
      </c>
      <c r="F15" s="3136">
        <f>Sheet2!L13</f>
        <v>2231.92</v>
      </c>
      <c r="G15" s="3067">
        <v>0.75</v>
      </c>
      <c r="H15" s="3077" t="s">
        <v>3147</v>
      </c>
      <c r="I15" s="3074" t="s">
        <v>3121</v>
      </c>
    </row>
    <row r="16" spans="1:9" ht="33" customHeight="1">
      <c r="A16" s="3499"/>
      <c r="B16" s="3082" t="s">
        <v>3152</v>
      </c>
      <c r="C16" s="3082">
        <f>SUM(C3:C15)</f>
        <v>61761.630000000005</v>
      </c>
      <c r="D16" s="3082">
        <f>SUM(D3:D15)</f>
        <v>61680.579999999994</v>
      </c>
      <c r="E16" s="3082">
        <f>SUM(E3:E15)</f>
        <v>60485.43</v>
      </c>
      <c r="F16" s="3082">
        <f>SUM(F3:F15)</f>
        <v>8409.23</v>
      </c>
      <c r="G16" s="3083">
        <f>SUMPRODUCT(F3:F15,G3:G15)/F16</f>
        <v>0.75820396159933789</v>
      </c>
      <c r="H16" s="3079"/>
      <c r="I16" s="3080"/>
    </row>
    <row r="17" spans="1:10" ht="46.5" customHeight="1">
      <c r="A17" s="3499"/>
      <c r="B17" s="3066" t="s">
        <v>48</v>
      </c>
      <c r="C17" s="3066"/>
      <c r="D17" s="3072">
        <f>E17</f>
        <v>39213.300000000003</v>
      </c>
      <c r="E17" s="3066">
        <v>39213.300000000003</v>
      </c>
      <c r="F17" s="3136"/>
      <c r="G17" s="3067">
        <v>0.8</v>
      </c>
      <c r="H17" s="3077" t="s">
        <v>3149</v>
      </c>
      <c r="I17" s="3074" t="s">
        <v>3127</v>
      </c>
    </row>
    <row r="18" spans="1:10" ht="24" customHeight="1">
      <c r="A18" s="3499"/>
      <c r="B18" s="3068" t="s">
        <v>3129</v>
      </c>
      <c r="C18" s="3068"/>
      <c r="D18" s="3141">
        <f>E18</f>
        <v>3600</v>
      </c>
      <c r="E18" s="3066">
        <v>3600</v>
      </c>
      <c r="F18" s="3136"/>
      <c r="G18" s="3067"/>
      <c r="H18" s="3077"/>
      <c r="I18" s="3074"/>
    </row>
    <row r="19" spans="1:10" ht="24" customHeight="1">
      <c r="A19" s="3499"/>
      <c r="B19" s="3068" t="s">
        <v>3128</v>
      </c>
      <c r="C19" s="3068">
        <f>1935.1+1514.37</f>
        <v>3449.47</v>
      </c>
      <c r="D19" s="3141">
        <f>E19</f>
        <v>3449.47</v>
      </c>
      <c r="E19" s="3066">
        <f>'数据-基础表'!AD28</f>
        <v>3449.47</v>
      </c>
      <c r="F19" s="3136"/>
      <c r="G19" s="3067"/>
      <c r="H19" s="3077"/>
      <c r="I19" s="3074"/>
    </row>
    <row r="20" spans="1:10" ht="42" customHeight="1">
      <c r="A20" s="3500" t="s">
        <v>3132</v>
      </c>
      <c r="B20" s="3069" t="s">
        <v>3083</v>
      </c>
      <c r="C20" s="3069">
        <v>5188.26</v>
      </c>
      <c r="D20" s="3072">
        <v>5188.03</v>
      </c>
      <c r="E20" s="3069">
        <v>5078.8900000000003</v>
      </c>
      <c r="F20" s="3136">
        <f>Sheet2!L15</f>
        <v>444.39</v>
      </c>
      <c r="G20" s="3070">
        <f>0.6+4/6*0.1</f>
        <v>0.66666666666666663</v>
      </c>
      <c r="H20" s="3078" t="s">
        <v>3150</v>
      </c>
      <c r="I20" s="3075" t="s">
        <v>3117</v>
      </c>
    </row>
    <row r="21" spans="1:10" ht="30.75" customHeight="1">
      <c r="A21" s="3501"/>
      <c r="B21" s="3069" t="s">
        <v>3085</v>
      </c>
      <c r="C21" s="3069">
        <v>5139.4399999999996</v>
      </c>
      <c r="D21" s="3072">
        <v>5139.32</v>
      </c>
      <c r="E21" s="3069">
        <v>5033.38</v>
      </c>
      <c r="F21" s="3136">
        <f>Sheet2!L19</f>
        <v>3144.75</v>
      </c>
      <c r="G21" s="3070">
        <v>0.6</v>
      </c>
      <c r="H21" s="3078" t="s">
        <v>3151</v>
      </c>
      <c r="I21" s="3075" t="s">
        <v>3113</v>
      </c>
    </row>
    <row r="22" spans="1:10" s="3064" customFormat="1" ht="30.75" customHeight="1">
      <c r="A22" s="3501"/>
      <c r="B22" s="3069" t="s">
        <v>3087</v>
      </c>
      <c r="C22" s="3069">
        <v>5139.4399999999996</v>
      </c>
      <c r="D22" s="3072">
        <v>5139.32</v>
      </c>
      <c r="E22" s="3069">
        <v>5033.38</v>
      </c>
      <c r="F22" s="3136">
        <f>Sheet2!L21</f>
        <v>2301.2199999999998</v>
      </c>
      <c r="G22" s="3070">
        <f>0.6+4/7*0.1</f>
        <v>0.65714285714285714</v>
      </c>
      <c r="H22" s="3078" t="s">
        <v>3150</v>
      </c>
      <c r="I22" s="3075" t="s">
        <v>3115</v>
      </c>
      <c r="J22" s="3063"/>
    </row>
    <row r="23" spans="1:10" s="3064" customFormat="1" ht="30.75" customHeight="1">
      <c r="A23" s="3501"/>
      <c r="B23" s="3069" t="s">
        <v>3101</v>
      </c>
      <c r="C23" s="3069">
        <v>5134.96</v>
      </c>
      <c r="D23" s="3072">
        <v>5134.8999999999996</v>
      </c>
      <c r="E23" s="3069">
        <v>5033.38</v>
      </c>
      <c r="F23" s="3136">
        <f>Sheet2!L14</f>
        <v>5134.96</v>
      </c>
      <c r="G23" s="3070">
        <v>0.75</v>
      </c>
      <c r="H23" s="3078" t="s">
        <v>3145</v>
      </c>
      <c r="I23" s="3075" t="s">
        <v>3116</v>
      </c>
      <c r="J23" s="3063"/>
    </row>
    <row r="24" spans="1:10" s="3064" customFormat="1" ht="41.25" customHeight="1">
      <c r="A24" s="3501"/>
      <c r="B24" s="3069" t="s">
        <v>3103</v>
      </c>
      <c r="C24" s="3069">
        <v>5134.96</v>
      </c>
      <c r="D24" s="3072">
        <v>5134.8999999999996</v>
      </c>
      <c r="E24" s="3069">
        <v>5033.38</v>
      </c>
      <c r="F24" s="3136">
        <f>Sheet2!L16</f>
        <v>5134.96</v>
      </c>
      <c r="G24" s="3070">
        <v>0.75</v>
      </c>
      <c r="H24" s="3078" t="s">
        <v>3145</v>
      </c>
      <c r="I24" s="3075" t="s">
        <v>3114</v>
      </c>
      <c r="J24" s="3063"/>
    </row>
    <row r="25" spans="1:10" s="3064" customFormat="1" ht="41.25" customHeight="1">
      <c r="A25" s="3501"/>
      <c r="B25" s="3069" t="s">
        <v>3106</v>
      </c>
      <c r="C25" s="3069">
        <v>5188.1400000000003</v>
      </c>
      <c r="D25" s="3072">
        <v>5187.58</v>
      </c>
      <c r="E25" s="3069">
        <v>5078.8900000000003</v>
      </c>
      <c r="F25" s="3136">
        <f>Sheet2!L17</f>
        <v>3109.75</v>
      </c>
      <c r="G25" s="3070">
        <v>0.75</v>
      </c>
      <c r="H25" s="3078" t="s">
        <v>3145</v>
      </c>
      <c r="I25" s="3075" t="s">
        <v>3118</v>
      </c>
      <c r="J25" s="3063"/>
    </row>
    <row r="26" spans="1:10" s="3064" customFormat="1" ht="41.25" customHeight="1">
      <c r="A26" s="3501"/>
      <c r="B26" s="3082" t="s">
        <v>3153</v>
      </c>
      <c r="C26" s="3082">
        <f>SUM(C20:C25)</f>
        <v>30925.199999999997</v>
      </c>
      <c r="D26" s="3082">
        <f>SUM(D20:D25)</f>
        <v>30924.050000000003</v>
      </c>
      <c r="E26" s="3082">
        <f>SUM(E20:E25)</f>
        <v>30291.300000000003</v>
      </c>
      <c r="F26" s="3082">
        <f>SUM(F20:F25)</f>
        <v>19270.03</v>
      </c>
      <c r="G26" s="3083">
        <f>SUMPRODUCT(F20:F25,G20:G25)/F26</f>
        <v>0.71251019254844372</v>
      </c>
      <c r="H26" s="3081"/>
      <c r="I26" s="3075"/>
      <c r="J26" s="3063"/>
    </row>
    <row r="27" spans="1:10" s="3064" customFormat="1" ht="28.5" customHeight="1">
      <c r="A27" s="3501"/>
      <c r="B27" s="3071" t="s">
        <v>3130</v>
      </c>
      <c r="C27" s="3071"/>
      <c r="D27" s="3141">
        <f t="shared" ref="D27:D32" si="0">E27</f>
        <v>14803.76</v>
      </c>
      <c r="E27" s="3069">
        <v>14803.76</v>
      </c>
      <c r="F27" s="3136"/>
      <c r="G27" s="3070"/>
      <c r="H27" s="3078"/>
      <c r="I27" s="3075"/>
      <c r="J27" s="3063"/>
    </row>
    <row r="28" spans="1:10" ht="39.75" customHeight="1">
      <c r="A28" s="3498" t="s">
        <v>3133</v>
      </c>
      <c r="B28" s="3072" t="s">
        <v>3098</v>
      </c>
      <c r="C28" s="3072"/>
      <c r="D28" s="3072">
        <f t="shared" si="0"/>
        <v>5209.78</v>
      </c>
      <c r="E28" s="3072">
        <v>5209.78</v>
      </c>
      <c r="F28" s="3136">
        <f>E28</f>
        <v>5209.78</v>
      </c>
      <c r="G28" s="3067">
        <v>0</v>
      </c>
      <c r="H28" s="3077"/>
      <c r="I28" s="3076"/>
    </row>
    <row r="29" spans="1:10" ht="39.75" customHeight="1">
      <c r="A29" s="3499"/>
      <c r="B29" s="3072" t="s">
        <v>3100</v>
      </c>
      <c r="C29" s="3072"/>
      <c r="D29" s="3072">
        <f t="shared" si="0"/>
        <v>5209.78</v>
      </c>
      <c r="E29" s="3072">
        <v>5209.78</v>
      </c>
      <c r="F29" s="3136">
        <f t="shared" ref="F29:F32" si="1">E29</f>
        <v>5209.78</v>
      </c>
      <c r="G29" s="3067">
        <v>0</v>
      </c>
      <c r="H29" s="3077"/>
      <c r="I29" s="3076"/>
    </row>
    <row r="30" spans="1:10" ht="32.25" customHeight="1">
      <c r="A30" s="3499"/>
      <c r="B30" s="3072" t="s">
        <v>3102</v>
      </c>
      <c r="C30" s="3072"/>
      <c r="D30" s="3072">
        <f t="shared" si="0"/>
        <v>5209.78</v>
      </c>
      <c r="E30" s="3072">
        <v>5209.78</v>
      </c>
      <c r="F30" s="3136">
        <f t="shared" si="1"/>
        <v>5209.78</v>
      </c>
      <c r="G30" s="3067">
        <v>0</v>
      </c>
      <c r="H30" s="3077"/>
      <c r="I30" s="3076"/>
    </row>
    <row r="31" spans="1:10" ht="32.25" customHeight="1">
      <c r="A31" s="3499"/>
      <c r="B31" s="3072" t="s">
        <v>3104</v>
      </c>
      <c r="C31" s="3072"/>
      <c r="D31" s="3072">
        <f t="shared" si="0"/>
        <v>6236.31</v>
      </c>
      <c r="E31" s="3072">
        <v>6236.31</v>
      </c>
      <c r="F31" s="3136">
        <f t="shared" si="1"/>
        <v>6236.31</v>
      </c>
      <c r="G31" s="3067">
        <v>0</v>
      </c>
      <c r="H31" s="3077"/>
      <c r="I31" s="3076"/>
    </row>
    <row r="32" spans="1:10" ht="32.25" customHeight="1">
      <c r="A32" s="3499"/>
      <c r="B32" s="3072" t="s">
        <v>3105</v>
      </c>
      <c r="C32" s="3072"/>
      <c r="D32" s="3072">
        <f t="shared" si="0"/>
        <v>5134.3500000000004</v>
      </c>
      <c r="E32" s="3072">
        <v>5134.3500000000004</v>
      </c>
      <c r="F32" s="3136">
        <f t="shared" si="1"/>
        <v>5134.3500000000004</v>
      </c>
      <c r="G32" s="3067">
        <v>0</v>
      </c>
      <c r="H32" s="3077"/>
      <c r="I32" s="3076"/>
    </row>
    <row r="33" spans="1:8" ht="24">
      <c r="B33" s="3143" t="s">
        <v>3299</v>
      </c>
      <c r="C33" s="3143">
        <v>27000</v>
      </c>
      <c r="D33" s="3143">
        <f>SUM(D28:D32)</f>
        <v>27000</v>
      </c>
      <c r="E33" s="3143">
        <f t="shared" ref="E33:F33" si="2">SUM(E28:E32)</f>
        <v>27000</v>
      </c>
      <c r="F33" s="3143">
        <f t="shared" si="2"/>
        <v>27000</v>
      </c>
      <c r="H33" s="3094" t="s">
        <v>3242</v>
      </c>
    </row>
    <row r="34" spans="1:8" ht="13.5">
      <c r="A34">
        <v>92863</v>
      </c>
      <c r="B34">
        <f>D33+D26+D16+D18+D19</f>
        <v>126654.1</v>
      </c>
      <c r="D34" s="3142">
        <f>B34/A34</f>
        <v>1.3638812013396078</v>
      </c>
      <c r="E34">
        <f>SUM(E3:E32)-E16-E26</f>
        <v>178843.26000000007</v>
      </c>
    </row>
    <row r="35" spans="1:8" ht="13.5">
      <c r="A35">
        <f>ROUND(A34*B35/B34,2)</f>
        <v>40090.93</v>
      </c>
      <c r="B35">
        <f>F33+F26+F16</f>
        <v>54679.259999999995</v>
      </c>
      <c r="D35" s="3142">
        <f>B35/A35</f>
        <v>1.3638810573862965</v>
      </c>
      <c r="E35">
        <f>E34-64925.49</f>
        <v>113917.77000000008</v>
      </c>
      <c r="G35">
        <f>(F16*G16+F26*G26)/(F16+F26)</f>
        <v>0.72639240665083848</v>
      </c>
    </row>
    <row r="36" spans="1:8" ht="13.5"/>
    <row r="37" spans="1:8" ht="13.5">
      <c r="D37" s="3139">
        <f>D33/(D33+D26+D19+D18+D16)</f>
        <v>0.21317904434203078</v>
      </c>
    </row>
    <row r="38" spans="1:8" ht="13.5"/>
    <row r="39" spans="1:8" ht="13.5"/>
  </sheetData>
  <mergeCells count="3">
    <mergeCell ref="A28:A32"/>
    <mergeCell ref="A3:A19"/>
    <mergeCell ref="A20:A27"/>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B1" workbookViewId="0">
      <selection activeCell="L1" sqref="L1:L1048576"/>
    </sheetView>
  </sheetViews>
  <sheetFormatPr defaultRowHeight="13.5"/>
  <cols>
    <col min="1" max="3" width="11.75" style="1405" customWidth="1"/>
    <col min="4" max="4" width="12.625" style="1405" bestFit="1" customWidth="1"/>
    <col min="5" max="6" width="11.75" style="1405" customWidth="1"/>
    <col min="7" max="7" width="15.375" style="1405" customWidth="1"/>
    <col min="8" max="9" width="11.75" style="1405" customWidth="1"/>
    <col min="10" max="10" width="16.375" style="1405" bestFit="1" customWidth="1"/>
    <col min="11" max="11" width="9" style="1405"/>
    <col min="12" max="12" width="12.875" style="3133" customWidth="1"/>
    <col min="13" max="256" width="9" style="1405"/>
    <col min="257" max="259" width="11.75" style="1405" customWidth="1"/>
    <col min="260" max="260" width="12.625" style="1405" bestFit="1" customWidth="1"/>
    <col min="261" max="262" width="11.75" style="1405" customWidth="1"/>
    <col min="263" max="263" width="15.375" style="1405" customWidth="1"/>
    <col min="264" max="265" width="11.75" style="1405" customWidth="1"/>
    <col min="266" max="266" width="16.375" style="1405" bestFit="1" customWidth="1"/>
    <col min="267" max="512" width="9" style="1405"/>
    <col min="513" max="515" width="11.75" style="1405" customWidth="1"/>
    <col min="516" max="516" width="12.625" style="1405" bestFit="1" customWidth="1"/>
    <col min="517" max="518" width="11.75" style="1405" customWidth="1"/>
    <col min="519" max="519" width="15.375" style="1405" customWidth="1"/>
    <col min="520" max="521" width="11.75" style="1405" customWidth="1"/>
    <col min="522" max="522" width="16.375" style="1405" bestFit="1" customWidth="1"/>
    <col min="523" max="768" width="9" style="1405"/>
    <col min="769" max="771" width="11.75" style="1405" customWidth="1"/>
    <col min="772" max="772" width="12.625" style="1405" bestFit="1" customWidth="1"/>
    <col min="773" max="774" width="11.75" style="1405" customWidth="1"/>
    <col min="775" max="775" width="15.375" style="1405" customWidth="1"/>
    <col min="776" max="777" width="11.75" style="1405" customWidth="1"/>
    <col min="778" max="778" width="16.375" style="1405" bestFit="1" customWidth="1"/>
    <col min="779" max="1024" width="9" style="1405"/>
    <col min="1025" max="1027" width="11.75" style="1405" customWidth="1"/>
    <col min="1028" max="1028" width="12.625" style="1405" bestFit="1" customWidth="1"/>
    <col min="1029" max="1030" width="11.75" style="1405" customWidth="1"/>
    <col min="1031" max="1031" width="15.375" style="1405" customWidth="1"/>
    <col min="1032" max="1033" width="11.75" style="1405" customWidth="1"/>
    <col min="1034" max="1034" width="16.375" style="1405" bestFit="1" customWidth="1"/>
    <col min="1035" max="1280" width="9" style="1405"/>
    <col min="1281" max="1283" width="11.75" style="1405" customWidth="1"/>
    <col min="1284" max="1284" width="12.625" style="1405" bestFit="1" customWidth="1"/>
    <col min="1285" max="1286" width="11.75" style="1405" customWidth="1"/>
    <col min="1287" max="1287" width="15.375" style="1405" customWidth="1"/>
    <col min="1288" max="1289" width="11.75" style="1405" customWidth="1"/>
    <col min="1290" max="1290" width="16.375" style="1405" bestFit="1" customWidth="1"/>
    <col min="1291" max="1536" width="9" style="1405"/>
    <col min="1537" max="1539" width="11.75" style="1405" customWidth="1"/>
    <col min="1540" max="1540" width="12.625" style="1405" bestFit="1" customWidth="1"/>
    <col min="1541" max="1542" width="11.75" style="1405" customWidth="1"/>
    <col min="1543" max="1543" width="15.375" style="1405" customWidth="1"/>
    <col min="1544" max="1545" width="11.75" style="1405" customWidth="1"/>
    <col min="1546" max="1546" width="16.375" style="1405" bestFit="1" customWidth="1"/>
    <col min="1547" max="1792" width="9" style="1405"/>
    <col min="1793" max="1795" width="11.75" style="1405" customWidth="1"/>
    <col min="1796" max="1796" width="12.625" style="1405" bestFit="1" customWidth="1"/>
    <col min="1797" max="1798" width="11.75" style="1405" customWidth="1"/>
    <col min="1799" max="1799" width="15.375" style="1405" customWidth="1"/>
    <col min="1800" max="1801" width="11.75" style="1405" customWidth="1"/>
    <col min="1802" max="1802" width="16.375" style="1405" bestFit="1" customWidth="1"/>
    <col min="1803" max="2048" width="9" style="1405"/>
    <col min="2049" max="2051" width="11.75" style="1405" customWidth="1"/>
    <col min="2052" max="2052" width="12.625" style="1405" bestFit="1" customWidth="1"/>
    <col min="2053" max="2054" width="11.75" style="1405" customWidth="1"/>
    <col min="2055" max="2055" width="15.375" style="1405" customWidth="1"/>
    <col min="2056" max="2057" width="11.75" style="1405" customWidth="1"/>
    <col min="2058" max="2058" width="16.375" style="1405" bestFit="1" customWidth="1"/>
    <col min="2059" max="2304" width="9" style="1405"/>
    <col min="2305" max="2307" width="11.75" style="1405" customWidth="1"/>
    <col min="2308" max="2308" width="12.625" style="1405" bestFit="1" customWidth="1"/>
    <col min="2309" max="2310" width="11.75" style="1405" customWidth="1"/>
    <col min="2311" max="2311" width="15.375" style="1405" customWidth="1"/>
    <col min="2312" max="2313" width="11.75" style="1405" customWidth="1"/>
    <col min="2314" max="2314" width="16.375" style="1405" bestFit="1" customWidth="1"/>
    <col min="2315" max="2560" width="9" style="1405"/>
    <col min="2561" max="2563" width="11.75" style="1405" customWidth="1"/>
    <col min="2564" max="2564" width="12.625" style="1405" bestFit="1" customWidth="1"/>
    <col min="2565" max="2566" width="11.75" style="1405" customWidth="1"/>
    <col min="2567" max="2567" width="15.375" style="1405" customWidth="1"/>
    <col min="2568" max="2569" width="11.75" style="1405" customWidth="1"/>
    <col min="2570" max="2570" width="16.375" style="1405" bestFit="1" customWidth="1"/>
    <col min="2571" max="2816" width="9" style="1405"/>
    <col min="2817" max="2819" width="11.75" style="1405" customWidth="1"/>
    <col min="2820" max="2820" width="12.625" style="1405" bestFit="1" customWidth="1"/>
    <col min="2821" max="2822" width="11.75" style="1405" customWidth="1"/>
    <col min="2823" max="2823" width="15.375" style="1405" customWidth="1"/>
    <col min="2824" max="2825" width="11.75" style="1405" customWidth="1"/>
    <col min="2826" max="2826" width="16.375" style="1405" bestFit="1" customWidth="1"/>
    <col min="2827" max="3072" width="9" style="1405"/>
    <col min="3073" max="3075" width="11.75" style="1405" customWidth="1"/>
    <col min="3076" max="3076" width="12.625" style="1405" bestFit="1" customWidth="1"/>
    <col min="3077" max="3078" width="11.75" style="1405" customWidth="1"/>
    <col min="3079" max="3079" width="15.375" style="1405" customWidth="1"/>
    <col min="3080" max="3081" width="11.75" style="1405" customWidth="1"/>
    <col min="3082" max="3082" width="16.375" style="1405" bestFit="1" customWidth="1"/>
    <col min="3083" max="3328" width="9" style="1405"/>
    <col min="3329" max="3331" width="11.75" style="1405" customWidth="1"/>
    <col min="3332" max="3332" width="12.625" style="1405" bestFit="1" customWidth="1"/>
    <col min="3333" max="3334" width="11.75" style="1405" customWidth="1"/>
    <col min="3335" max="3335" width="15.375" style="1405" customWidth="1"/>
    <col min="3336" max="3337" width="11.75" style="1405" customWidth="1"/>
    <col min="3338" max="3338" width="16.375" style="1405" bestFit="1" customWidth="1"/>
    <col min="3339" max="3584" width="9" style="1405"/>
    <col min="3585" max="3587" width="11.75" style="1405" customWidth="1"/>
    <col min="3588" max="3588" width="12.625" style="1405" bestFit="1" customWidth="1"/>
    <col min="3589" max="3590" width="11.75" style="1405" customWidth="1"/>
    <col min="3591" max="3591" width="15.375" style="1405" customWidth="1"/>
    <col min="3592" max="3593" width="11.75" style="1405" customWidth="1"/>
    <col min="3594" max="3594" width="16.375" style="1405" bestFit="1" customWidth="1"/>
    <col min="3595" max="3840" width="9" style="1405"/>
    <col min="3841" max="3843" width="11.75" style="1405" customWidth="1"/>
    <col min="3844" max="3844" width="12.625" style="1405" bestFit="1" customWidth="1"/>
    <col min="3845" max="3846" width="11.75" style="1405" customWidth="1"/>
    <col min="3847" max="3847" width="15.375" style="1405" customWidth="1"/>
    <col min="3848" max="3849" width="11.75" style="1405" customWidth="1"/>
    <col min="3850" max="3850" width="16.375" style="1405" bestFit="1" customWidth="1"/>
    <col min="3851" max="4096" width="9" style="1405"/>
    <col min="4097" max="4099" width="11.75" style="1405" customWidth="1"/>
    <col min="4100" max="4100" width="12.625" style="1405" bestFit="1" customWidth="1"/>
    <col min="4101" max="4102" width="11.75" style="1405" customWidth="1"/>
    <col min="4103" max="4103" width="15.375" style="1405" customWidth="1"/>
    <col min="4104" max="4105" width="11.75" style="1405" customWidth="1"/>
    <col min="4106" max="4106" width="16.375" style="1405" bestFit="1" customWidth="1"/>
    <col min="4107" max="4352" width="9" style="1405"/>
    <col min="4353" max="4355" width="11.75" style="1405" customWidth="1"/>
    <col min="4356" max="4356" width="12.625" style="1405" bestFit="1" customWidth="1"/>
    <col min="4357" max="4358" width="11.75" style="1405" customWidth="1"/>
    <col min="4359" max="4359" width="15.375" style="1405" customWidth="1"/>
    <col min="4360" max="4361" width="11.75" style="1405" customWidth="1"/>
    <col min="4362" max="4362" width="16.375" style="1405" bestFit="1" customWidth="1"/>
    <col min="4363" max="4608" width="9" style="1405"/>
    <col min="4609" max="4611" width="11.75" style="1405" customWidth="1"/>
    <col min="4612" max="4612" width="12.625" style="1405" bestFit="1" customWidth="1"/>
    <col min="4613" max="4614" width="11.75" style="1405" customWidth="1"/>
    <col min="4615" max="4615" width="15.375" style="1405" customWidth="1"/>
    <col min="4616" max="4617" width="11.75" style="1405" customWidth="1"/>
    <col min="4618" max="4618" width="16.375" style="1405" bestFit="1" customWidth="1"/>
    <col min="4619" max="4864" width="9" style="1405"/>
    <col min="4865" max="4867" width="11.75" style="1405" customWidth="1"/>
    <col min="4868" max="4868" width="12.625" style="1405" bestFit="1" customWidth="1"/>
    <col min="4869" max="4870" width="11.75" style="1405" customWidth="1"/>
    <col min="4871" max="4871" width="15.375" style="1405" customWidth="1"/>
    <col min="4872" max="4873" width="11.75" style="1405" customWidth="1"/>
    <col min="4874" max="4874" width="16.375" style="1405" bestFit="1" customWidth="1"/>
    <col min="4875" max="5120" width="9" style="1405"/>
    <col min="5121" max="5123" width="11.75" style="1405" customWidth="1"/>
    <col min="5124" max="5124" width="12.625" style="1405" bestFit="1" customWidth="1"/>
    <col min="5125" max="5126" width="11.75" style="1405" customWidth="1"/>
    <col min="5127" max="5127" width="15.375" style="1405" customWidth="1"/>
    <col min="5128" max="5129" width="11.75" style="1405" customWidth="1"/>
    <col min="5130" max="5130" width="16.375" style="1405" bestFit="1" customWidth="1"/>
    <col min="5131" max="5376" width="9" style="1405"/>
    <col min="5377" max="5379" width="11.75" style="1405" customWidth="1"/>
    <col min="5380" max="5380" width="12.625" style="1405" bestFit="1" customWidth="1"/>
    <col min="5381" max="5382" width="11.75" style="1405" customWidth="1"/>
    <col min="5383" max="5383" width="15.375" style="1405" customWidth="1"/>
    <col min="5384" max="5385" width="11.75" style="1405" customWidth="1"/>
    <col min="5386" max="5386" width="16.375" style="1405" bestFit="1" customWidth="1"/>
    <col min="5387" max="5632" width="9" style="1405"/>
    <col min="5633" max="5635" width="11.75" style="1405" customWidth="1"/>
    <col min="5636" max="5636" width="12.625" style="1405" bestFit="1" customWidth="1"/>
    <col min="5637" max="5638" width="11.75" style="1405" customWidth="1"/>
    <col min="5639" max="5639" width="15.375" style="1405" customWidth="1"/>
    <col min="5640" max="5641" width="11.75" style="1405" customWidth="1"/>
    <col min="5642" max="5642" width="16.375" style="1405" bestFit="1" customWidth="1"/>
    <col min="5643" max="5888" width="9" style="1405"/>
    <col min="5889" max="5891" width="11.75" style="1405" customWidth="1"/>
    <col min="5892" max="5892" width="12.625" style="1405" bestFit="1" customWidth="1"/>
    <col min="5893" max="5894" width="11.75" style="1405" customWidth="1"/>
    <col min="5895" max="5895" width="15.375" style="1405" customWidth="1"/>
    <col min="5896" max="5897" width="11.75" style="1405" customWidth="1"/>
    <col min="5898" max="5898" width="16.375" style="1405" bestFit="1" customWidth="1"/>
    <col min="5899" max="6144" width="9" style="1405"/>
    <col min="6145" max="6147" width="11.75" style="1405" customWidth="1"/>
    <col min="6148" max="6148" width="12.625" style="1405" bestFit="1" customWidth="1"/>
    <col min="6149" max="6150" width="11.75" style="1405" customWidth="1"/>
    <col min="6151" max="6151" width="15.375" style="1405" customWidth="1"/>
    <col min="6152" max="6153" width="11.75" style="1405" customWidth="1"/>
    <col min="6154" max="6154" width="16.375" style="1405" bestFit="1" customWidth="1"/>
    <col min="6155" max="6400" width="9" style="1405"/>
    <col min="6401" max="6403" width="11.75" style="1405" customWidth="1"/>
    <col min="6404" max="6404" width="12.625" style="1405" bestFit="1" customWidth="1"/>
    <col min="6405" max="6406" width="11.75" style="1405" customWidth="1"/>
    <col min="6407" max="6407" width="15.375" style="1405" customWidth="1"/>
    <col min="6408" max="6409" width="11.75" style="1405" customWidth="1"/>
    <col min="6410" max="6410" width="16.375" style="1405" bestFit="1" customWidth="1"/>
    <col min="6411" max="6656" width="9" style="1405"/>
    <col min="6657" max="6659" width="11.75" style="1405" customWidth="1"/>
    <col min="6660" max="6660" width="12.625" style="1405" bestFit="1" customWidth="1"/>
    <col min="6661" max="6662" width="11.75" style="1405" customWidth="1"/>
    <col min="6663" max="6663" width="15.375" style="1405" customWidth="1"/>
    <col min="6664" max="6665" width="11.75" style="1405" customWidth="1"/>
    <col min="6666" max="6666" width="16.375" style="1405" bestFit="1" customWidth="1"/>
    <col min="6667" max="6912" width="9" style="1405"/>
    <col min="6913" max="6915" width="11.75" style="1405" customWidth="1"/>
    <col min="6916" max="6916" width="12.625" style="1405" bestFit="1" customWidth="1"/>
    <col min="6917" max="6918" width="11.75" style="1405" customWidth="1"/>
    <col min="6919" max="6919" width="15.375" style="1405" customWidth="1"/>
    <col min="6920" max="6921" width="11.75" style="1405" customWidth="1"/>
    <col min="6922" max="6922" width="16.375" style="1405" bestFit="1" customWidth="1"/>
    <col min="6923" max="7168" width="9" style="1405"/>
    <col min="7169" max="7171" width="11.75" style="1405" customWidth="1"/>
    <col min="7172" max="7172" width="12.625" style="1405" bestFit="1" customWidth="1"/>
    <col min="7173" max="7174" width="11.75" style="1405" customWidth="1"/>
    <col min="7175" max="7175" width="15.375" style="1405" customWidth="1"/>
    <col min="7176" max="7177" width="11.75" style="1405" customWidth="1"/>
    <col min="7178" max="7178" width="16.375" style="1405" bestFit="1" customWidth="1"/>
    <col min="7179" max="7424" width="9" style="1405"/>
    <col min="7425" max="7427" width="11.75" style="1405" customWidth="1"/>
    <col min="7428" max="7428" width="12.625" style="1405" bestFit="1" customWidth="1"/>
    <col min="7429" max="7430" width="11.75" style="1405" customWidth="1"/>
    <col min="7431" max="7431" width="15.375" style="1405" customWidth="1"/>
    <col min="7432" max="7433" width="11.75" style="1405" customWidth="1"/>
    <col min="7434" max="7434" width="16.375" style="1405" bestFit="1" customWidth="1"/>
    <col min="7435" max="7680" width="9" style="1405"/>
    <col min="7681" max="7683" width="11.75" style="1405" customWidth="1"/>
    <col min="7684" max="7684" width="12.625" style="1405" bestFit="1" customWidth="1"/>
    <col min="7685" max="7686" width="11.75" style="1405" customWidth="1"/>
    <col min="7687" max="7687" width="15.375" style="1405" customWidth="1"/>
    <col min="7688" max="7689" width="11.75" style="1405" customWidth="1"/>
    <col min="7690" max="7690" width="16.375" style="1405" bestFit="1" customWidth="1"/>
    <col min="7691" max="7936" width="9" style="1405"/>
    <col min="7937" max="7939" width="11.75" style="1405" customWidth="1"/>
    <col min="7940" max="7940" width="12.625" style="1405" bestFit="1" customWidth="1"/>
    <col min="7941" max="7942" width="11.75" style="1405" customWidth="1"/>
    <col min="7943" max="7943" width="15.375" style="1405" customWidth="1"/>
    <col min="7944" max="7945" width="11.75" style="1405" customWidth="1"/>
    <col min="7946" max="7946" width="16.375" style="1405" bestFit="1" customWidth="1"/>
    <col min="7947" max="8192" width="9" style="1405"/>
    <col min="8193" max="8195" width="11.75" style="1405" customWidth="1"/>
    <col min="8196" max="8196" width="12.625" style="1405" bestFit="1" customWidth="1"/>
    <col min="8197" max="8198" width="11.75" style="1405" customWidth="1"/>
    <col min="8199" max="8199" width="15.375" style="1405" customWidth="1"/>
    <col min="8200" max="8201" width="11.75" style="1405" customWidth="1"/>
    <col min="8202" max="8202" width="16.375" style="1405" bestFit="1" customWidth="1"/>
    <col min="8203" max="8448" width="9" style="1405"/>
    <col min="8449" max="8451" width="11.75" style="1405" customWidth="1"/>
    <col min="8452" max="8452" width="12.625" style="1405" bestFit="1" customWidth="1"/>
    <col min="8453" max="8454" width="11.75" style="1405" customWidth="1"/>
    <col min="8455" max="8455" width="15.375" style="1405" customWidth="1"/>
    <col min="8456" max="8457" width="11.75" style="1405" customWidth="1"/>
    <col min="8458" max="8458" width="16.375" style="1405" bestFit="1" customWidth="1"/>
    <col min="8459" max="8704" width="9" style="1405"/>
    <col min="8705" max="8707" width="11.75" style="1405" customWidth="1"/>
    <col min="8708" max="8708" width="12.625" style="1405" bestFit="1" customWidth="1"/>
    <col min="8709" max="8710" width="11.75" style="1405" customWidth="1"/>
    <col min="8711" max="8711" width="15.375" style="1405" customWidth="1"/>
    <col min="8712" max="8713" width="11.75" style="1405" customWidth="1"/>
    <col min="8714" max="8714" width="16.375" style="1405" bestFit="1" customWidth="1"/>
    <col min="8715" max="8960" width="9" style="1405"/>
    <col min="8961" max="8963" width="11.75" style="1405" customWidth="1"/>
    <col min="8964" max="8964" width="12.625" style="1405" bestFit="1" customWidth="1"/>
    <col min="8965" max="8966" width="11.75" style="1405" customWidth="1"/>
    <col min="8967" max="8967" width="15.375" style="1405" customWidth="1"/>
    <col min="8968" max="8969" width="11.75" style="1405" customWidth="1"/>
    <col min="8970" max="8970" width="16.375" style="1405" bestFit="1" customWidth="1"/>
    <col min="8971" max="9216" width="9" style="1405"/>
    <col min="9217" max="9219" width="11.75" style="1405" customWidth="1"/>
    <col min="9220" max="9220" width="12.625" style="1405" bestFit="1" customWidth="1"/>
    <col min="9221" max="9222" width="11.75" style="1405" customWidth="1"/>
    <col min="9223" max="9223" width="15.375" style="1405" customWidth="1"/>
    <col min="9224" max="9225" width="11.75" style="1405" customWidth="1"/>
    <col min="9226" max="9226" width="16.375" style="1405" bestFit="1" customWidth="1"/>
    <col min="9227" max="9472" width="9" style="1405"/>
    <col min="9473" max="9475" width="11.75" style="1405" customWidth="1"/>
    <col min="9476" max="9476" width="12.625" style="1405" bestFit="1" customWidth="1"/>
    <col min="9477" max="9478" width="11.75" style="1405" customWidth="1"/>
    <col min="9479" max="9479" width="15.375" style="1405" customWidth="1"/>
    <col min="9480" max="9481" width="11.75" style="1405" customWidth="1"/>
    <col min="9482" max="9482" width="16.375" style="1405" bestFit="1" customWidth="1"/>
    <col min="9483" max="9728" width="9" style="1405"/>
    <col min="9729" max="9731" width="11.75" style="1405" customWidth="1"/>
    <col min="9732" max="9732" width="12.625" style="1405" bestFit="1" customWidth="1"/>
    <col min="9733" max="9734" width="11.75" style="1405" customWidth="1"/>
    <col min="9735" max="9735" width="15.375" style="1405" customWidth="1"/>
    <col min="9736" max="9737" width="11.75" style="1405" customWidth="1"/>
    <col min="9738" max="9738" width="16.375" style="1405" bestFit="1" customWidth="1"/>
    <col min="9739" max="9984" width="9" style="1405"/>
    <col min="9985" max="9987" width="11.75" style="1405" customWidth="1"/>
    <col min="9988" max="9988" width="12.625" style="1405" bestFit="1" customWidth="1"/>
    <col min="9989" max="9990" width="11.75" style="1405" customWidth="1"/>
    <col min="9991" max="9991" width="15.375" style="1405" customWidth="1"/>
    <col min="9992" max="9993" width="11.75" style="1405" customWidth="1"/>
    <col min="9994" max="9994" width="16.375" style="1405" bestFit="1" customWidth="1"/>
    <col min="9995" max="10240" width="9" style="1405"/>
    <col min="10241" max="10243" width="11.75" style="1405" customWidth="1"/>
    <col min="10244" max="10244" width="12.625" style="1405" bestFit="1" customWidth="1"/>
    <col min="10245" max="10246" width="11.75" style="1405" customWidth="1"/>
    <col min="10247" max="10247" width="15.375" style="1405" customWidth="1"/>
    <col min="10248" max="10249" width="11.75" style="1405" customWidth="1"/>
    <col min="10250" max="10250" width="16.375" style="1405" bestFit="1" customWidth="1"/>
    <col min="10251" max="10496" width="9" style="1405"/>
    <col min="10497" max="10499" width="11.75" style="1405" customWidth="1"/>
    <col min="10500" max="10500" width="12.625" style="1405" bestFit="1" customWidth="1"/>
    <col min="10501" max="10502" width="11.75" style="1405" customWidth="1"/>
    <col min="10503" max="10503" width="15.375" style="1405" customWidth="1"/>
    <col min="10504" max="10505" width="11.75" style="1405" customWidth="1"/>
    <col min="10506" max="10506" width="16.375" style="1405" bestFit="1" customWidth="1"/>
    <col min="10507" max="10752" width="9" style="1405"/>
    <col min="10753" max="10755" width="11.75" style="1405" customWidth="1"/>
    <col min="10756" max="10756" width="12.625" style="1405" bestFit="1" customWidth="1"/>
    <col min="10757" max="10758" width="11.75" style="1405" customWidth="1"/>
    <col min="10759" max="10759" width="15.375" style="1405" customWidth="1"/>
    <col min="10760" max="10761" width="11.75" style="1405" customWidth="1"/>
    <col min="10762" max="10762" width="16.375" style="1405" bestFit="1" customWidth="1"/>
    <col min="10763" max="11008" width="9" style="1405"/>
    <col min="11009" max="11011" width="11.75" style="1405" customWidth="1"/>
    <col min="11012" max="11012" width="12.625" style="1405" bestFit="1" customWidth="1"/>
    <col min="11013" max="11014" width="11.75" style="1405" customWidth="1"/>
    <col min="11015" max="11015" width="15.375" style="1405" customWidth="1"/>
    <col min="11016" max="11017" width="11.75" style="1405" customWidth="1"/>
    <col min="11018" max="11018" width="16.375" style="1405" bestFit="1" customWidth="1"/>
    <col min="11019" max="11264" width="9" style="1405"/>
    <col min="11265" max="11267" width="11.75" style="1405" customWidth="1"/>
    <col min="11268" max="11268" width="12.625" style="1405" bestFit="1" customWidth="1"/>
    <col min="11269" max="11270" width="11.75" style="1405" customWidth="1"/>
    <col min="11271" max="11271" width="15.375" style="1405" customWidth="1"/>
    <col min="11272" max="11273" width="11.75" style="1405" customWidth="1"/>
    <col min="11274" max="11274" width="16.375" style="1405" bestFit="1" customWidth="1"/>
    <col min="11275" max="11520" width="9" style="1405"/>
    <col min="11521" max="11523" width="11.75" style="1405" customWidth="1"/>
    <col min="11524" max="11524" width="12.625" style="1405" bestFit="1" customWidth="1"/>
    <col min="11525" max="11526" width="11.75" style="1405" customWidth="1"/>
    <col min="11527" max="11527" width="15.375" style="1405" customWidth="1"/>
    <col min="11528" max="11529" width="11.75" style="1405" customWidth="1"/>
    <col min="11530" max="11530" width="16.375" style="1405" bestFit="1" customWidth="1"/>
    <col min="11531" max="11776" width="9" style="1405"/>
    <col min="11777" max="11779" width="11.75" style="1405" customWidth="1"/>
    <col min="11780" max="11780" width="12.625" style="1405" bestFit="1" customWidth="1"/>
    <col min="11781" max="11782" width="11.75" style="1405" customWidth="1"/>
    <col min="11783" max="11783" width="15.375" style="1405" customWidth="1"/>
    <col min="11784" max="11785" width="11.75" style="1405" customWidth="1"/>
    <col min="11786" max="11786" width="16.375" style="1405" bestFit="1" customWidth="1"/>
    <col min="11787" max="12032" width="9" style="1405"/>
    <col min="12033" max="12035" width="11.75" style="1405" customWidth="1"/>
    <col min="12036" max="12036" width="12.625" style="1405" bestFit="1" customWidth="1"/>
    <col min="12037" max="12038" width="11.75" style="1405" customWidth="1"/>
    <col min="12039" max="12039" width="15.375" style="1405" customWidth="1"/>
    <col min="12040" max="12041" width="11.75" style="1405" customWidth="1"/>
    <col min="12042" max="12042" width="16.375" style="1405" bestFit="1" customWidth="1"/>
    <col min="12043" max="12288" width="9" style="1405"/>
    <col min="12289" max="12291" width="11.75" style="1405" customWidth="1"/>
    <col min="12292" max="12292" width="12.625" style="1405" bestFit="1" customWidth="1"/>
    <col min="12293" max="12294" width="11.75" style="1405" customWidth="1"/>
    <col min="12295" max="12295" width="15.375" style="1405" customWidth="1"/>
    <col min="12296" max="12297" width="11.75" style="1405" customWidth="1"/>
    <col min="12298" max="12298" width="16.375" style="1405" bestFit="1" customWidth="1"/>
    <col min="12299" max="12544" width="9" style="1405"/>
    <col min="12545" max="12547" width="11.75" style="1405" customWidth="1"/>
    <col min="12548" max="12548" width="12.625" style="1405" bestFit="1" customWidth="1"/>
    <col min="12549" max="12550" width="11.75" style="1405" customWidth="1"/>
    <col min="12551" max="12551" width="15.375" style="1405" customWidth="1"/>
    <col min="12552" max="12553" width="11.75" style="1405" customWidth="1"/>
    <col min="12554" max="12554" width="16.375" style="1405" bestFit="1" customWidth="1"/>
    <col min="12555" max="12800" width="9" style="1405"/>
    <col min="12801" max="12803" width="11.75" style="1405" customWidth="1"/>
    <col min="12804" max="12804" width="12.625" style="1405" bestFit="1" customWidth="1"/>
    <col min="12805" max="12806" width="11.75" style="1405" customWidth="1"/>
    <col min="12807" max="12807" width="15.375" style="1405" customWidth="1"/>
    <col min="12808" max="12809" width="11.75" style="1405" customWidth="1"/>
    <col min="12810" max="12810" width="16.375" style="1405" bestFit="1" customWidth="1"/>
    <col min="12811" max="13056" width="9" style="1405"/>
    <col min="13057" max="13059" width="11.75" style="1405" customWidth="1"/>
    <col min="13060" max="13060" width="12.625" style="1405" bestFit="1" customWidth="1"/>
    <col min="13061" max="13062" width="11.75" style="1405" customWidth="1"/>
    <col min="13063" max="13063" width="15.375" style="1405" customWidth="1"/>
    <col min="13064" max="13065" width="11.75" style="1405" customWidth="1"/>
    <col min="13066" max="13066" width="16.375" style="1405" bestFit="1" customWidth="1"/>
    <col min="13067" max="13312" width="9" style="1405"/>
    <col min="13313" max="13315" width="11.75" style="1405" customWidth="1"/>
    <col min="13316" max="13316" width="12.625" style="1405" bestFit="1" customWidth="1"/>
    <col min="13317" max="13318" width="11.75" style="1405" customWidth="1"/>
    <col min="13319" max="13319" width="15.375" style="1405" customWidth="1"/>
    <col min="13320" max="13321" width="11.75" style="1405" customWidth="1"/>
    <col min="13322" max="13322" width="16.375" style="1405" bestFit="1" customWidth="1"/>
    <col min="13323" max="13568" width="9" style="1405"/>
    <col min="13569" max="13571" width="11.75" style="1405" customWidth="1"/>
    <col min="13572" max="13572" width="12.625" style="1405" bestFit="1" customWidth="1"/>
    <col min="13573" max="13574" width="11.75" style="1405" customWidth="1"/>
    <col min="13575" max="13575" width="15.375" style="1405" customWidth="1"/>
    <col min="13576" max="13577" width="11.75" style="1405" customWidth="1"/>
    <col min="13578" max="13578" width="16.375" style="1405" bestFit="1" customWidth="1"/>
    <col min="13579" max="13824" width="9" style="1405"/>
    <col min="13825" max="13827" width="11.75" style="1405" customWidth="1"/>
    <col min="13828" max="13828" width="12.625" style="1405" bestFit="1" customWidth="1"/>
    <col min="13829" max="13830" width="11.75" style="1405" customWidth="1"/>
    <col min="13831" max="13831" width="15.375" style="1405" customWidth="1"/>
    <col min="13832" max="13833" width="11.75" style="1405" customWidth="1"/>
    <col min="13834" max="13834" width="16.375" style="1405" bestFit="1" customWidth="1"/>
    <col min="13835" max="14080" width="9" style="1405"/>
    <col min="14081" max="14083" width="11.75" style="1405" customWidth="1"/>
    <col min="14084" max="14084" width="12.625" style="1405" bestFit="1" customWidth="1"/>
    <col min="14085" max="14086" width="11.75" style="1405" customWidth="1"/>
    <col min="14087" max="14087" width="15.375" style="1405" customWidth="1"/>
    <col min="14088" max="14089" width="11.75" style="1405" customWidth="1"/>
    <col min="14090" max="14090" width="16.375" style="1405" bestFit="1" customWidth="1"/>
    <col min="14091" max="14336" width="9" style="1405"/>
    <col min="14337" max="14339" width="11.75" style="1405" customWidth="1"/>
    <col min="14340" max="14340" width="12.625" style="1405" bestFit="1" customWidth="1"/>
    <col min="14341" max="14342" width="11.75" style="1405" customWidth="1"/>
    <col min="14343" max="14343" width="15.375" style="1405" customWidth="1"/>
    <col min="14344" max="14345" width="11.75" style="1405" customWidth="1"/>
    <col min="14346" max="14346" width="16.375" style="1405" bestFit="1" customWidth="1"/>
    <col min="14347" max="14592" width="9" style="1405"/>
    <col min="14593" max="14595" width="11.75" style="1405" customWidth="1"/>
    <col min="14596" max="14596" width="12.625" style="1405" bestFit="1" customWidth="1"/>
    <col min="14597" max="14598" width="11.75" style="1405" customWidth="1"/>
    <col min="14599" max="14599" width="15.375" style="1405" customWidth="1"/>
    <col min="14600" max="14601" width="11.75" style="1405" customWidth="1"/>
    <col min="14602" max="14602" width="16.375" style="1405" bestFit="1" customWidth="1"/>
    <col min="14603" max="14848" width="9" style="1405"/>
    <col min="14849" max="14851" width="11.75" style="1405" customWidth="1"/>
    <col min="14852" max="14852" width="12.625" style="1405" bestFit="1" customWidth="1"/>
    <col min="14853" max="14854" width="11.75" style="1405" customWidth="1"/>
    <col min="14855" max="14855" width="15.375" style="1405" customWidth="1"/>
    <col min="14856" max="14857" width="11.75" style="1405" customWidth="1"/>
    <col min="14858" max="14858" width="16.375" style="1405" bestFit="1" customWidth="1"/>
    <col min="14859" max="15104" width="9" style="1405"/>
    <col min="15105" max="15107" width="11.75" style="1405" customWidth="1"/>
    <col min="15108" max="15108" width="12.625" style="1405" bestFit="1" customWidth="1"/>
    <col min="15109" max="15110" width="11.75" style="1405" customWidth="1"/>
    <col min="15111" max="15111" width="15.375" style="1405" customWidth="1"/>
    <col min="15112" max="15113" width="11.75" style="1405" customWidth="1"/>
    <col min="15114" max="15114" width="16.375" style="1405" bestFit="1" customWidth="1"/>
    <col min="15115" max="15360" width="9" style="1405"/>
    <col min="15361" max="15363" width="11.75" style="1405" customWidth="1"/>
    <col min="15364" max="15364" width="12.625" style="1405" bestFit="1" customWidth="1"/>
    <col min="15365" max="15366" width="11.75" style="1405" customWidth="1"/>
    <col min="15367" max="15367" width="15.375" style="1405" customWidth="1"/>
    <col min="15368" max="15369" width="11.75" style="1405" customWidth="1"/>
    <col min="15370" max="15370" width="16.375" style="1405" bestFit="1" customWidth="1"/>
    <col min="15371" max="15616" width="9" style="1405"/>
    <col min="15617" max="15619" width="11.75" style="1405" customWidth="1"/>
    <col min="15620" max="15620" width="12.625" style="1405" bestFit="1" customWidth="1"/>
    <col min="15621" max="15622" width="11.75" style="1405" customWidth="1"/>
    <col min="15623" max="15623" width="15.375" style="1405" customWidth="1"/>
    <col min="15624" max="15625" width="11.75" style="1405" customWidth="1"/>
    <col min="15626" max="15626" width="16.375" style="1405" bestFit="1" customWidth="1"/>
    <col min="15627" max="15872" width="9" style="1405"/>
    <col min="15873" max="15875" width="11.75" style="1405" customWidth="1"/>
    <col min="15876" max="15876" width="12.625" style="1405" bestFit="1" customWidth="1"/>
    <col min="15877" max="15878" width="11.75" style="1405" customWidth="1"/>
    <col min="15879" max="15879" width="15.375" style="1405" customWidth="1"/>
    <col min="15880" max="15881" width="11.75" style="1405" customWidth="1"/>
    <col min="15882" max="15882" width="16.375" style="1405" bestFit="1" customWidth="1"/>
    <col min="15883" max="16128" width="9" style="1405"/>
    <col min="16129" max="16131" width="11.75" style="1405" customWidth="1"/>
    <col min="16132" max="16132" width="12.625" style="1405" bestFit="1" customWidth="1"/>
    <col min="16133" max="16134" width="11.75" style="1405" customWidth="1"/>
    <col min="16135" max="16135" width="15.375" style="1405" customWidth="1"/>
    <col min="16136" max="16137" width="11.75" style="1405" customWidth="1"/>
    <col min="16138" max="16138" width="16.375" style="1405" bestFit="1" customWidth="1"/>
    <col min="16139" max="16384" width="9" style="1405"/>
  </cols>
  <sheetData>
    <row r="1" spans="1:15">
      <c r="A1" s="3511" t="s">
        <v>3252</v>
      </c>
      <c r="B1" s="3512"/>
      <c r="C1" s="3512"/>
      <c r="D1" s="3512"/>
      <c r="E1" s="3512"/>
      <c r="F1" s="3512"/>
      <c r="G1" s="3512"/>
      <c r="H1" s="3512"/>
      <c r="I1" s="3512"/>
      <c r="J1" s="3512"/>
    </row>
    <row r="3" spans="1:15">
      <c r="A3" s="3513" t="s">
        <v>3253</v>
      </c>
      <c r="B3" s="3512"/>
      <c r="C3" s="3512"/>
      <c r="D3" s="3512"/>
      <c r="E3" s="3512"/>
      <c r="F3" s="3512"/>
      <c r="G3" s="3512"/>
      <c r="H3" s="3512"/>
      <c r="I3" s="3512"/>
      <c r="J3" s="3512"/>
    </row>
    <row r="4" spans="1:15" ht="15">
      <c r="A4" s="3119"/>
      <c r="B4" s="3119"/>
      <c r="C4" s="3119"/>
      <c r="D4" s="3119"/>
      <c r="E4" s="3514"/>
      <c r="F4" s="3515"/>
      <c r="G4" s="3516"/>
      <c r="H4" s="3515"/>
      <c r="I4" s="3515"/>
      <c r="J4" s="3515"/>
    </row>
    <row r="5" spans="1:15" ht="15">
      <c r="A5" s="3514" t="s">
        <v>3254</v>
      </c>
      <c r="B5" s="3514" t="s">
        <v>3255</v>
      </c>
      <c r="C5" s="3514" t="s">
        <v>3256</v>
      </c>
      <c r="D5" s="3119"/>
      <c r="E5" s="3514" t="s">
        <v>3257</v>
      </c>
      <c r="F5" s="3515"/>
      <c r="G5" s="3516"/>
      <c r="H5" s="3515"/>
      <c r="I5" s="3515"/>
      <c r="J5" s="3516"/>
    </row>
    <row r="6" spans="1:15" ht="15">
      <c r="A6" s="3517"/>
      <c r="B6" s="3517"/>
      <c r="C6" s="3517"/>
      <c r="D6" s="3120" t="s">
        <v>3258</v>
      </c>
      <c r="E6" s="3119" t="s">
        <v>3259</v>
      </c>
      <c r="F6" s="3119" t="s">
        <v>3260</v>
      </c>
      <c r="G6" s="3119" t="s">
        <v>3261</v>
      </c>
      <c r="H6" s="3119" t="s">
        <v>3262</v>
      </c>
      <c r="I6" s="3119" t="s">
        <v>3263</v>
      </c>
      <c r="J6" s="3119" t="s">
        <v>3264</v>
      </c>
      <c r="K6" s="3132" t="s">
        <v>3324</v>
      </c>
    </row>
    <row r="7" spans="1:15" ht="16.5">
      <c r="A7" s="3502" t="s">
        <v>3265</v>
      </c>
      <c r="B7" s="3505" t="s">
        <v>3266</v>
      </c>
      <c r="C7" s="3508" t="s">
        <v>3267</v>
      </c>
      <c r="D7" s="3121" t="s">
        <v>3268</v>
      </c>
      <c r="E7" s="3122">
        <v>60</v>
      </c>
      <c r="F7" s="3123">
        <v>5024.5200000000004</v>
      </c>
      <c r="G7" s="3123">
        <v>107421495</v>
      </c>
      <c r="H7" s="3122">
        <v>59</v>
      </c>
      <c r="I7" s="3123">
        <v>4935.8599999999997</v>
      </c>
      <c r="J7" s="3123">
        <v>105556531</v>
      </c>
      <c r="K7" s="1405">
        <f>Sheet1!C9</f>
        <v>5024.75</v>
      </c>
      <c r="L7" s="3133">
        <f>ROUND(F7-I7,2)</f>
        <v>88.66</v>
      </c>
      <c r="M7" s="1405">
        <f>G7/F7</f>
        <v>21379.454156814976</v>
      </c>
    </row>
    <row r="8" spans="1:15" ht="16.5">
      <c r="A8" s="3503"/>
      <c r="B8" s="3506"/>
      <c r="C8" s="3509"/>
      <c r="D8" s="3121" t="s">
        <v>3269</v>
      </c>
      <c r="E8" s="3122">
        <v>42</v>
      </c>
      <c r="F8" s="3123">
        <v>4480.4399999999996</v>
      </c>
      <c r="G8" s="3123">
        <v>90727239</v>
      </c>
      <c r="H8" s="3122">
        <v>34</v>
      </c>
      <c r="I8" s="3123">
        <v>3529.49</v>
      </c>
      <c r="J8" s="3123">
        <v>71303141</v>
      </c>
      <c r="K8" s="1405">
        <f>Sheet1!C10</f>
        <v>4480.5</v>
      </c>
      <c r="L8" s="3133">
        <f t="shared" ref="L8:L25" si="0">ROUND(F8-I8,2)</f>
        <v>950.95</v>
      </c>
      <c r="M8" s="3155">
        <f t="shared" ref="M8:M25" si="1">G8/F8</f>
        <v>20249.627045558027</v>
      </c>
      <c r="O8" s="3118"/>
    </row>
    <row r="9" spans="1:15" ht="16.5">
      <c r="A9" s="3503"/>
      <c r="B9" s="3506"/>
      <c r="C9" s="3509"/>
      <c r="D9" s="3121" t="s">
        <v>3270</v>
      </c>
      <c r="E9" s="3122">
        <v>36</v>
      </c>
      <c r="F9" s="3123">
        <v>3382.34</v>
      </c>
      <c r="G9" s="3123">
        <v>69508359</v>
      </c>
      <c r="H9" s="3122">
        <v>35</v>
      </c>
      <c r="I9" s="3123">
        <v>3278.17</v>
      </c>
      <c r="J9" s="3123">
        <v>67625677</v>
      </c>
      <c r="K9" s="1405">
        <f>Sheet1!C11</f>
        <v>3382.28</v>
      </c>
      <c r="L9" s="3133">
        <f t="shared" si="0"/>
        <v>104.17</v>
      </c>
      <c r="M9" s="3155">
        <f t="shared" si="1"/>
        <v>20550.376071004095</v>
      </c>
      <c r="O9" s="3118"/>
    </row>
    <row r="10" spans="1:15" ht="16.5">
      <c r="A10" s="3503"/>
      <c r="B10" s="3506"/>
      <c r="C10" s="3509"/>
      <c r="D10" s="3121" t="s">
        <v>3271</v>
      </c>
      <c r="E10" s="3122">
        <v>36</v>
      </c>
      <c r="F10" s="3123">
        <v>3379.04</v>
      </c>
      <c r="G10" s="3123">
        <v>69908443</v>
      </c>
      <c r="H10" s="3122">
        <v>36</v>
      </c>
      <c r="I10" s="3123">
        <v>3379.04</v>
      </c>
      <c r="J10" s="3123">
        <v>69908443</v>
      </c>
      <c r="K10" s="1405">
        <f>Sheet1!C12</f>
        <v>3379.05</v>
      </c>
      <c r="L10" s="3133">
        <f t="shared" si="0"/>
        <v>0</v>
      </c>
      <c r="M10" s="3155">
        <f t="shared" si="1"/>
        <v>20688.84742412046</v>
      </c>
      <c r="O10" s="3118"/>
    </row>
    <row r="11" spans="1:15" ht="16.5">
      <c r="A11" s="3503"/>
      <c r="B11" s="3506"/>
      <c r="C11" s="3509"/>
      <c r="D11" s="3121" t="s">
        <v>3272</v>
      </c>
      <c r="E11" s="3122">
        <v>42</v>
      </c>
      <c r="F11" s="3123">
        <v>4480.4399999999996</v>
      </c>
      <c r="G11" s="3123">
        <v>89845411</v>
      </c>
      <c r="H11" s="3122">
        <v>29</v>
      </c>
      <c r="I11" s="3123">
        <v>3010.39</v>
      </c>
      <c r="J11" s="3123">
        <v>60490623</v>
      </c>
      <c r="K11" s="1405">
        <f>Sheet1!C13</f>
        <v>4480.5</v>
      </c>
      <c r="L11" s="3133">
        <f t="shared" si="0"/>
        <v>1470.05</v>
      </c>
      <c r="M11" s="3155">
        <f t="shared" si="1"/>
        <v>20052.809768683434</v>
      </c>
      <c r="O11" s="3118"/>
    </row>
    <row r="12" spans="1:15" ht="16.5">
      <c r="A12" s="3503"/>
      <c r="B12" s="3506"/>
      <c r="C12" s="3509"/>
      <c r="D12" s="3121" t="s">
        <v>3273</v>
      </c>
      <c r="E12" s="3122">
        <v>42</v>
      </c>
      <c r="F12" s="3123">
        <v>4480.4399999999996</v>
      </c>
      <c r="G12" s="3123">
        <v>90006151</v>
      </c>
      <c r="H12" s="3122">
        <v>37</v>
      </c>
      <c r="I12" s="3123">
        <v>3860.99</v>
      </c>
      <c r="J12" s="3123">
        <v>77524173</v>
      </c>
      <c r="K12" s="1405">
        <f>Sheet1!C14</f>
        <v>4480.5</v>
      </c>
      <c r="L12" s="3133">
        <f t="shared" si="0"/>
        <v>619.45000000000005</v>
      </c>
      <c r="M12" s="3155">
        <f t="shared" si="1"/>
        <v>20088.685709439254</v>
      </c>
      <c r="O12" s="3118"/>
    </row>
    <row r="13" spans="1:15" ht="16.5">
      <c r="A13" s="3503"/>
      <c r="B13" s="3506"/>
      <c r="C13" s="3509"/>
      <c r="D13" s="3121" t="s">
        <v>3274</v>
      </c>
      <c r="E13" s="3122">
        <v>42</v>
      </c>
      <c r="F13" s="3123">
        <v>5144.92</v>
      </c>
      <c r="G13" s="3123">
        <v>103838946</v>
      </c>
      <c r="H13" s="3122">
        <v>25</v>
      </c>
      <c r="I13" s="3123">
        <v>2913</v>
      </c>
      <c r="J13" s="3123">
        <v>58235122</v>
      </c>
      <c r="K13" s="1405">
        <f>Sheet1!C15</f>
        <v>5145.08</v>
      </c>
      <c r="L13" s="3133">
        <f t="shared" si="0"/>
        <v>2231.92</v>
      </c>
      <c r="M13" s="3155">
        <f t="shared" si="1"/>
        <v>20182.810617074705</v>
      </c>
      <c r="O13" s="3118"/>
    </row>
    <row r="14" spans="1:15" ht="16.5">
      <c r="A14" s="3503"/>
      <c r="B14" s="3506"/>
      <c r="C14" s="3509"/>
      <c r="D14" s="3121" t="s">
        <v>3275</v>
      </c>
      <c r="E14" s="3122">
        <v>0</v>
      </c>
      <c r="F14" s="3123">
        <v>0</v>
      </c>
      <c r="G14" s="3123">
        <v>0</v>
      </c>
      <c r="H14" s="3122">
        <v>0</v>
      </c>
      <c r="I14" s="3123">
        <v>0</v>
      </c>
      <c r="J14" s="3123">
        <v>0</v>
      </c>
      <c r="K14" s="1405">
        <f>Sheet1!C23</f>
        <v>5134.96</v>
      </c>
      <c r="L14" s="3133">
        <f>K14</f>
        <v>5134.96</v>
      </c>
      <c r="M14" s="3155"/>
      <c r="O14" s="3118"/>
    </row>
    <row r="15" spans="1:15" ht="16.5">
      <c r="A15" s="3503"/>
      <c r="B15" s="3506"/>
      <c r="C15" s="3509"/>
      <c r="D15" s="3121" t="s">
        <v>3276</v>
      </c>
      <c r="E15" s="3122">
        <v>60</v>
      </c>
      <c r="F15" s="3123">
        <v>5188.03</v>
      </c>
      <c r="G15" s="3123">
        <v>103911630</v>
      </c>
      <c r="H15" s="3122">
        <v>55</v>
      </c>
      <c r="I15" s="3123">
        <v>4743.6400000000003</v>
      </c>
      <c r="J15" s="3123">
        <v>95281561</v>
      </c>
      <c r="K15" s="1405">
        <f>Sheet1!C20</f>
        <v>5188.26</v>
      </c>
      <c r="L15" s="3133">
        <f t="shared" si="0"/>
        <v>444.39</v>
      </c>
      <c r="M15" s="3155">
        <f t="shared" si="1"/>
        <v>20029.111242610394</v>
      </c>
      <c r="O15" s="3118"/>
    </row>
    <row r="16" spans="1:15" ht="16.5">
      <c r="A16" s="3503"/>
      <c r="B16" s="3506"/>
      <c r="C16" s="3509"/>
      <c r="D16" s="3121" t="s">
        <v>3277</v>
      </c>
      <c r="E16" s="3122">
        <v>0</v>
      </c>
      <c r="F16" s="3123">
        <v>0</v>
      </c>
      <c r="G16" s="3123">
        <v>0</v>
      </c>
      <c r="H16" s="3122">
        <v>0</v>
      </c>
      <c r="I16" s="3123">
        <v>0</v>
      </c>
      <c r="J16" s="3123">
        <v>0</v>
      </c>
      <c r="K16" s="1405">
        <f>Sheet1!C24</f>
        <v>5134.96</v>
      </c>
      <c r="L16" s="3133">
        <f>K16</f>
        <v>5134.96</v>
      </c>
      <c r="M16" s="3155"/>
      <c r="O16" s="3118"/>
    </row>
    <row r="17" spans="1:15" ht="16.5">
      <c r="A17" s="3503"/>
      <c r="B17" s="3506"/>
      <c r="C17" s="3509"/>
      <c r="D17" s="3121" t="s">
        <v>3278</v>
      </c>
      <c r="E17" s="3122">
        <v>60</v>
      </c>
      <c r="F17" s="3123">
        <v>5187.58</v>
      </c>
      <c r="G17" s="3123">
        <v>103978697</v>
      </c>
      <c r="H17" s="3122">
        <v>25</v>
      </c>
      <c r="I17" s="3123">
        <v>2077.83</v>
      </c>
      <c r="J17" s="3123">
        <v>42187779</v>
      </c>
      <c r="K17" s="1405">
        <f>Sheet1!C25</f>
        <v>5188.1400000000003</v>
      </c>
      <c r="L17" s="3133">
        <f t="shared" si="0"/>
        <v>3109.75</v>
      </c>
      <c r="M17" s="3155">
        <f t="shared" si="1"/>
        <v>20043.777059823657</v>
      </c>
      <c r="O17" s="3118"/>
    </row>
    <row r="18" spans="1:15" ht="16.5">
      <c r="A18" s="3503"/>
      <c r="B18" s="3506"/>
      <c r="C18" s="3509"/>
      <c r="D18" s="3121" t="s">
        <v>3279</v>
      </c>
      <c r="E18" s="3122">
        <v>56</v>
      </c>
      <c r="F18" s="3123">
        <v>4934.8599999999997</v>
      </c>
      <c r="G18" s="3123">
        <v>102133562</v>
      </c>
      <c r="H18" s="3122">
        <v>56</v>
      </c>
      <c r="I18" s="3123">
        <v>4934.8599999999997</v>
      </c>
      <c r="J18" s="3123">
        <v>102133562</v>
      </c>
      <c r="K18" s="1405">
        <f>Sheet1!C3</f>
        <v>5014.83</v>
      </c>
      <c r="L18" s="3133">
        <f t="shared" si="0"/>
        <v>0</v>
      </c>
      <c r="M18" s="3155">
        <f t="shared" si="1"/>
        <v>20696.344374511133</v>
      </c>
      <c r="O18" s="3118"/>
    </row>
    <row r="19" spans="1:15" ht="16.5">
      <c r="A19" s="3503"/>
      <c r="B19" s="3506"/>
      <c r="C19" s="3509"/>
      <c r="D19" s="3121" t="s">
        <v>3280</v>
      </c>
      <c r="E19" s="3122">
        <v>42</v>
      </c>
      <c r="F19" s="3123">
        <v>5139.32</v>
      </c>
      <c r="G19" s="3123">
        <v>102411852</v>
      </c>
      <c r="H19" s="3122">
        <v>17</v>
      </c>
      <c r="I19" s="3123">
        <v>1994.57</v>
      </c>
      <c r="J19" s="3123">
        <v>39750953</v>
      </c>
      <c r="K19" s="1405">
        <f>Sheet1!C21</f>
        <v>5139.4399999999996</v>
      </c>
      <c r="L19" s="3133">
        <f t="shared" si="0"/>
        <v>3144.75</v>
      </c>
      <c r="M19" s="3155">
        <f t="shared" si="1"/>
        <v>19927.121097732776</v>
      </c>
      <c r="O19" s="3118"/>
    </row>
    <row r="20" spans="1:15" ht="16.5">
      <c r="A20" s="3503"/>
      <c r="B20" s="3506"/>
      <c r="C20" s="3509"/>
      <c r="D20" s="3121" t="s">
        <v>3281</v>
      </c>
      <c r="E20" s="3122">
        <v>56</v>
      </c>
      <c r="F20" s="3123">
        <v>5450.49</v>
      </c>
      <c r="G20" s="3123">
        <v>113127980</v>
      </c>
      <c r="H20" s="3122">
        <v>54</v>
      </c>
      <c r="I20" s="3123">
        <v>5221.6499999999996</v>
      </c>
      <c r="J20" s="3123">
        <v>108513358</v>
      </c>
      <c r="K20" s="1405">
        <f>Sheet1!C4</f>
        <v>5450.68</v>
      </c>
      <c r="L20" s="3133">
        <f t="shared" si="0"/>
        <v>228.84</v>
      </c>
      <c r="M20" s="3155">
        <f t="shared" si="1"/>
        <v>20755.561426587334</v>
      </c>
      <c r="O20" s="3118"/>
    </row>
    <row r="21" spans="1:15" ht="16.5">
      <c r="A21" s="3503"/>
      <c r="B21" s="3506"/>
      <c r="C21" s="3509"/>
      <c r="D21" s="3121" t="s">
        <v>3282</v>
      </c>
      <c r="E21" s="3122">
        <v>42</v>
      </c>
      <c r="F21" s="3123">
        <v>5139.32</v>
      </c>
      <c r="G21" s="3123">
        <v>102978011</v>
      </c>
      <c r="H21" s="3122">
        <v>24</v>
      </c>
      <c r="I21" s="3123">
        <v>2838.1</v>
      </c>
      <c r="J21" s="3123">
        <v>57033822</v>
      </c>
      <c r="K21" s="1405">
        <f>Sheet1!C22</f>
        <v>5139.4399999999996</v>
      </c>
      <c r="L21" s="3133">
        <f t="shared" si="0"/>
        <v>2301.2199999999998</v>
      </c>
      <c r="M21" s="3155">
        <f t="shared" si="1"/>
        <v>20037.283337095181</v>
      </c>
      <c r="O21" s="3118"/>
    </row>
    <row r="22" spans="1:15" ht="16.5">
      <c r="A22" s="3503"/>
      <c r="B22" s="3506"/>
      <c r="C22" s="3509"/>
      <c r="D22" s="3121" t="s">
        <v>3283</v>
      </c>
      <c r="E22" s="3122">
        <v>56</v>
      </c>
      <c r="F22" s="3123">
        <v>5450.49</v>
      </c>
      <c r="G22" s="3123">
        <v>111634412</v>
      </c>
      <c r="H22" s="3122">
        <v>49</v>
      </c>
      <c r="I22" s="3123">
        <v>4733.53</v>
      </c>
      <c r="J22" s="3123">
        <v>96892802</v>
      </c>
      <c r="K22" s="1405">
        <f>Sheet1!C5</f>
        <v>5450.68</v>
      </c>
      <c r="L22" s="3133">
        <f t="shared" si="0"/>
        <v>716.96</v>
      </c>
      <c r="M22" s="3155">
        <f t="shared" si="1"/>
        <v>20481.536889343894</v>
      </c>
      <c r="O22" s="3118"/>
    </row>
    <row r="23" spans="1:15" ht="16.5">
      <c r="A23" s="3503"/>
      <c r="B23" s="3506"/>
      <c r="C23" s="3509"/>
      <c r="D23" s="3121" t="s">
        <v>3284</v>
      </c>
      <c r="E23" s="3122">
        <v>42</v>
      </c>
      <c r="F23" s="3123">
        <v>5145.2</v>
      </c>
      <c r="G23" s="3123">
        <v>103296549</v>
      </c>
      <c r="H23" s="3122">
        <v>36</v>
      </c>
      <c r="I23" s="3123">
        <v>4319.1499999999996</v>
      </c>
      <c r="J23" s="3123">
        <v>86462235</v>
      </c>
      <c r="K23" s="1405">
        <f>Sheet1!C6</f>
        <v>5145.17</v>
      </c>
      <c r="L23" s="3133">
        <f t="shared" si="0"/>
        <v>826.05</v>
      </c>
      <c r="M23" s="3155">
        <f t="shared" si="1"/>
        <v>20076.294215968283</v>
      </c>
      <c r="O23" s="3118"/>
    </row>
    <row r="24" spans="1:15" ht="16.5">
      <c r="A24" s="3503"/>
      <c r="B24" s="3506"/>
      <c r="C24" s="3509"/>
      <c r="D24" s="3121" t="s">
        <v>3285</v>
      </c>
      <c r="E24" s="3122">
        <v>70</v>
      </c>
      <c r="F24" s="3123">
        <v>5846.96</v>
      </c>
      <c r="G24" s="3123">
        <v>124876215</v>
      </c>
      <c r="H24" s="3122">
        <v>67</v>
      </c>
      <c r="I24" s="3123">
        <v>5605.81</v>
      </c>
      <c r="J24" s="3123">
        <v>119809153</v>
      </c>
      <c r="K24" s="1405">
        <f>Sheet1!C7</f>
        <v>5847.11</v>
      </c>
      <c r="L24" s="3133">
        <f t="shared" si="0"/>
        <v>241.15</v>
      </c>
      <c r="M24" s="3155">
        <f t="shared" si="1"/>
        <v>21357.460116026105</v>
      </c>
      <c r="O24" s="3118"/>
    </row>
    <row r="25" spans="1:15" ht="16.5">
      <c r="A25" s="3503"/>
      <c r="B25" s="3506"/>
      <c r="C25" s="3510"/>
      <c r="D25" s="3121" t="s">
        <v>3286</v>
      </c>
      <c r="E25" s="3122">
        <v>42</v>
      </c>
      <c r="F25" s="3123">
        <v>4480.4399999999996</v>
      </c>
      <c r="G25" s="3123">
        <v>91029667</v>
      </c>
      <c r="H25" s="3122">
        <v>34</v>
      </c>
      <c r="I25" s="3123">
        <v>3549.41</v>
      </c>
      <c r="J25" s="3123">
        <v>72503036</v>
      </c>
      <c r="K25" s="1405">
        <f>Sheet1!C8</f>
        <v>4480.5</v>
      </c>
      <c r="L25" s="3133">
        <f t="shared" si="0"/>
        <v>931.03</v>
      </c>
      <c r="M25" s="3155">
        <f t="shared" si="1"/>
        <v>20317.126666131007</v>
      </c>
      <c r="O25" s="3118"/>
    </row>
    <row r="26" spans="1:15" ht="16.5">
      <c r="A26" s="3503"/>
      <c r="B26" s="3507"/>
      <c r="C26" s="3124" t="s">
        <v>3287</v>
      </c>
      <c r="D26" s="3124"/>
      <c r="E26" s="3124">
        <v>826</v>
      </c>
      <c r="F26" s="3125">
        <v>82334.83</v>
      </c>
      <c r="G26" s="3125">
        <v>1680634619</v>
      </c>
      <c r="H26" s="3124">
        <v>672</v>
      </c>
      <c r="I26" s="3125">
        <v>64925.49</v>
      </c>
      <c r="J26" s="3125">
        <v>1331211971</v>
      </c>
    </row>
    <row r="27" spans="1:15" ht="16.5">
      <c r="A27" s="3504"/>
      <c r="B27" s="3126" t="s">
        <v>3288</v>
      </c>
      <c r="C27" s="3126"/>
      <c r="D27" s="3126"/>
      <c r="E27" s="3126">
        <v>826</v>
      </c>
      <c r="F27" s="3127">
        <v>82334.83</v>
      </c>
      <c r="G27" s="3127">
        <v>1680634619</v>
      </c>
      <c r="H27" s="3126">
        <v>672</v>
      </c>
      <c r="I27" s="3127">
        <v>64925.49</v>
      </c>
      <c r="J27" s="3127">
        <v>1331211971</v>
      </c>
      <c r="M27" s="3155"/>
    </row>
    <row r="28" spans="1:15" ht="16.5">
      <c r="A28" s="3128" t="s">
        <v>3289</v>
      </c>
      <c r="B28" s="3128"/>
      <c r="C28" s="3128"/>
      <c r="D28" s="3128"/>
      <c r="E28" s="3128">
        <v>826</v>
      </c>
      <c r="F28" s="3129">
        <v>82334.83</v>
      </c>
      <c r="G28" s="3129">
        <v>1680634619</v>
      </c>
      <c r="H28" s="3128">
        <v>672</v>
      </c>
      <c r="I28" s="3129">
        <v>64925.49</v>
      </c>
      <c r="J28" s="3129">
        <v>1331211971</v>
      </c>
    </row>
    <row r="29" spans="1:15" ht="16.5">
      <c r="A29" s="3130" t="s">
        <v>3290</v>
      </c>
      <c r="B29" s="3130"/>
      <c r="C29" s="3130"/>
      <c r="D29" s="3130"/>
      <c r="E29" s="3130">
        <v>826</v>
      </c>
      <c r="F29" s="3131">
        <v>82334.83</v>
      </c>
      <c r="G29" s="3131">
        <v>1680634619</v>
      </c>
      <c r="H29" s="3130">
        <v>672</v>
      </c>
      <c r="I29" s="3131">
        <v>64925.49</v>
      </c>
      <c r="J29" s="3131">
        <v>1331211971</v>
      </c>
    </row>
    <row r="34" spans="10:10">
      <c r="J34" s="3155"/>
    </row>
    <row r="35" spans="10:10">
      <c r="J35" s="3155"/>
    </row>
    <row r="36" spans="10:10">
      <c r="J36" s="3155"/>
    </row>
    <row r="37" spans="10:10">
      <c r="J37" s="3155"/>
    </row>
    <row r="38" spans="10:10">
      <c r="J38" s="3155"/>
    </row>
    <row r="39" spans="10:10">
      <c r="J39" s="3155"/>
    </row>
    <row r="40" spans="10:10">
      <c r="J40" s="3155"/>
    </row>
    <row r="41" spans="10:10">
      <c r="J41" s="3155"/>
    </row>
    <row r="42" spans="10:10">
      <c r="J42" s="3155"/>
    </row>
    <row r="43" spans="10:10">
      <c r="J43" s="3155"/>
    </row>
    <row r="44" spans="10:10">
      <c r="J44" s="3155"/>
    </row>
    <row r="45" spans="10:10">
      <c r="J45" s="3155"/>
    </row>
    <row r="46" spans="10:10">
      <c r="J46" s="3155"/>
    </row>
    <row r="47" spans="10:10">
      <c r="J47" s="3155"/>
    </row>
    <row r="48" spans="10:10">
      <c r="J48" s="3155"/>
    </row>
    <row r="49" spans="10:10">
      <c r="J49" s="3155"/>
    </row>
    <row r="50" spans="10:10">
      <c r="J50" s="3155"/>
    </row>
  </sheetData>
  <mergeCells count="12">
    <mergeCell ref="A7:A27"/>
    <mergeCell ref="B7:B26"/>
    <mergeCell ref="C7:C25"/>
    <mergeCell ref="A1:J1"/>
    <mergeCell ref="A3:J3"/>
    <mergeCell ref="E4:G4"/>
    <mergeCell ref="H4:J4"/>
    <mergeCell ref="A5:A6"/>
    <mergeCell ref="B5:B6"/>
    <mergeCell ref="C5:C6"/>
    <mergeCell ref="E5:G5"/>
    <mergeCell ref="H5:J5"/>
  </mergeCells>
  <phoneticPr fontId="140" type="noConversion"/>
  <hyperlinks>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s>
  <pageMargins left="0.7" right="0.7" top="0.75" bottom="0.75" header="0.3" footer="0.3"/>
  <pageSetup paperSize="9" orientation="portrait"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1606</v>
      </c>
      <c r="B2" s="3181" t="s">
        <v>1607</v>
      </c>
      <c r="C2" s="3181" t="s">
        <v>1608</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75"/>
      <c r="B3" s="3175"/>
      <c r="C3" s="3175"/>
      <c r="D3" s="961" t="s">
        <v>1603</v>
      </c>
      <c r="E3" s="961" t="s">
        <v>1609</v>
      </c>
      <c r="F3" s="961" t="s">
        <v>1603</v>
      </c>
      <c r="G3" s="961" t="s">
        <v>1604</v>
      </c>
      <c r="H3" s="961" t="s">
        <v>1603</v>
      </c>
      <c r="I3" s="961" t="s">
        <v>1604</v>
      </c>
    </row>
    <row r="4" spans="1:9" ht="30">
      <c r="A4" s="1689" t="str">
        <f>项目基本情况!S2</f>
        <v>天津海河教育园区瑞明路与雅馨路交口西南侧房地产</v>
      </c>
      <c r="B4" s="961">
        <f>项目基本情况!C17</f>
        <v>54761.34</v>
      </c>
      <c r="C4" s="961">
        <f>项目基本情况!C18</f>
        <v>30643.66</v>
      </c>
      <c r="D4" s="961">
        <f ca="1">结果表!D118</f>
        <v>46125</v>
      </c>
      <c r="E4" s="961">
        <f ca="1">结果表!E118</f>
        <v>8423</v>
      </c>
      <c r="F4" s="961">
        <f ca="1">结果表!F118</f>
        <v>6230</v>
      </c>
      <c r="G4" s="961">
        <f ca="1">结果表!G118</f>
        <v>1138</v>
      </c>
      <c r="H4" s="961">
        <f ca="1">结果表!H118</f>
        <v>52355</v>
      </c>
      <c r="I4" s="961">
        <f ca="1">结果表!I118</f>
        <v>9561</v>
      </c>
    </row>
    <row r="5" spans="1:9" ht="30" customHeight="1">
      <c r="A5" s="3175" t="s">
        <v>1605</v>
      </c>
      <c r="B5" s="3175"/>
      <c r="C5" s="3175"/>
      <c r="D5" s="3176" t="str">
        <f ca="1">结果表!D119</f>
        <v>肆亿陆仟壹佰贰拾伍万元整</v>
      </c>
      <c r="E5" s="3176"/>
      <c r="F5" s="3176" t="str">
        <f ca="1">结果表!F119</f>
        <v>陆仟贰佰叁拾万元整</v>
      </c>
      <c r="G5" s="3176"/>
      <c r="H5" s="3176" t="str">
        <f ca="1">结果表!H119</f>
        <v>伍亿贰仟叁佰伍拾伍万元整</v>
      </c>
      <c r="I5" s="3176"/>
    </row>
    <row r="6" spans="1:9" ht="15.75">
      <c r="A6" s="3174" t="str">
        <f>结果表!A120</f>
        <v>估价师知悉的法定优先受偿款</v>
      </c>
      <c r="B6" s="3174"/>
      <c r="C6" s="3174"/>
      <c r="D6" s="3174">
        <f>结果表!D120</f>
        <v>0</v>
      </c>
      <c r="E6" s="3174"/>
      <c r="F6" s="3174"/>
      <c r="G6" s="3174"/>
      <c r="H6" s="3174"/>
      <c r="I6" s="3174"/>
    </row>
    <row r="7" spans="1:9" ht="15">
      <c r="A7" s="3175" t="s">
        <v>1605</v>
      </c>
      <c r="B7" s="3175"/>
      <c r="C7" s="3175"/>
      <c r="D7" s="3177" t="str">
        <f>结果表!D121</f>
        <v>零元整</v>
      </c>
      <c r="E7" s="3178"/>
      <c r="F7" s="3178"/>
      <c r="G7" s="3178"/>
      <c r="H7" s="3178"/>
      <c r="I7" s="3179"/>
    </row>
    <row r="8" spans="1:9" ht="15.75">
      <c r="A8" s="3174" t="str">
        <f>结果表!A122</f>
        <v>房地产抵押价值</v>
      </c>
      <c r="B8" s="3174"/>
      <c r="C8" s="3174"/>
      <c r="D8" s="3174">
        <f ca="1">结果表!D122</f>
        <v>52355</v>
      </c>
      <c r="E8" s="3174"/>
      <c r="F8" s="3174"/>
      <c r="G8" s="3174"/>
      <c r="H8" s="3174"/>
      <c r="I8" s="3174"/>
    </row>
    <row r="9" spans="1:9" ht="15">
      <c r="A9" s="3175" t="s">
        <v>1605</v>
      </c>
      <c r="B9" s="3175"/>
      <c r="C9" s="3175"/>
      <c r="D9" s="3176" t="str">
        <f ca="1">结果表!D123</f>
        <v>伍亿贰仟叁佰伍拾伍万元整</v>
      </c>
      <c r="E9" s="3176"/>
      <c r="F9" s="3176"/>
      <c r="G9" s="3176"/>
      <c r="H9" s="3176"/>
      <c r="I9" s="3176"/>
    </row>
    <row r="10" spans="1:9" ht="15.75">
      <c r="A10" s="3174" t="str">
        <f>结果表!A124</f>
        <v/>
      </c>
      <c r="B10" s="3174"/>
      <c r="C10" s="3174"/>
      <c r="D10" s="3174" t="str">
        <f>结果表!D124</f>
        <v>——</v>
      </c>
      <c r="E10" s="3174"/>
      <c r="F10" s="3174"/>
      <c r="G10" s="3174"/>
      <c r="H10" s="3174"/>
      <c r="I10" s="3174"/>
    </row>
    <row r="11" spans="1:9" ht="15">
      <c r="A11" s="3175" t="s">
        <v>1605</v>
      </c>
      <c r="B11" s="3175"/>
      <c r="C11" s="3175"/>
      <c r="D11" s="3176" t="e">
        <f>结果表!D125</f>
        <v>#VALUE!</v>
      </c>
      <c r="E11" s="3176"/>
      <c r="F11" s="3176"/>
      <c r="G11" s="3176"/>
      <c r="H11" s="3176"/>
      <c r="I11" s="3176"/>
    </row>
    <row r="12" spans="1:9" ht="15.75">
      <c r="A12" s="3174" t="str">
        <f>结果表!A126</f>
        <v/>
      </c>
      <c r="B12" s="3174"/>
      <c r="C12" s="3174"/>
      <c r="D12" s="3174" t="str">
        <f>结果表!D126</f>
        <v>——</v>
      </c>
      <c r="E12" s="3174"/>
      <c r="F12" s="3174"/>
      <c r="G12" s="3174"/>
      <c r="H12" s="3174"/>
      <c r="I12" s="3174"/>
    </row>
    <row r="13" spans="1:9" ht="15.75" thickBot="1">
      <c r="A13" s="3171" t="s">
        <v>1605</v>
      </c>
      <c r="B13" s="3171"/>
      <c r="C13" s="3171"/>
      <c r="D13" s="3172" t="e">
        <f>结果表!D127</f>
        <v>#VALUE!</v>
      </c>
      <c r="E13" s="3172"/>
      <c r="F13" s="3172"/>
      <c r="G13" s="3172"/>
      <c r="H13" s="3172"/>
      <c r="I13" s="3172"/>
    </row>
    <row r="14" spans="1:9" ht="15" thickTop="1">
      <c r="A14" s="3173" t="s">
        <v>1610</v>
      </c>
      <c r="B14" s="3173"/>
      <c r="C14" s="3173"/>
      <c r="D14" s="3173"/>
      <c r="E14" s="3173"/>
      <c r="F14" s="3173"/>
      <c r="G14" s="3173"/>
      <c r="H14" s="3173"/>
      <c r="I14" s="317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88" t="s">
        <v>1627</v>
      </c>
      <c r="B1" s="3188"/>
      <c r="C1" s="3188"/>
      <c r="D1" s="3188"/>
    </row>
    <row r="2" spans="1:4" ht="18">
      <c r="A2" s="3189" t="s">
        <v>1611</v>
      </c>
      <c r="B2" s="3189"/>
      <c r="C2" s="3189"/>
      <c r="D2" s="3189"/>
    </row>
    <row r="3" spans="1:4" ht="18.75">
      <c r="A3" s="1693" t="s">
        <v>1612</v>
      </c>
      <c r="B3" s="1693" t="s">
        <v>1613</v>
      </c>
      <c r="C3" s="1693" t="s">
        <v>1614</v>
      </c>
      <c r="D3" s="1693" t="s">
        <v>1615</v>
      </c>
    </row>
    <row r="4" spans="1:4" ht="56.25" customHeight="1">
      <c r="A4" s="1694" t="str">
        <f>项目基本情况!B4</f>
        <v>王鹏</v>
      </c>
      <c r="B4" s="1695">
        <f ca="1">项目基本情况!C4</f>
        <v>1120050019</v>
      </c>
      <c r="C4" s="1696"/>
      <c r="D4" s="1697" t="s">
        <v>1616</v>
      </c>
    </row>
    <row r="5" spans="1:4" ht="56.25" customHeight="1">
      <c r="A5" s="1694" t="str">
        <f>项目基本情况!D4</f>
        <v>崔锴</v>
      </c>
      <c r="B5" s="1695">
        <f ca="1">项目基本情况!E4</f>
        <v>1120100036</v>
      </c>
      <c r="C5" s="1698"/>
      <c r="D5" s="1697" t="s">
        <v>1616</v>
      </c>
    </row>
    <row r="6" spans="1:4" ht="18">
      <c r="A6" s="3189" t="s">
        <v>1617</v>
      </c>
      <c r="B6" s="3189"/>
      <c r="C6" s="3189"/>
      <c r="D6" s="3189"/>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90" t="s">
        <v>1620</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抵押权设定日期为2019年8月30日，权利人为浙商金汇信托股份有限公司，权利范围为92863㎡土地面积，权利价值为780000000。</v>
      </c>
      <c r="B15" s="3182"/>
      <c r="C15" s="3182"/>
      <c r="D15" s="3182"/>
    </row>
    <row r="16" spans="1:4" ht="30" customHeight="1">
      <c r="A16" s="3184" t="s">
        <v>1621</v>
      </c>
      <c r="B16" s="3184"/>
      <c r="C16" s="3184"/>
      <c r="D16" s="3184"/>
    </row>
    <row r="17" spans="1:4" ht="144" customHeight="1">
      <c r="A17" s="3184" t="s">
        <v>1622</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1623</v>
      </c>
      <c r="B22" s="3186"/>
      <c r="C22" s="3186"/>
      <c r="D22" s="318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96" t="s">
        <v>1634</v>
      </c>
      <c r="B15" s="3191" t="s">
        <v>136</v>
      </c>
      <c r="C15" s="3192"/>
    </row>
    <row r="16" spans="1:7" ht="13.5">
      <c r="A16" s="3197"/>
      <c r="B16" s="3191" t="s">
        <v>69</v>
      </c>
      <c r="C16" s="3192"/>
    </row>
    <row r="17" spans="1:3" ht="13.5">
      <c r="A17" s="3197"/>
      <c r="B17" s="3194" t="s">
        <v>1635</v>
      </c>
      <c r="C17" s="1716" t="s">
        <v>1634</v>
      </c>
    </row>
    <row r="18" spans="1:3" ht="13.5">
      <c r="A18" s="3197"/>
      <c r="B18" s="3194"/>
      <c r="C18" s="1716" t="s">
        <v>1636</v>
      </c>
    </row>
    <row r="19" spans="1:3" ht="13.5">
      <c r="A19" s="3197"/>
      <c r="B19" s="3194"/>
      <c r="C19" s="1716" t="s">
        <v>1637</v>
      </c>
    </row>
    <row r="20" spans="1:3" ht="13.5">
      <c r="A20" s="3198"/>
      <c r="B20" s="3193" t="s">
        <v>1638</v>
      </c>
      <c r="C20" s="3192"/>
    </row>
    <row r="21" spans="1:3" ht="13.5">
      <c r="A21" s="1717" t="s">
        <v>1639</v>
      </c>
      <c r="B21" s="1718"/>
      <c r="C21" s="1719"/>
    </row>
    <row r="22" spans="1:3" ht="13.5">
      <c r="A22" s="3195" t="s">
        <v>1640</v>
      </c>
      <c r="B22" s="3193" t="s">
        <v>1641</v>
      </c>
      <c r="C22" s="3192"/>
    </row>
    <row r="23" spans="1:3" ht="13.5">
      <c r="A23" s="3195"/>
      <c r="B23" s="3193" t="s">
        <v>1642</v>
      </c>
      <c r="C23" s="3192"/>
    </row>
    <row r="24" spans="1:3" ht="13.5">
      <c r="A24" s="3195"/>
      <c r="B24" s="3193" t="s">
        <v>1643</v>
      </c>
      <c r="C24" s="3192"/>
    </row>
    <row r="25" spans="1:3" ht="13.5">
      <c r="A25" s="3195"/>
      <c r="B25" s="3194" t="s">
        <v>1644</v>
      </c>
      <c r="C25" s="1716" t="s">
        <v>1645</v>
      </c>
    </row>
    <row r="26" spans="1:3" ht="13.5">
      <c r="A26" s="3195"/>
      <c r="B26" s="3194"/>
      <c r="C26" s="1716" t="s">
        <v>1646</v>
      </c>
    </row>
    <row r="27" spans="1:3" ht="13.5">
      <c r="A27" s="3195"/>
      <c r="B27" s="3194"/>
      <c r="C27" s="1716" t="s">
        <v>1647</v>
      </c>
    </row>
    <row r="28" spans="1:3" ht="13.5">
      <c r="A28" s="3195"/>
      <c r="B28" s="3194"/>
      <c r="C28" s="1716" t="s">
        <v>1648</v>
      </c>
    </row>
    <row r="29" spans="1:3" ht="13.5">
      <c r="A29" s="3195"/>
      <c r="B29" s="3194"/>
      <c r="C29" s="1716" t="s">
        <v>1649</v>
      </c>
    </row>
    <row r="30" spans="1:3" ht="13.5">
      <c r="A30" s="3195"/>
      <c r="B30" s="3194"/>
      <c r="C30" s="1716" t="s">
        <v>1650</v>
      </c>
    </row>
    <row r="31" spans="1:3" ht="13.5">
      <c r="A31" s="3195"/>
      <c r="B31" s="3194"/>
      <c r="C31" s="1716" t="s">
        <v>1651</v>
      </c>
    </row>
    <row r="32" spans="1:3" ht="13.5">
      <c r="A32" s="3195"/>
      <c r="B32" s="3194"/>
      <c r="C32" s="1716" t="s">
        <v>1652</v>
      </c>
    </row>
    <row r="33" spans="1:3" ht="13.5">
      <c r="A33" s="3195"/>
      <c r="B33" s="319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2878</v>
      </c>
      <c r="B2" s="2556">
        <f ca="1">TODAY()</f>
        <v>44263</v>
      </c>
      <c r="C2" s="2557" t="s">
        <v>2879</v>
      </c>
      <c r="D2" s="2557"/>
      <c r="E2" s="2557"/>
      <c r="F2" s="2553"/>
      <c r="G2" s="2553"/>
      <c r="H2" s="2553"/>
    </row>
    <row r="3" spans="1:8" ht="24" customHeight="1">
      <c r="A3" s="2558" t="s">
        <v>2880</v>
      </c>
      <c r="B3" s="2559" t="s">
        <v>2881</v>
      </c>
      <c r="C3" s="2559" t="s">
        <v>2882</v>
      </c>
      <c r="D3" s="2560" t="s">
        <v>2883</v>
      </c>
      <c r="E3" s="2561" t="s">
        <v>2884</v>
      </c>
      <c r="F3" s="1471" t="s">
        <v>2885</v>
      </c>
      <c r="G3" s="2559" t="s">
        <v>2882</v>
      </c>
      <c r="H3" s="2560" t="s">
        <v>2886</v>
      </c>
    </row>
    <row r="4" spans="1:8" ht="24" customHeight="1">
      <c r="A4" s="1471" t="s">
        <v>2887</v>
      </c>
      <c r="B4" s="1471">
        <f ca="1">IF(C4&lt;B2,"已过期",1119970066)</f>
        <v>1119970066</v>
      </c>
      <c r="C4" s="2562">
        <v>44876</v>
      </c>
      <c r="D4" s="2563" t="str">
        <f ca="1">A4&amp;"（注册号："&amp;B4&amp;"）"</f>
        <v>梁津（注册号：1119970066）</v>
      </c>
      <c r="E4" s="2564" t="s">
        <v>2887</v>
      </c>
      <c r="F4" s="1471">
        <f ca="1">IF(G4&lt;B2,"已过期",96010014)</f>
        <v>96010014</v>
      </c>
      <c r="G4" s="2565">
        <v>47118</v>
      </c>
      <c r="H4" s="2566" t="str">
        <f ca="1">E4&amp;"（注册号："&amp;F4&amp;"）"</f>
        <v>梁津（注册号：96010014）</v>
      </c>
    </row>
    <row r="5" spans="1:8" ht="24" customHeight="1">
      <c r="A5" s="1471" t="s">
        <v>2888</v>
      </c>
      <c r="B5" s="1471">
        <f ca="1">IF(C5&lt;B2,"已过期",1119970111)</f>
        <v>1119970111</v>
      </c>
      <c r="C5" s="2562">
        <v>44876</v>
      </c>
      <c r="D5" s="2563" t="str">
        <f t="shared" ref="D5:D15" ca="1" si="0">A5&amp;"（注册号："&amp;B5&amp;"）"</f>
        <v>叶凌（注册号：1119970111）</v>
      </c>
      <c r="E5" s="2564" t="s">
        <v>2888</v>
      </c>
      <c r="F5" s="1471">
        <f ca="1">IF(G5&lt;B2,"已过期",94010078)</f>
        <v>94010078</v>
      </c>
      <c r="G5" s="2565">
        <v>46387</v>
      </c>
      <c r="H5" s="2566" t="str">
        <f t="shared" ref="H5:H16" ca="1" si="1">E5&amp;"（注册号："&amp;F5&amp;"）"</f>
        <v>叶凌（注册号：94010078）</v>
      </c>
    </row>
    <row r="6" spans="1:8" ht="24" customHeight="1">
      <c r="A6" s="1471" t="s">
        <v>2889</v>
      </c>
      <c r="B6" s="1471">
        <f ca="1">IF(C6&lt;B2,"已过期",1120050019)</f>
        <v>1120050019</v>
      </c>
      <c r="C6" s="2562">
        <v>44395</v>
      </c>
      <c r="D6" s="2563" t="str">
        <f t="shared" ca="1" si="0"/>
        <v>王鹏（注册号：1120050019）</v>
      </c>
      <c r="E6" s="2564" t="s">
        <v>2889</v>
      </c>
      <c r="F6" s="1471">
        <f ca="1">IF(G6&lt;B2,"已过期",2002110030)</f>
        <v>2002110030</v>
      </c>
      <c r="G6" s="2565">
        <v>46387</v>
      </c>
      <c r="H6" s="2566" t="str">
        <f t="shared" ca="1" si="1"/>
        <v>王鹏（注册号：2002110030）</v>
      </c>
    </row>
    <row r="7" spans="1:8" ht="24" customHeight="1">
      <c r="A7" s="1471" t="s">
        <v>2890</v>
      </c>
      <c r="B7" s="1471">
        <f ca="1">IF(C7&lt;B2,"已过期",1120000080)</f>
        <v>1120000080</v>
      </c>
      <c r="C7" s="2562">
        <v>44876</v>
      </c>
      <c r="D7" s="2563" t="str">
        <f t="shared" ca="1" si="0"/>
        <v>欧红伟（注册号：1120000080）</v>
      </c>
      <c r="E7" s="2564" t="s">
        <v>2890</v>
      </c>
      <c r="F7" s="1471">
        <f ca="1">IF(G7&lt;B2,"已过期",2000110082)</f>
        <v>2000110082</v>
      </c>
      <c r="G7" s="2565">
        <v>46387</v>
      </c>
      <c r="H7" s="2566" t="str">
        <f t="shared" ca="1" si="1"/>
        <v>欧红伟（注册号：2000110082）</v>
      </c>
    </row>
    <row r="8" spans="1:8" ht="24" customHeight="1">
      <c r="A8" s="1471" t="s">
        <v>2891</v>
      </c>
      <c r="B8" s="1471">
        <f ca="1">IF(C8&lt;B2,"已过期",1419970001)</f>
        <v>1419970001</v>
      </c>
      <c r="C8" s="2562">
        <v>44899</v>
      </c>
      <c r="D8" s="2563" t="str">
        <f t="shared" ca="1" si="0"/>
        <v>吴薇（注册号：1419970001）</v>
      </c>
      <c r="E8" s="2564" t="s">
        <v>2891</v>
      </c>
      <c r="F8" s="1471">
        <f ca="1">IF(G8&lt;B2,"已过期",2002110125)</f>
        <v>2002110125</v>
      </c>
      <c r="G8" s="2565">
        <v>47118</v>
      </c>
      <c r="H8" s="2566" t="str">
        <f t="shared" ca="1" si="1"/>
        <v>吴薇（注册号：2002110125）</v>
      </c>
    </row>
    <row r="9" spans="1:8" ht="24" customHeight="1">
      <c r="A9" s="1471" t="s">
        <v>2892</v>
      </c>
      <c r="B9" s="1471">
        <f ca="1">IF(C9&lt;B2,"已过期",1120060040)</f>
        <v>1120060040</v>
      </c>
      <c r="C9" s="2567">
        <v>44554</v>
      </c>
      <c r="D9" s="2563" t="str">
        <f t="shared" ca="1" si="0"/>
        <v>陈颖（注册号：1120060040）</v>
      </c>
      <c r="E9" s="2564" t="s">
        <v>2892</v>
      </c>
      <c r="F9" s="1471">
        <f ca="1">IF(G9&lt;B2,"已过期",2004110096)</f>
        <v>2004110096</v>
      </c>
      <c r="G9" s="2565">
        <v>47118</v>
      </c>
      <c r="H9" s="2566" t="str">
        <f t="shared" ca="1" si="1"/>
        <v>陈颖（注册号：2004110096）</v>
      </c>
    </row>
    <row r="10" spans="1:8" ht="24" customHeight="1">
      <c r="A10" s="1471" t="s">
        <v>2893</v>
      </c>
      <c r="B10" s="1471">
        <f ca="1">IF(C10&lt;B2,"已过期",1120100036)</f>
        <v>1120100036</v>
      </c>
      <c r="C10" s="2567">
        <v>44675</v>
      </c>
      <c r="D10" s="2563" t="str">
        <f t="shared" ca="1" si="0"/>
        <v>崔锴（注册号：1120100036）</v>
      </c>
      <c r="E10" s="2564" t="s">
        <v>2893</v>
      </c>
      <c r="F10" s="1471">
        <f ca="1">IF(G10&lt;B2,"已过期",2010110070)</f>
        <v>2010110070</v>
      </c>
      <c r="G10" s="2565">
        <v>47907</v>
      </c>
      <c r="H10" s="2566" t="str">
        <f t="shared" ca="1" si="1"/>
        <v>崔锴（注册号：2010110070）</v>
      </c>
    </row>
    <row r="11" spans="1:8" ht="24" customHeight="1">
      <c r="A11" s="1471" t="s">
        <v>2894</v>
      </c>
      <c r="B11" s="1471">
        <f ca="1">IF(C11&lt;B2,"已过期",1120070131)</f>
        <v>1120070131</v>
      </c>
      <c r="C11" s="2562">
        <v>44849</v>
      </c>
      <c r="D11" s="2563" t="str">
        <f t="shared" ca="1" si="0"/>
        <v>郑燚（注册号：1120070131）</v>
      </c>
      <c r="E11" s="2564" t="s">
        <v>2894</v>
      </c>
      <c r="F11" s="1471">
        <f ca="1">IF(G11&lt;B2,"已过期",2014110011)</f>
        <v>2014110011</v>
      </c>
      <c r="G11" s="2565">
        <v>49302</v>
      </c>
      <c r="H11" s="2566" t="str">
        <f t="shared" ca="1" si="1"/>
        <v>郑燚（注册号：2014110011）</v>
      </c>
    </row>
    <row r="12" spans="1:8" ht="24" customHeight="1">
      <c r="A12" s="1471" t="s">
        <v>2895</v>
      </c>
      <c r="B12" s="1471">
        <f ca="1">IF(C12&lt;B2,"已过期",1120040230)</f>
        <v>1120040230</v>
      </c>
      <c r="C12" s="2567">
        <v>44864</v>
      </c>
      <c r="D12" s="2563" t="str">
        <f t="shared" ca="1" si="0"/>
        <v>苏海（注册号：1120040230）</v>
      </c>
      <c r="E12" s="2564" t="s">
        <v>2895</v>
      </c>
      <c r="F12" s="1471">
        <f ca="1">IF(G12&lt;B2,"已过期",98030020)</f>
        <v>98030020</v>
      </c>
      <c r="G12" s="2565">
        <v>47118</v>
      </c>
      <c r="H12" s="2566" t="str">
        <f t="shared" ca="1" si="1"/>
        <v>苏海（注册号：98030020）</v>
      </c>
    </row>
    <row r="13" spans="1:8" ht="24" customHeight="1">
      <c r="A13" s="1471" t="s">
        <v>2896</v>
      </c>
      <c r="B13" s="1471">
        <f ca="1">IF(C13&lt;B2,"已过期",1120020033)</f>
        <v>1120020033</v>
      </c>
      <c r="C13" s="2562">
        <v>44339</v>
      </c>
      <c r="D13" s="2563" t="str">
        <f t="shared" ca="1" si="0"/>
        <v>刘敬东（注册号：1120020033）</v>
      </c>
      <c r="E13" s="2564" t="s">
        <v>2896</v>
      </c>
      <c r="F13" s="1471">
        <f ca="1">IF(G13&lt;B2,"已过期",2000110137)</f>
        <v>2000110137</v>
      </c>
      <c r="G13" s="2565">
        <v>46387</v>
      </c>
      <c r="H13" s="2566" t="str">
        <f t="shared" ca="1" si="1"/>
        <v>刘敬东（注册号：2000110137）</v>
      </c>
    </row>
    <row r="14" spans="1:8" ht="24" customHeight="1">
      <c r="A14" s="1471" t="s">
        <v>2897</v>
      </c>
      <c r="B14" s="1471">
        <f ca="1">IF(C14&lt;B2,"已过期",1119980106)</f>
        <v>1119980106</v>
      </c>
      <c r="C14" s="2567">
        <v>44969</v>
      </c>
      <c r="D14" s="2563" t="str">
        <f t="shared" ca="1" si="0"/>
        <v>刘俊财（注册号：1119980106）</v>
      </c>
      <c r="E14" s="2564" t="s">
        <v>2897</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2898</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199" t="s">
        <v>2899</v>
      </c>
      <c r="B17" s="3199"/>
      <c r="C17" s="3199"/>
      <c r="D17" s="3199"/>
      <c r="E17" s="3199"/>
      <c r="F17" s="3199"/>
      <c r="G17" s="3199"/>
      <c r="H17" s="3199"/>
    </row>
    <row r="18" spans="1:8" ht="24" customHeight="1">
      <c r="A18" s="3200" t="s">
        <v>2900</v>
      </c>
      <c r="B18" s="3200"/>
      <c r="C18" s="3200"/>
      <c r="D18" s="2560"/>
      <c r="E18" s="3201" t="s">
        <v>2901</v>
      </c>
      <c r="F18" s="3200"/>
      <c r="G18" s="3200"/>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收益法-自持</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'收益法-自持'!Print_Area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2021-03-08T02:52:21Z</dcterms:modified>
</cp:coreProperties>
</file>