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8" yWindow="-12" windowWidth="14436" windowHeight="12588" tabRatio="885" firstSheet="6"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及租约"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W7" i="64" l="1"/>
  <c r="Y3" i="64"/>
  <c r="Y2" i="64"/>
  <c r="W3" i="64"/>
  <c r="S7" i="64"/>
  <c r="T7" i="64" s="1"/>
  <c r="T2" i="64"/>
  <c r="U5" i="64"/>
  <c r="U6" i="64"/>
  <c r="U4" i="64"/>
  <c r="T4" i="64"/>
  <c r="T5" i="64"/>
  <c r="T6" i="64"/>
  <c r="T3" i="64"/>
  <c r="W4" i="64" l="1"/>
  <c r="G89" i="33"/>
  <c r="E89" i="33"/>
  <c r="F89" i="33" s="1"/>
  <c r="D89" i="33"/>
  <c r="E104" i="33"/>
  <c r="F104" i="33" s="1"/>
  <c r="G104" i="33" s="1"/>
  <c r="H104" i="33" s="1"/>
  <c r="D104" i="33"/>
  <c r="E103" i="33"/>
  <c r="F103" i="33" s="1"/>
  <c r="G103" i="33" s="1"/>
  <c r="H103" i="33" s="1"/>
  <c r="D103" i="33"/>
  <c r="I36" i="33"/>
  <c r="G36" i="33"/>
  <c r="E36" i="33"/>
  <c r="E20" i="1"/>
  <c r="C36" i="33"/>
  <c r="W5" i="64" l="1"/>
  <c r="Y4" i="64"/>
  <c r="L25" i="57"/>
  <c r="W6" i="64" l="1"/>
  <c r="Y6" i="64" s="1"/>
  <c r="Y5" i="64"/>
  <c r="Y7" i="64"/>
  <c r="H28" i="57"/>
  <c r="I23" i="1" l="1"/>
  <c r="H15" i="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M60"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c r="L109"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s="1"/>
  <c r="J41" i="33"/>
  <c r="W41" i="33" s="1"/>
  <c r="D113" i="33"/>
  <c r="F37" i="33"/>
  <c r="S37" i="33" s="1"/>
  <c r="D111" i="33"/>
  <c r="E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S38" i="33" s="1"/>
  <c r="Q37" i="33"/>
  <c r="Z37" i="33"/>
  <c r="Q36" i="33"/>
  <c r="Z36" i="33"/>
  <c r="Q35" i="33"/>
  <c r="Z35" i="33"/>
  <c r="H35" i="33"/>
  <c r="AB35" i="33" s="1"/>
  <c r="F35" i="33"/>
  <c r="S35" i="33" s="1"/>
  <c r="Q34" i="33"/>
  <c r="Z34" i="33"/>
  <c r="H34" i="33"/>
  <c r="AB34" i="33" s="1"/>
  <c r="F34" i="33"/>
  <c r="S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s="1"/>
  <c r="Q14" i="33"/>
  <c r="Z14" i="33" s="1"/>
  <c r="Q13" i="33"/>
  <c r="Z13" i="33" s="1"/>
  <c r="Q12" i="33"/>
  <c r="Z12" i="33" s="1"/>
  <c r="J12" i="33"/>
  <c r="W12" i="33" s="1"/>
  <c r="H12" i="33"/>
  <c r="U12" i="33" s="1"/>
  <c r="F12" i="33"/>
  <c r="S12" i="33" s="1"/>
  <c r="Q11" i="33"/>
  <c r="Z11" i="33" s="1"/>
  <c r="Q10" i="33"/>
  <c r="Z10" i="33"/>
  <c r="F10" i="33"/>
  <c r="AA10" i="33" s="1"/>
  <c r="Q9" i="33"/>
  <c r="Z9" i="33"/>
  <c r="J8" i="33"/>
  <c r="AC8" i="33" s="1"/>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J34" i="33"/>
  <c r="W34" i="33" s="1"/>
  <c r="J23" i="33"/>
  <c r="AC23" i="33" s="1"/>
  <c r="F23" i="33"/>
  <c r="AA23" i="33" s="1"/>
  <c r="H23" i="33"/>
  <c r="U23" i="33" s="1"/>
  <c r="F19" i="33"/>
  <c r="S19" i="33" s="1"/>
  <c r="J19" i="33"/>
  <c r="W19" i="33" s="1"/>
  <c r="J17" i="33"/>
  <c r="AC17" i="33" s="1"/>
  <c r="H17" i="33"/>
  <c r="AB17" i="33" s="1"/>
  <c r="J15" i="33"/>
  <c r="AC15" i="33" s="1"/>
  <c r="F11" i="33"/>
  <c r="AA11" i="33" s="1"/>
  <c r="H10" i="33"/>
  <c r="U10" i="33" s="1"/>
  <c r="S10" i="21"/>
  <c r="U40" i="33"/>
  <c r="U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s="1"/>
  <c r="AA37" i="33"/>
  <c r="F17" i="33"/>
  <c r="AA17" i="33" s="1"/>
  <c r="H15" i="33"/>
  <c r="AB15" i="33" s="1"/>
  <c r="AB11" i="33"/>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s="1"/>
  <c r="J29" i="33"/>
  <c r="H29" i="33"/>
  <c r="U29" i="33"/>
  <c r="F29" i="33"/>
  <c r="S29" i="33" s="1"/>
  <c r="J31" i="33"/>
  <c r="W31" i="33" s="1"/>
  <c r="H31" i="33"/>
  <c r="AB31" i="33" s="1"/>
  <c r="F31" i="33"/>
  <c r="AA31" i="33" s="1"/>
  <c r="H45" i="33"/>
  <c r="U45" i="33" s="1"/>
  <c r="J45" i="33"/>
  <c r="W45" i="33" s="1"/>
  <c r="F45" i="33"/>
  <c r="S45" i="33" s="1"/>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s="1"/>
  <c r="F14" i="33"/>
  <c r="AA14" i="33" s="1"/>
  <c r="J14" i="33"/>
  <c r="AC14" i="33" s="1"/>
  <c r="H30" i="33"/>
  <c r="AB30" i="33"/>
  <c r="F30" i="33"/>
  <c r="S30" i="33"/>
  <c r="J30" i="33"/>
  <c r="AC30" i="33"/>
  <c r="H44" i="33"/>
  <c r="AB44" i="33"/>
  <c r="J44" i="33"/>
  <c r="AC44" i="33"/>
  <c r="F44" i="33"/>
  <c r="S44" i="33"/>
  <c r="J46" i="33"/>
  <c r="W46" i="33"/>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B103" i="57"/>
  <c r="B107" i="57" s="1"/>
  <c r="D128" i="57"/>
  <c r="S23" i="21"/>
  <c r="W17" i="21"/>
  <c r="AC15" i="21"/>
  <c r="C110" i="57"/>
  <c r="H104" i="57" s="1"/>
  <c r="T27" i="31"/>
  <c r="S27" i="3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D10" i="1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AA45" i="33"/>
  <c r="U46" i="33"/>
  <c r="AB9" i="33"/>
  <c r="U9" i="33"/>
  <c r="S10" i="33"/>
  <c r="AC12" i="33"/>
  <c r="W13" i="33"/>
  <c r="AC46" i="33"/>
  <c r="W21" i="33"/>
  <c r="AC21" i="33"/>
  <c r="AB4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Y25" i="31"/>
  <c r="C36" i="57"/>
  <c r="D125" i="57" s="1"/>
  <c r="V25" i="31"/>
  <c r="H102" i="43"/>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30" i="33"/>
  <c r="S39" i="33"/>
  <c r="W40" i="33"/>
  <c r="S33"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60" i="43"/>
  <c r="H66" i="43"/>
  <c r="H84" i="43"/>
  <c r="H9" i="44"/>
  <c r="H7" i="44"/>
  <c r="H10" i="44"/>
  <c r="N12" i="43"/>
  <c r="N4" i="43"/>
  <c r="M7" i="43"/>
  <c r="N1" i="43"/>
  <c r="G4" i="47" s="1"/>
  <c r="M10" i="43"/>
  <c r="M2" i="43"/>
  <c r="H15" i="44"/>
  <c r="H64" i="43"/>
  <c r="H87" i="43"/>
  <c r="H86"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5" i="61"/>
  <c r="E2" i="11"/>
  <c r="D7" i="61"/>
  <c r="F3" i="61"/>
  <c r="F5" i="61"/>
  <c r="E2" i="34"/>
  <c r="E2" i="37"/>
  <c r="E2" i="21"/>
  <c r="F7" i="61"/>
  <c r="E2" i="36"/>
  <c r="E2" i="33"/>
  <c r="E2" i="35"/>
  <c r="D3" i="61"/>
  <c r="D4" i="61"/>
  <c r="D6" i="61"/>
  <c r="F4" i="61"/>
  <c r="F6" i="61"/>
  <c r="H23" i="31"/>
  <c r="J25" i="33" l="1"/>
  <c r="AC25" i="33" s="1"/>
  <c r="F87" i="33"/>
  <c r="G87" i="33" s="1"/>
  <c r="H87" i="33" s="1"/>
  <c r="I87" i="33" s="1"/>
  <c r="J87" i="33" s="1"/>
  <c r="K87" i="33" s="1"/>
  <c r="L87" i="33" s="1"/>
  <c r="M87" i="33" s="1"/>
  <c r="F25" i="33"/>
  <c r="AA25" i="33" s="1"/>
  <c r="H25" i="33"/>
  <c r="AB25" i="33" s="1"/>
  <c r="AA38" i="33"/>
  <c r="AA43" i="33"/>
  <c r="AB43" i="33"/>
  <c r="W43" i="33"/>
  <c r="S42" i="33"/>
  <c r="AA41" i="33"/>
  <c r="F36" i="33"/>
  <c r="J36" i="33"/>
  <c r="AC36" i="33" s="1"/>
  <c r="F111" i="33"/>
  <c r="G111" i="33" s="1"/>
  <c r="H111" i="33" s="1"/>
  <c r="I111" i="33" s="1"/>
  <c r="J111" i="33" s="1"/>
  <c r="K111" i="33" s="1"/>
  <c r="L111" i="33" s="1"/>
  <c r="M111" i="33" s="1"/>
  <c r="H36" i="33"/>
  <c r="W35" i="33"/>
  <c r="AC34" i="33"/>
  <c r="W25" i="33"/>
  <c r="AA27" i="33"/>
  <c r="U27" i="33"/>
  <c r="AB28" i="33"/>
  <c r="AA28" i="33"/>
  <c r="W28" i="33"/>
  <c r="AC32" i="33"/>
  <c r="U32" i="33"/>
  <c r="U19" i="33"/>
  <c r="W17" i="33"/>
  <c r="S17" i="33"/>
  <c r="AB23" i="33"/>
  <c r="S23" i="33"/>
  <c r="U21" i="33"/>
  <c r="AC19" i="33"/>
  <c r="U17" i="33"/>
  <c r="U15" i="33"/>
  <c r="W37" i="33"/>
  <c r="W39" i="33"/>
  <c r="AB42" i="33"/>
  <c r="W42" i="33"/>
  <c r="U35" i="33"/>
  <c r="AA35" i="33"/>
  <c r="U34" i="33"/>
  <c r="AA34" i="33"/>
  <c r="S32" i="33"/>
  <c r="AC27" i="33"/>
  <c r="W26" i="33"/>
  <c r="AB26" i="33"/>
  <c r="S26" i="33"/>
  <c r="U25" i="33"/>
  <c r="AA12" i="33"/>
  <c r="AB10" i="33"/>
  <c r="W10" i="33"/>
  <c r="S11" i="33"/>
  <c r="W9" i="33"/>
  <c r="W8" i="33"/>
  <c r="S9" i="33"/>
  <c r="S8" i="33"/>
  <c r="U33" i="33"/>
  <c r="W36" i="33"/>
  <c r="P51" i="15"/>
  <c r="C112" i="57"/>
  <c r="H61" i="43"/>
  <c r="H67" i="43"/>
  <c r="H59" i="43"/>
  <c r="M109" i="43"/>
  <c r="F7" i="15"/>
  <c r="I29" i="1"/>
  <c r="H30" i="1" s="1"/>
  <c r="D118" i="43"/>
  <c r="E118" i="43" s="1"/>
  <c r="F118" i="43" s="1"/>
  <c r="D117" i="43"/>
  <c r="E117" i="43" s="1"/>
  <c r="F117" i="43" s="1"/>
  <c r="G117" i="43" s="1"/>
  <c r="H117" i="43" s="1"/>
  <c r="B117" i="43"/>
  <c r="C117" i="43" s="1"/>
  <c r="K103" i="43"/>
  <c r="C18" i="57"/>
  <c r="D18" i="57" s="1"/>
  <c r="H103" i="57"/>
  <c r="B125" i="57"/>
  <c r="G125" i="57"/>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S25" i="33" l="1"/>
  <c r="S36" i="33"/>
  <c r="AA36" i="33"/>
  <c r="U36" i="33"/>
  <c r="AB36" i="33"/>
  <c r="H107" i="57"/>
  <c r="C114" i="57"/>
  <c r="H109" i="57" s="1"/>
  <c r="D8" i="48"/>
  <c r="C3" i="4"/>
  <c r="B4" i="55" s="1"/>
  <c r="B53" i="60" s="1"/>
  <c r="F7" i="35"/>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C7" i="35" l="1"/>
  <c r="V38" i="35" s="1"/>
  <c r="I38" i="35" s="1"/>
  <c r="E42" i="37"/>
  <c r="J7" i="36"/>
  <c r="W7" i="36" s="1"/>
  <c r="C19" i="15"/>
  <c r="C20" i="15" s="1"/>
  <c r="C26" i="15" s="1"/>
  <c r="H7" i="36"/>
  <c r="AB7" i="36" s="1"/>
  <c r="T36" i="36" s="1"/>
  <c r="G36" i="36" s="1"/>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W7" i="21" s="1"/>
  <c r="D6" i="59"/>
  <c r="C5" i="59"/>
  <c r="D5" i="59" s="1"/>
  <c r="M20" i="43"/>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J59" i="34"/>
  <c r="M70" i="39"/>
  <c r="N68" i="39"/>
  <c r="S7" i="21"/>
  <c r="AA7" i="21"/>
  <c r="R48" i="21" s="1"/>
  <c r="Q46" i="15"/>
  <c r="C60" i="15"/>
  <c r="C57" i="15"/>
  <c r="C66" i="15" s="1"/>
  <c r="C37" i="15"/>
  <c r="C30" i="15" s="1"/>
  <c r="C39" i="15" s="1"/>
  <c r="Q68" i="15"/>
  <c r="J16" i="15"/>
  <c r="J25" i="15" s="1"/>
  <c r="C56" i="11"/>
  <c r="C57" i="11" s="1"/>
  <c r="B2" i="11"/>
  <c r="B3" i="11"/>
  <c r="C19" i="57"/>
  <c r="C20" i="9"/>
  <c r="C20" i="57"/>
  <c r="C19" i="9"/>
  <c r="C101" i="9" l="1"/>
  <c r="C102" i="9"/>
  <c r="C103" i="57"/>
  <c r="C104" i="57"/>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D19" i="9"/>
  <c r="D19" i="57"/>
  <c r="D20" i="9"/>
  <c r="D20" i="57"/>
  <c r="D101" i="9" l="1"/>
  <c r="D22" i="9"/>
  <c r="G19" i="9"/>
  <c r="D102" i="9"/>
  <c r="G20" i="9"/>
  <c r="C32" i="9" s="1"/>
  <c r="C35" i="9" s="1"/>
  <c r="C34" i="9" s="1"/>
  <c r="E54" i="34"/>
  <c r="F54" i="34" s="1"/>
  <c r="D103" i="57"/>
  <c r="G19" i="57"/>
  <c r="D22" i="57"/>
  <c r="D104" i="57"/>
  <c r="G20" i="57"/>
  <c r="G25" i="57"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5" i="57" l="1"/>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E121" i="9"/>
  <c r="D121" i="9" s="1"/>
  <c r="D122" i="9" s="1"/>
  <c r="G121" i="9"/>
  <c r="F121" i="9" s="1"/>
  <c r="F122" i="9" s="1"/>
  <c r="I121" i="9"/>
  <c r="C104" i="9" s="1"/>
  <c r="I103" i="9" l="1"/>
  <c r="D107" i="9"/>
  <c r="H121" i="9"/>
  <c r="D14" i="62" s="1"/>
  <c r="E14" i="62" l="1"/>
  <c r="B5" i="62"/>
  <c r="F14" i="62"/>
  <c r="C103" i="9"/>
  <c r="D106" i="9"/>
  <c r="D112" i="9" s="1"/>
  <c r="H122" i="9"/>
  <c r="I102" i="9"/>
  <c r="C5" i="62" l="1"/>
  <c r="D5" i="62"/>
  <c r="D45" i="9"/>
  <c r="N48" i="9"/>
  <c r="I110" i="9"/>
  <c r="D117" i="9"/>
  <c r="I115" i="9" s="1"/>
  <c r="D113" i="9"/>
  <c r="I111" i="9" s="1"/>
  <c r="D126" i="9" s="1"/>
  <c r="N49" i="9" l="1"/>
  <c r="D125" i="9"/>
  <c r="G14" i="62" s="1"/>
  <c r="B6" i="62" s="1"/>
  <c r="C93" i="9"/>
  <c r="C86" i="9" s="1"/>
  <c r="C78" i="9"/>
  <c r="C73" i="9" s="1"/>
  <c r="D52" i="9"/>
  <c r="C72" i="9"/>
  <c r="C85" i="9"/>
  <c r="D53" i="9"/>
  <c r="D48" i="9" s="1"/>
  <c r="N52" i="9" s="1"/>
  <c r="O57" i="9" s="1"/>
  <c r="C64" i="9"/>
  <c r="C63" i="9" s="1"/>
  <c r="C67" i="9" s="1"/>
  <c r="C68" i="9" s="1"/>
  <c r="D54" i="9" s="1"/>
  <c r="D6" i="62" l="1"/>
  <c r="C6" i="62"/>
  <c r="C79" i="9"/>
  <c r="C80" i="9" s="1"/>
  <c r="E80" i="9" s="1"/>
  <c r="E81" i="9" s="1"/>
  <c r="C95" i="9"/>
  <c r="C96" i="9" s="1"/>
  <c r="E96" i="9" s="1"/>
  <c r="E97" i="9" s="1"/>
  <c r="O58" i="9"/>
  <c r="Q57" i="9"/>
  <c r="C81" i="9"/>
  <c r="M65" i="9"/>
  <c r="N65" i="9" s="1"/>
  <c r="M64" i="9"/>
  <c r="N64" i="9" s="1"/>
  <c r="M67" i="9"/>
  <c r="N67" i="9" s="1"/>
  <c r="M63" i="9"/>
  <c r="N63" i="9" s="1"/>
  <c r="M66" i="9"/>
  <c r="N66" i="9" s="1"/>
  <c r="O59" i="9"/>
  <c r="M68" i="9"/>
  <c r="N68" i="9" s="1"/>
  <c r="N69" i="9" l="1"/>
  <c r="O69" i="9" s="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<sst xmlns="http://schemas.openxmlformats.org/spreadsheetml/2006/main" count="7008" uniqueCount="3040">
  <si>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</si>
  <si>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</si>
  <si>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</si>
  <si>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</si>
  <si>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</si>
  <si>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</si>
  <si>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</si>
  <si>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</si>
  <si>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</si>
  <si>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</si>
  <si>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</si>
  <si>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</si>
  <si>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</si>
  <si>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</si>
  <si>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</si>
  <si>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</si>
  <si>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</si>
  <si>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</si>
  <si>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</si>
  <si>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</si>
  <si>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</si>
  <si>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</si>
  <si>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</si>
  <si>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</si>
  <si>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</si>
  <si>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</si>
  <si>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</si>
  <si>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</si>
  <si>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</si>
  <si>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</si>
  <si>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</si>
  <si>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</si>
  <si>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</si>
  <si>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</si>
  <si>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</si>
  <si>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</si>
  <si>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</si>
  <si>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</si>
  <si>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</si>
  <si>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</si>
  <si>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</si>
  <si>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</si>
  <si>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</si>
  <si>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</si>
  <si>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</si>
  <si>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</si>
  <si>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</si>
  <si>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</si>
  <si>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</si>
  <si>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</si>
  <si>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</si>
  <si>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</si>
  <si>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</si>
  <si>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</si>
  <si>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</si>
  <si>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</si>
  <si>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</si>
  <si>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</si>
  <si>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</si>
  <si>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</si>
  <si>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</si>
  <si>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</si>
  <si>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</si>
  <si>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</si>
  <si>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</si>
  <si>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</si>
  <si>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</si>
  <si>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</si>
  <si>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</si>
  <si>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</si>
  <si>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</si>
  <si>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</si>
  <si>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</si>
  <si>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</si>
  <si>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</si>
  <si>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</si>
  <si>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</si>
  <si>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</si>
  <si>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</si>
  <si>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</si>
  <si>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</si>
  <si>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</si>
  <si>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</si>
  <si>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</si>
  <si>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</si>
  <si>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</si>
  <si>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</si>
  <si>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</si>
  <si>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</si>
  <si>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</si>
  <si>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</si>
  <si>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</si>
  <si>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</si>
  <si>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</si>
  <si>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</si>
  <si>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</si>
  <si>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</si>
  <si>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</si>
  <si>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</si>
  <si>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</si>
  <si>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</si>
  <si>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</si>
  <si>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</si>
  <si>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</si>
  <si>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</si>
  <si>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</si>
  <si>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</si>
  <si>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</si>
  <si>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</si>
  <si>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</si>
  <si>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</si>
  <si>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</si>
  <si>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</si>
  <si>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</si>
  <si>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</si>
  <si>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</si>
  <si>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</si>
  <si>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</si>
  <si>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</si>
  <si>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</si>
  <si>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</si>
  <si>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</si>
  <si>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</si>
  <si>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</si>
  <si>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</si>
  <si>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</si>
  <si>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</si>
  <si>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</si>
  <si>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</si>
  <si>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</si>
  <si>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</si>
  <si>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</si>
  <si>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</si>
  <si>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</si>
  <si>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</si>
  <si>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</si>
  <si>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</si>
  <si>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</si>
  <si>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</si>
  <si>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</si>
  <si>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</si>
  <si>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</si>
  <si>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</si>
  <si>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</si>
  <si>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</si>
  <si>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</si>
  <si>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</si>
  <si>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</si>
  <si>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</si>
  <si>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</si>
  <si>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</si>
  <si>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</si>
  <si>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</si>
  <si>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</si>
  <si>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</si>
  <si>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</si>
  <si>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</si>
  <si>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</si>
  <si>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</si>
  <si>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</si>
  <si>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</si>
  <si>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</si>
  <si>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</si>
  <si>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</si>
  <si>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</si>
  <si>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</si>
  <si>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</si>
  <si>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</si>
  <si>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</si>
  <si>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</si>
  <si>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</si>
  <si>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</si>
  <si>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</si>
  <si>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</si>
  <si>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</si>
  <si>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</si>
  <si>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</si>
  <si>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</si>
  <si>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</si>
  <si>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</si>
  <si>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</si>
  <si>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</si>
  <si>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</si>
  <si>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</si>
  <si>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</si>
  <si>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</si>
  <si>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</si>
  <si>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</si>
  <si>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</si>
  <si>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</si>
  <si>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</si>
  <si>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</si>
  <si>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</si>
  <si>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</si>
  <si>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</si>
  <si>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</si>
  <si>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</si>
  <si>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</si>
  <si>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</si>
  <si>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</si>
  <si>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</si>
  <si>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</si>
  <si>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</si>
  <si>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</si>
  <si>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</si>
  <si>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</si>
  <si>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</si>
  <si>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</si>
  <si>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</si>
  <si>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</si>
  <si>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</si>
  <si>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</si>
  <si>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</si>
  <si>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</si>
  <si>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</si>
  <si>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</si>
  <si>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</si>
  <si>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</si>
  <si>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</si>
  <si>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</si>
  <si>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</si>
  <si>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</si>
  <si>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</si>
  <si>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</si>
  <si>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</si>
  <si>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</si>
  <si>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</si>
  <si>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</si>
  <si>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</si>
  <si>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</si>
  <si>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</si>
  <si>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</si>
  <si>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</si>
  <si>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</si>
  <si>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</si>
  <si>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</si>
  <si>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</si>
  <si>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</si>
  <si>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</si>
  <si>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</si>
  <si>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</si>
  <si>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</si>
  <si>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</si>
  <si>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</si>
  <si>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</si>
  <si>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</si>
  <si>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</si>
  <si>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</si>
  <si>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</si>
  <si>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</si>
  <si>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</si>
  <si>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</si>
  <si>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</si>
  <si>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</si>
  <si>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</si>
  <si>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</si>
  <si>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</si>
  <si>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</si>
  <si>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</si>
  <si>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</si>
  <si>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</si>
  <si>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</si>
  <si>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</si>
  <si>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</si>
  <si>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</si>
  <si>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</si>
  <si>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</si>
  <si>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</si>
  <si>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</si>
  <si>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</si>
  <si>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</si>
  <si>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</si>
  <si>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</si>
  <si>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</si>
  <si>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</si>
  <si>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</si>
  <si>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</si>
  <si>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</si>
  <si>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</si>
  <si>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</si>
  <si>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</si>
  <si>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</si>
  <si>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</si>
  <si>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</si>
  <si>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</si>
  <si>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</si>
  <si>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</si>
  <si>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</si>
  <si>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</si>
  <si>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</si>
  <si>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</si>
  <si>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</si>
  <si>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</si>
  <si>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</si>
  <si>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</si>
  <si>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</si>
  <si>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</si>
  <si>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</si>
  <si>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</si>
  <si>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</si>
  <si>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</si>
  <si>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</si>
  <si>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</si>
  <si>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</si>
  <si>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</si>
  <si>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</si>
  <si>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</si>
  <si>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</si>
  <si>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</si>
  <si>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</si>
  <si>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</si>
  <si>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</si>
  <si>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</si>
  <si>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</si>
  <si>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</si>
  <si>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</si>
  <si>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</si>
  <si>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</si>
  <si>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</si>
  <si>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</si>
  <si>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</si>
  <si>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</si>
  <si>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</si>
  <si>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</si>
  <si>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</si>
  <si>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</si>
  <si>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</si>
  <si>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</si>
  <si>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</si>
  <si>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</si>
  <si>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</si>
  <si>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</si>
  <si>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</si>
  <si>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</si>
  <si>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</si>
  <si>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</si>
  <si>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</si>
  <si>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</si>
  <si>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</si>
  <si>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</si>
  <si>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</si>
  <si>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</si>
  <si>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</si>
  <si>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</si>
  <si>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</si>
  <si>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</si>
  <si>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</si>
  <si>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</si>
  <si>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</si>
  <si>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</si>
  <si>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</si>
  <si>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</si>
  <si>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</si>
  <si>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</si>
  <si>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</si>
  <si>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</si>
  <si>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</si>
  <si>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</si>
  <si>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</si>
  <si>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</si>
  <si>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</si>
  <si>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</si>
  <si>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</si>
  <si>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</si>
  <si>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</si>
  <si>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</si>
  <si>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</si>
  <si>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</si>
  <si>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</si>
  <si>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</si>
  <si>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</si>
  <si>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</si>
  <si>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</si>
  <si>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</si>
  <si>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</si>
  <si>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</si>
  <si>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</si>
  <si>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</si>
  <si>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</si>
  <si>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</si>
  <si>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</si>
  <si>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</si>
  <si>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</si>
  <si>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</si>
  <si>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</si>
  <si>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</si>
  <si>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</si>
  <si>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</si>
  <si>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</si>
  <si>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</si>
  <si>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</si>
  <si>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</si>
  <si>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</si>
  <si>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</si>
  <si>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</si>
  <si>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</si>
  <si>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</si>
  <si>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</si>
  <si>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</si>
  <si>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</si>
  <si>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</si>
  <si>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</si>
  <si>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</si>
  <si>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</si>
  <si>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</si>
  <si>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</si>
  <si>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</si>
  <si>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</si>
  <si>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</si>
  <si>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</si>
  <si>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</si>
  <si>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</si>
  <si>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</si>
  <si>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</si>
  <si>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</si>
  <si>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</si>
  <si>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</si>
  <si>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</si>
  <si>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</si>
  <si>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</si>
  <si>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</si>
  <si>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</si>
  <si>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</si>
  <si>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</si>
  <si>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</si>
  <si>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</si>
  <si>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</si>
  <si>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</si>
  <si>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</si>
  <si>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</si>
  <si>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</si>
  <si>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</si>
  <si>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</si>
  <si>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</si>
  <si>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</si>
  <si>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</si>
  <si>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</si>
  <si>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</si>
  <si>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</si>
  <si>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</si>
  <si>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</si>
  <si>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</si>
  <si>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</si>
  <si>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</si>
  <si>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</si>
  <si>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</si>
  <si>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</si>
  <si>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</si>
  <si>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</si>
  <si>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</si>
  <si>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</si>
  <si>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</si>
  <si>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</si>
  <si>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</si>
  <si>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</si>
  <si>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</si>
  <si>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</si>
  <si>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</si>
  <si>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</si>
  <si>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</si>
  <si>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</si>
  <si>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</si>
  <si>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</si>
  <si>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</si>
  <si>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</si>
  <si>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</si>
  <si>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</si>
  <si>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</si>
  <si>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</si>
  <si>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</si>
  <si>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</si>
  <si>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</si>
  <si>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</si>
  <si>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</si>
  <si>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</si>
  <si>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</si>
  <si>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</si>
  <si>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</si>
  <si>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</si>
  <si>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</si>
  <si>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</si>
  <si>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</si>
  <si>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</si>
  <si>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</si>
  <si>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</si>
  <si>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</si>
  <si>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</si>
  <si>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</si>
  <si>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</si>
  <si>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</si>
  <si>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</si>
  <si>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</si>
  <si>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</si>
  <si>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</si>
  <si>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</si>
  <si>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</si>
  <si>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</si>
  <si>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</si>
  <si>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</si>
  <si>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</si>
  <si>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</si>
  <si>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</si>
  <si>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</si>
  <si>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</si>
  <si>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</si>
  <si>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</si>
  <si>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</si>
  <si>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</si>
  <si>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</si>
  <si>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</si>
  <si>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</si>
  <si>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</si>
  <si>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</si>
  <si>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</si>
  <si>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</si>
  <si>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</si>
  <si>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</si>
  <si>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</si>
  <si>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</si>
  <si>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</si>
  <si>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</si>
  <si>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</si>
  <si>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</si>
  <si>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</si>
  <si>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</si>
  <si>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</si>
  <si>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</si>
  <si>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</si>
  <si>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</si>
  <si>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</si>
  <si>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</si>
  <si>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</si>
  <si>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</si>
  <si>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</si>
  <si>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</si>
  <si>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</si>
  <si>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</si>
  <si>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</si>
  <si>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</si>
  <si>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</si>
  <si>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</si>
  <si>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</si>
  <si>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</si>
  <si>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</si>
  <si>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</si>
  <si>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</si>
  <si>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</si>
  <si>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</si>
  <si>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</si>
  <si>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</si>
  <si>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</si>
  <si>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</si>
  <si>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</si>
  <si>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</si>
  <si>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</si>
  <si>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</si>
  <si>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</si>
  <si>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</si>
  <si>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</si>
  <si>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</si>
  <si>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</si>
  <si>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</si>
  <si>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</si>
  <si>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</si>
  <si>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</si>
  <si>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</si>
  <si>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</si>
  <si>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</si>
  <si>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</si>
  <si>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</si>
  <si>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</si>
  <si>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</si>
  <si>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</si>
  <si>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</si>
  <si>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</si>
  <si>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</si>
  <si>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</si>
  <si>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</si>
  <si>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</si>
  <si>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</si>
  <si>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</si>
  <si>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</si>
  <si>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</si>
  <si>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</si>
  <si>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</si>
  <si>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</si>
  <si>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</si>
  <si>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</si>
  <si>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</si>
  <si>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</si>
  <si>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</si>
  <si>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</si>
  <si>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</si>
  <si>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</si>
  <si>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</si>
  <si>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</si>
  <si>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</si>
  <si>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</si>
  <si>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</si>
  <si>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</si>
  <si>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</si>
  <si>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</si>
  <si>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</si>
  <si>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</si>
  <si>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</si>
  <si>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</si>
  <si>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</si>
  <si>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</si>
  <si>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</si>
  <si>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</si>
  <si>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</si>
  <si>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</si>
  <si>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</si>
  <si>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</si>
  <si>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</si>
  <si>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</si>
  <si>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</si>
  <si>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</si>
  <si>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</si>
  <si>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</si>
  <si>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</si>
  <si>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</si>
  <si>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</si>
  <si>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</si>
  <si>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</si>
  <si>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</si>
  <si>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</si>
  <si>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</si>
  <si>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</si>
  <si>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</si>
  <si>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</si>
  <si>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</si>
  <si>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</si>
  <si>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</si>
  <si>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</si>
  <si>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</si>
  <si>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</si>
  <si>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</si>
  <si>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</si>
  <si>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</si>
  <si>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</si>
  <si>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</si>
  <si>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</si>
  <si>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</si>
  <si>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</si>
  <si>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</si>
  <si>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</si>
  <si>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</si>
  <si>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</si>
  <si>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</si>
  <si>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</si>
  <si>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</si>
  <si>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</si>
  <si>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</si>
  <si>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</si>
  <si>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</si>
  <si>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</si>
  <si>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</si>
  <si>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</si>
  <si>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</si>
  <si>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</si>
  <si>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</si>
  <si>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</si>
  <si>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</si>
  <si>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</si>
  <si>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</si>
  <si>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</si>
  <si>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</si>
  <si>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</si>
  <si>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</si>
  <si>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</si>
  <si>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</si>
  <si>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</si>
  <si>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</si>
  <si>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</si>
  <si>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</si>
  <si>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</si>
  <si>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</si>
  <si>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</si>
  <si>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</si>
  <si>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</si>
  <si>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</si>
  <si>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</si>
  <si>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</si>
  <si>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</si>
  <si>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</si>
  <si>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</si>
  <si>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</si>
  <si>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</si>
  <si>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</si>
  <si>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</si>
  <si>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</si>
  <si>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</si>
  <si>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</si>
  <si>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</si>
  <si>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</si>
  <si>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</si>
  <si>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</si>
  <si>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</si>
  <si>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</si>
  <si>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</si>
  <si>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</si>
  <si>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</si>
  <si>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</si>
  <si>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</si>
  <si>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</si>
  <si>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</si>
  <si>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</si>
  <si>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</si>
  <si>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</si>
  <si>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</si>
  <si>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</si>
  <si>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</si>
  <si>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</si>
  <si>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</si>
  <si>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</si>
  <si>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</si>
  <si>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</si>
  <si>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</si>
  <si>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</si>
  <si>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</si>
  <si>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</si>
  <si>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</si>
  <si>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</si>
  <si>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</si>
  <si>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</si>
  <si>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</si>
  <si>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</si>
  <si>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</si>
  <si>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</si>
  <si>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</si>
  <si>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</si>
  <si>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</si>
  <si>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</si>
  <si>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</si>
  <si>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</si>
  <si>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</si>
  <si>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</si>
  <si>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</si>
  <si>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</si>
  <si>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</si>
  <si>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</si>
  <si>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</si>
  <si>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</si>
  <si>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</si>
  <si>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</si>
  <si>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</si>
  <si>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</si>
  <si>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</si>
  <si>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</si>
  <si>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</si>
  <si>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</si>
  <si>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</si>
  <si>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</si>
  <si>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</si>
  <si>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</si>
  <si>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</si>
  <si>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</si>
  <si>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</si>
  <si>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</si>
  <si>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</si>
  <si>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</si>
  <si>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</si>
  <si>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</si>
  <si>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</si>
  <si>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</si>
  <si>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</si>
  <si>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</si>
  <si>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</si>
  <si>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</si>
  <si>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</si>
  <si>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</si>
  <si>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</si>
  <si>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</si>
  <si>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</si>
  <si>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</si>
  <si>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</si>
  <si>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</si>
  <si>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</si>
  <si>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</si>
  <si>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</si>
  <si>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</si>
  <si>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</si>
  <si>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</si>
  <si>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</si>
  <si>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</si>
  <si>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</si>
  <si>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</si>
  <si>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</si>
  <si>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</si>
  <si>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</si>
  <si>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</si>
  <si>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</si>
  <si>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</si>
  <si>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</si>
  <si>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</si>
  <si>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</si>
  <si>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</si>
  <si>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</si>
  <si>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</si>
  <si>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</si>
  <si>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</si>
  <si>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</si>
  <si>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</si>
  <si>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</si>
  <si>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</si>
  <si>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</si>
  <si>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</si>
  <si>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</si>
  <si>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</si>
  <si>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</si>
  <si>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</si>
  <si>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</si>
  <si>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</si>
  <si>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</si>
  <si>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</si>
  <si>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</si>
  <si>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</si>
  <si>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</si>
  <si>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</si>
  <si>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</si>
  <si>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</si>
  <si>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</si>
  <si>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</si>
  <si>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</si>
  <si>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</si>
  <si>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</si>
  <si>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</si>
  <si>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</si>
  <si>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</si>
  <si>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</si>
  <si>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</si>
  <si>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</si>
  <si>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</si>
  <si>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</si>
  <si>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</si>
  <si>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</si>
  <si>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</si>
  <si>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</si>
  <si>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</si>
  <si>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</si>
  <si>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</si>
  <si>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</si>
  <si>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</si>
  <si>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</si>
  <si>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</si>
  <si>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</si>
  <si>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</si>
  <si>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</si>
  <si>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</si>
  <si>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</si>
  <si>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</si>
  <si>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</si>
  <si>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</si>
  <si>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</si>
  <si>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</si>
  <si>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</si>
  <si>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</si>
  <si>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</si>
  <si>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</si>
  <si>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</si>
  <si>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</si>
  <si>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</si>
  <si>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</si>
  <si>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</si>
  <si>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</si>
  <si>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</si>
  <si>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</si>
  <si>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</si>
  <si>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</si>
  <si>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</si>
  <si>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</si>
  <si>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</si>
  <si>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</si>
  <si>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</si>
  <si>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</si>
  <si>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</si>
  <si>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</si>
  <si>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</si>
  <si>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</si>
  <si>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</si>
  <si>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</si>
  <si>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</si>
  <si>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</si>
  <si>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</si>
  <si>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</si>
  <si>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</si>
  <si>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</si>
  <si>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</si>
  <si>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</si>
  <si>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</si>
  <si>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</si>
  <si>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</si>
  <si>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</si>
  <si>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</si>
  <si>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</si>
  <si>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</si>
  <si>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</si>
  <si>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</si>
  <si>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</si>
  <si>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</si>
  <si>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</si>
  <si>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</si>
  <si>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</si>
  <si>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</si>
  <si>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</si>
  <si>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</si>
  <si>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</si>
  <si>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</si>
  <si>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</si>
  <si>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</si>
  <si>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</si>
  <si>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</si>
  <si>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</si>
  <si>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</si>
  <si>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</si>
  <si>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</si>
  <si>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</si>
  <si>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</si>
  <si>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</si>
  <si>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</si>
  <si>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</si>
  <si>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</si>
  <si>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</si>
  <si>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</si>
  <si>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</si>
  <si>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</si>
  <si>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</si>
  <si>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</si>
  <si>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</si>
  <si>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</si>
  <si>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</si>
  <si>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</si>
  <si>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</si>
  <si>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</si>
  <si>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</si>
  <si>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</si>
  <si>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</si>
  <si>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</si>
  <si>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</si>
  <si>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</si>
  <si>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</si>
  <si>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</si>
  <si>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</si>
  <si>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</si>
  <si>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</si>
  <si>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</si>
  <si>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</si>
  <si>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</si>
  <si>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</si>
  <si>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</si>
  <si>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</si>
  <si>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</si>
  <si>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</si>
  <si>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</si>
  <si>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</si>
  <si>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</si>
  <si>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</si>
  <si>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</si>
  <si>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</si>
  <si>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</si>
  <si>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</si>
  <si>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</si>
  <si>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</si>
  <si>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</si>
  <si>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</si>
  <si>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</si>
  <si>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</si>
  <si>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</si>
  <si>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</si>
  <si>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</si>
  <si>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</si>
  <si>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</si>
  <si>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</si>
  <si>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</si>
  <si>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</si>
  <si>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</si>
  <si>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</si>
  <si>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</si>
  <si>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</si>
  <si>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</si>
  <si>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</si>
  <si>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</si>
  <si>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</si>
  <si>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</si>
  <si>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</si>
  <si>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</si>
  <si>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</si>
  <si>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</si>
  <si>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</si>
  <si>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</si>
  <si>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</si>
  <si>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</si>
  <si>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</si>
  <si>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</si>
  <si>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</si>
  <si>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</si>
  <si>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</si>
  <si>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</si>
  <si>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</si>
  <si>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</si>
  <si>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</si>
  <si>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</si>
  <si>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</si>
  <si>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</si>
  <si>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</si>
  <si>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</si>
  <si>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</si>
  <si>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</si>
  <si>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</si>
  <si>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</si>
  <si>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</si>
  <si>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</si>
  <si>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</si>
  <si>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</si>
  <si>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</si>
  <si>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</si>
  <si>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</si>
  <si>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</si>
  <si>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</si>
  <si>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</si>
  <si>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</si>
  <si>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</si>
  <si>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</si>
  <si>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</si>
  <si>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</si>
  <si>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</si>
  <si>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</si>
  <si>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</si>
  <si>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</si>
  <si>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</si>
  <si>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</si>
  <si>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</si>
  <si>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</si>
  <si>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</si>
  <si>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</si>
  <si>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</si>
  <si>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</si>
  <si>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</si>
  <si>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</si>
  <si>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</si>
  <si>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</si>
  <si>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</si>
  <si>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</si>
  <si>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</si>
  <si>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</si>
  <si>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</si>
  <si>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</si>
  <si>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</si>
  <si>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</si>
  <si>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</si>
  <si>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</si>
  <si>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</si>
  <si>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</si>
  <si>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</si>
  <si>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</si>
  <si>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</si>
  <si>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</si>
  <si>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</si>
  <si>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</si>
  <si>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</si>
  <si>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</si>
  <si>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</si>
  <si>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</si>
  <si>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</si>
  <si>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</si>
  <si>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</si>
  <si>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</si>
  <si>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</si>
  <si>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</si>
  <si>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</si>
  <si>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</si>
  <si>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</si>
  <si>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</si>
  <si>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</si>
  <si>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</si>
  <si>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</si>
  <si>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</si>
  <si>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</si>
  <si>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</si>
  <si>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</si>
  <si>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</si>
  <si>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</si>
  <si>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</si>
  <si>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</si>
  <si>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</si>
  <si>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</si>
  <si>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</si>
  <si>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</si>
  <si>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</si>
  <si>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</si>
  <si>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</si>
  <si>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</si>
  <si>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</si>
  <si>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</si>
  <si>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</si>
  <si>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</si>
  <si>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</si>
  <si>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</si>
  <si>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</si>
  <si>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</si>
  <si>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</si>
  <si>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</si>
  <si>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</si>
  <si>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</si>
  <si>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</si>
  <si>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</si>
  <si>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</si>
  <si>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</si>
  <si>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</si>
  <si>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</si>
  <si>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</si>
  <si>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</si>
  <si>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</si>
  <si>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</si>
  <si>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</si>
  <si>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</si>
  <si>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</si>
  <si>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</si>
  <si>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</si>
  <si>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</si>
  <si>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</si>
  <si>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</si>
  <si>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</si>
  <si>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</si>
  <si>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</si>
  <si>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</si>
  <si>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</si>
  <si>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</si>
  <si>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</si>
  <si>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</si>
  <si>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</si>
  <si>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</si>
  <si>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</si>
  <si>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</si>
  <si>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</si>
  <si>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</si>
  <si>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</si>
  <si>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</si>
  <si>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</si>
  <si>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</si>
  <si>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</si>
  <si>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</si>
  <si>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</si>
  <si>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</si>
  <si>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</si>
  <si>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</si>
  <si>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</si>
  <si>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</si>
  <si>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</si>
  <si>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</si>
  <si>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</si>
  <si>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</si>
  <si>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</si>
  <si>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</si>
  <si>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</si>
  <si>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</si>
  <si>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</si>
  <si>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</si>
  <si>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</si>
  <si>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</si>
  <si>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</si>
  <si>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</si>
  <si>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</si>
  <si>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</si>
  <si>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</si>
  <si>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</si>
  <si>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</si>
  <si>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</si>
  <si>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</si>
  <si>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</si>
  <si>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</si>
  <si>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</si>
  <si>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</si>
  <si>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</si>
  <si>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</si>
  <si>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</si>
  <si>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</si>
  <si>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</si>
  <si>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</si>
  <si>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</si>
  <si>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</si>
  <si>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</si>
  <si>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</si>
  <si>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</si>
  <si>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</si>
  <si>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</si>
  <si>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</si>
  <si>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</si>
  <si>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</si>
  <si>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</si>
  <si>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</si>
  <si>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</si>
  <si>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</si>
  <si>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</si>
  <si>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</si>
  <si>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</si>
  <si>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</si>
  <si>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</si>
  <si>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</si>
  <si>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</si>
  <si>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</si>
  <si>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</si>
  <si>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</si>
  <si>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</si>
  <si>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</si>
  <si>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</si>
  <si>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</si>
  <si>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</si>
  <si>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</si>
  <si>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</si>
  <si>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</si>
  <si>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</si>
  <si>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</si>
  <si>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</si>
  <si>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</si>
  <si>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</si>
  <si>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</si>
  <si>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</si>
  <si>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</si>
  <si>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</si>
  <si>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</si>
  <si>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</si>
  <si>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</si>
  <si>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</si>
  <si>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</si>
  <si>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</si>
  <si>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</si>
  <si>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</si>
  <si>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</si>
  <si>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</si>
  <si>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</si>
  <si>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</si>
  <si>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</si>
  <si>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</si>
  <si>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</si>
  <si>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</si>
  <si>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</si>
  <si>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</si>
  <si>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</si>
  <si>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</si>
  <si>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</si>
  <si>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</si>
  <si>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</si>
  <si>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</si>
  <si>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</si>
  <si>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</si>
  <si>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</si>
  <si>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</si>
  <si>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</si>
  <si>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</si>
  <si>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</si>
  <si>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</si>
  <si>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</si>
  <si>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</si>
  <si>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</si>
  <si>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</si>
  <si>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</si>
  <si>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</si>
  <si>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</si>
  <si>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</si>
  <si>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</si>
  <si>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</si>
  <si>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</si>
  <si>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</si>
  <si>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</si>
  <si>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</si>
  <si>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</si>
  <si>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</si>
  <si>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</si>
  <si>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</si>
  <si>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</si>
  <si>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</si>
  <si>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</si>
  <si>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</si>
  <si>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</si>
  <si>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</si>
  <si>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</si>
  <si>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</si>
  <si>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</si>
  <si>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</si>
  <si>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</si>
  <si>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</si>
  <si>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</si>
  <si>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</si>
  <si>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</si>
  <si>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</si>
  <si>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</si>
  <si>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</si>
  <si>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</si>
  <si>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</si>
  <si>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</si>
  <si>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</si>
  <si>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</si>
  <si>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</si>
  <si>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</si>
  <si>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</si>
  <si>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</si>
  <si>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</si>
  <si>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</si>
  <si>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</si>
  <si>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</si>
  <si>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</si>
  <si>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</si>
  <si>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</si>
  <si>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</si>
  <si>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</si>
  <si>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</si>
  <si>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</si>
  <si>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</si>
  <si>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</si>
  <si>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</si>
  <si>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</si>
  <si>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</si>
  <si>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</si>
  <si>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</si>
  <si>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</si>
  <si>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</si>
  <si>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</si>
  <si>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</si>
  <si>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</si>
  <si>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</si>
  <si>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</si>
  <si>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</si>
  <si>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</si>
  <si>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</si>
  <si>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</si>
  <si>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</si>
  <si>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</si>
  <si>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</si>
  <si>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</si>
  <si>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</si>
  <si>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</si>
  <si>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</si>
  <si>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</si>
  <si>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</si>
  <si>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</si>
  <si>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</si>
  <si>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</si>
  <si>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</si>
  <si>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</si>
  <si>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</si>
  <si>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</si>
  <si>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</si>
  <si>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</si>
  <si>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</si>
  <si>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</si>
  <si>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</si>
  <si>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</si>
  <si>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</si>
  <si>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</si>
  <si>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</si>
  <si>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</si>
  <si>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</si>
  <si>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</si>
  <si>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</si>
  <si>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</si>
  <si>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</si>
  <si>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</si>
  <si>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</si>
  <si>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</si>
  <si>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</si>
  <si>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</si>
  <si>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</si>
  <si>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</si>
  <si>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</si>
  <si>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</si>
  <si>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</si>
  <si>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</si>
  <si>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</si>
  <si>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</si>
  <si>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</si>
  <si>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</si>
  <si>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</si>
  <si>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</si>
  <si>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</si>
  <si>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</si>
  <si>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</si>
  <si>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</si>
  <si>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</si>
  <si>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</si>
  <si>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</si>
  <si>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</si>
  <si>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</si>
  <si>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</si>
  <si>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</si>
  <si>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</si>
  <si>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</si>
  <si>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</si>
  <si>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</si>
  <si>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</si>
  <si>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</si>
  <si>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</si>
  <si>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</si>
  <si>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</si>
  <si>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</si>
  <si>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</si>
  <si>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</si>
  <si>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</si>
  <si>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</si>
  <si>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</si>
  <si>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</si>
  <si>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</si>
  <si>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</si>
  <si>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</si>
  <si>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</si>
  <si>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</si>
  <si>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</si>
  <si>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</si>
  <si>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</si>
  <si>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</si>
  <si>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</si>
  <si>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</si>
  <si>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</si>
  <si>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</si>
  <si>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</si>
  <si>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</si>
  <si>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</si>
  <si>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</si>
  <si>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</si>
  <si>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</si>
  <si>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</si>
  <si>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</si>
  <si>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</si>
  <si>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</si>
  <si>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</si>
  <si>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</si>
  <si>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</si>
  <si>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</si>
  <si>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</si>
  <si>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</si>
  <si>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</si>
  <si>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</si>
  <si>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</si>
  <si>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</si>
  <si>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</si>
  <si>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</si>
  <si>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</si>
  <si>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</si>
  <si>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</si>
  <si>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</si>
  <si>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</si>
  <si>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</si>
  <si>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</si>
  <si>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</si>
  <si>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</si>
  <si>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</si>
  <si>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</si>
  <si>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</si>
  <si>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</si>
  <si>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</si>
  <si>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</si>
  <si>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</si>
  <si>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</si>
  <si>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</si>
  <si>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</si>
  <si>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</si>
  <si>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</si>
  <si>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</si>
  <si>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</si>
  <si>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</si>
  <si>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</si>
  <si>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</si>
  <si>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</si>
  <si>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</si>
  <si>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</si>
  <si>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</si>
  <si>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</si>
  <si>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</si>
  <si>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</si>
  <si>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</si>
  <si>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</si>
  <si>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</si>
  <si>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</si>
  <si>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</si>
  <si>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</si>
  <si>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</si>
  <si>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</si>
  <si>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</si>
  <si>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</si>
  <si>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</si>
  <si>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</si>
  <si>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</si>
  <si>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</si>
  <si>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</si>
  <si>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</si>
  <si>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</si>
  <si>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</si>
  <si>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</si>
  <si>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</si>
  <si>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</si>
  <si>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</si>
  <si>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</si>
  <si>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</si>
  <si>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</si>
  <si>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</si>
  <si>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</si>
  <si>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</si>
  <si>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</si>
  <si>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</si>
  <si>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</si>
  <si>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</si>
  <si>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</si>
  <si>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</si>
  <si>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</si>
  <si>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</si>
  <si>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</si>
  <si>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</si>
  <si>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</si>
  <si>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</si>
  <si>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</si>
  <si>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</si>
  <si>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</si>
  <si>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</si>
  <si>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</si>
  <si>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</si>
  <si>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</si>
  <si>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</si>
  <si>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</si>
  <si>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</si>
  <si>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</si>
  <si>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</si>
  <si>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</si>
  <si>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</si>
  <si>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</si>
  <si>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</si>
  <si>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</si>
  <si>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</si>
  <si>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</si>
  <si>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</si>
  <si>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</si>
  <si>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</si>
  <si>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</si>
  <si>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</si>
  <si>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</si>
  <si>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</si>
  <si>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</si>
  <si>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</si>
  <si>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</si>
  <si>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</si>
  <si>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</si>
  <si>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</si>
  <si>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</si>
  <si>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</si>
  <si>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</si>
  <si>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</si>
  <si>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</si>
  <si>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</si>
  <si>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</si>
  <si>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</si>
  <si>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</si>
  <si>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</si>
  <si>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</si>
  <si>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</si>
  <si>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</si>
  <si>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</si>
  <si>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</si>
  <si>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</si>
  <si>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</si>
  <si>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</si>
  <si>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</si>
  <si>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</si>
  <si>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</si>
  <si>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</si>
  <si>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</si>
  <si>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</si>
  <si>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</si>
  <si>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</si>
  <si>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</si>
  <si>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</si>
  <si>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</si>
  <si>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</si>
  <si>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</si>
  <si>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</si>
  <si>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</si>
  <si>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</si>
  <si>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</si>
  <si>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</si>
  <si>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</si>
  <si>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</si>
  <si>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</si>
  <si>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</si>
  <si>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</si>
  <si>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</si>
  <si>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</si>
  <si>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</si>
  <si>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</si>
  <si>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</si>
  <si>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</si>
  <si>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</si>
  <si>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</si>
  <si>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</si>
  <si>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</si>
  <si>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</si>
  <si>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</si>
  <si>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</si>
  <si>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</si>
  <si>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</si>
  <si>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</si>
  <si>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</si>
  <si>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</si>
  <si>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</si>
  <si>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</si>
  <si>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</si>
  <si>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</si>
  <si>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</si>
  <si>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</si>
  <si>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</si>
  <si>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</si>
  <si>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</si>
  <si>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</si>
  <si>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</si>
  <si>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</si>
  <si>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</si>
  <si>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</si>
  <si>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</si>
  <si>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</si>
  <si>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</si>
  <si>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</si>
  <si>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</si>
  <si>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</si>
  <si>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</si>
  <si>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</si>
  <si>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</si>
  <si>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</si>
  <si>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</si>
  <si>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</si>
  <si>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</si>
  <si>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</si>
  <si>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</si>
  <si>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</si>
  <si>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</si>
  <si>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</si>
  <si>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</si>
  <si>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</si>
  <si>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</si>
  <si>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</si>
  <si>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</si>
  <si>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</si>
  <si>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</si>
  <si>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</si>
  <si>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</si>
  <si>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</si>
  <si>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</si>
  <si>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</si>
  <si>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</si>
  <si>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</si>
  <si>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</si>
  <si>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</si>
  <si>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</si>
  <si>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</si>
  <si>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</si>
  <si>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</si>
  <si>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</si>
  <si>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</si>
  <si>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</si>
  <si>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</si>
  <si>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</si>
  <si>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</si>
  <si>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</si>
  <si>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</si>
  <si>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</si>
  <si>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</si>
  <si>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</si>
  <si>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</si>
  <si>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</si>
  <si>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</si>
  <si>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</si>
  <si>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</si>
  <si>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</si>
  <si>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</si>
  <si>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</si>
  <si>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</si>
  <si>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</si>
  <si>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</si>
  <si>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</si>
  <si>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</si>
  <si>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</si>
  <si>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</si>
  <si>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</si>
  <si>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</si>
  <si>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</si>
  <si>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</si>
  <si>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</si>
  <si>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</si>
  <si>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</si>
  <si>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</si>
  <si>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</si>
  <si>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</si>
  <si>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</si>
  <si>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</si>
  <si>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</si>
  <si>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</si>
  <si>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</si>
  <si>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</si>
  <si>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</si>
  <si>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</si>
  <si>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</si>
  <si>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</si>
  <si>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</si>
  <si>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</si>
  <si>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</si>
  <si>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</si>
  <si>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</si>
  <si>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</si>
  <si>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</si>
  <si>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</si>
  <si>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</si>
  <si>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</si>
  <si>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</si>
  <si>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</si>
  <si>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</si>
  <si>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</si>
  <si>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</si>
  <si>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</si>
  <si>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</si>
  <si>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</si>
  <si>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</si>
  <si>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</si>
  <si>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</si>
  <si>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</si>
  <si>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</si>
  <si>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</si>
  <si>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</si>
  <si>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</si>
  <si>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</si>
  <si>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</si>
  <si>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</si>
  <si>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</si>
  <si>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</si>
  <si>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</si>
  <si>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</si>
  <si>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</si>
  <si>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</si>
  <si>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</si>
  <si>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</si>
  <si>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</si>
  <si>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</si>
  <si>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</si>
  <si>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</si>
  <si>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</si>
  <si>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</si>
  <si>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</si>
  <si>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</si>
  <si>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</si>
  <si>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</si>
  <si>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</si>
  <si>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</si>
  <si>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</si>
  <si>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</si>
  <si>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</si>
  <si>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</si>
  <si>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</si>
  <si>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</si>
  <si>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</si>
  <si>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</si>
  <si>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</si>
  <si>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</si>
  <si>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</si>
  <si>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</si>
  <si>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</si>
  <si>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</si>
  <si>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</si>
  <si>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</si>
  <si>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</si>
  <si>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</si>
  <si>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</si>
  <si>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</si>
  <si>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</si>
  <si>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</si>
  <si>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</si>
  <si>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</si>
  <si>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</si>
  <si>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</si>
  <si>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</si>
  <si>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</si>
  <si>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</si>
  <si>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</si>
  <si>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</si>
  <si>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</si>
  <si>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</si>
  <si>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</si>
  <si>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</si>
  <si>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</si>
  <si>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</si>
  <si>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</si>
  <si>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</si>
  <si>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</si>
  <si>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</si>
  <si>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</si>
  <si>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</si>
  <si>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</si>
  <si>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</si>
  <si>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</si>
  <si>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</si>
  <si>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</si>
  <si>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</si>
  <si>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</si>
  <si>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</si>
  <si>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</si>
  <si>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</si>
  <si>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</si>
  <si>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</si>
  <si>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</si>
  <si>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</si>
  <si>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</si>
  <si>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</si>
  <si>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</si>
  <si>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</si>
  <si>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</si>
  <si>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</si>
  <si>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</si>
  <si>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</si>
  <si>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</si>
  <si>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</si>
  <si>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</si>
  <si>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</si>
  <si>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</si>
  <si>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</si>
  <si>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</si>
  <si>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</si>
  <si>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</si>
  <si>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</si>
  <si>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</si>
  <si>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</si>
  <si>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</si>
  <si>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</si>
  <si>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</si>
  <si>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</si>
  <si>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</si>
  <si>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</si>
  <si>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</si>
  <si>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</si>
  <si>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</si>
  <si>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</si>
  <si>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</si>
  <si>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</si>
  <si>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</si>
  <si>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</si>
  <si>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</si>
  <si>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</si>
  <si>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</si>
  <si>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</si>
  <si>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</si>
  <si>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</si>
  <si>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</si>
  <si>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</si>
  <si>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</si>
  <si>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</si>
  <si>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</si>
  <si>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</si>
  <si>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</si>
  <si>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</si>
  <si>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</si>
  <si>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</si>
  <si>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</si>
  <si>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</si>
  <si>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</si>
  <si>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</si>
  <si>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</si>
  <si>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</si>
  <si>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</si>
  <si>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</si>
  <si>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</si>
  <si>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</si>
  <si>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</si>
  <si>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</si>
  <si>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</si>
  <si>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</si>
  <si>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</si>
  <si>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</si>
  <si>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</si>
  <si>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</si>
  <si>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</si>
  <si>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</si>
  <si>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</si>
  <si>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</si>
  <si>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</si>
  <si>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</si>
  <si>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</si>
  <si>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</si>
  <si>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</si>
  <si>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</si>
  <si>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</si>
  <si>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</si>
  <si>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</si>
  <si>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</si>
  <si>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</si>
  <si>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</si>
  <si>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</si>
  <si>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</si>
  <si>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</si>
  <si>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</si>
  <si>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</si>
  <si>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</si>
  <si>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</si>
  <si>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</si>
  <si>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</si>
  <si>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</si>
  <si>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</si>
  <si>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</si>
  <si>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</si>
  <si>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</si>
  <si>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</si>
  <si>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</si>
  <si>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</si>
  <si>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</si>
  <si>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</si>
  <si>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</si>
  <si>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</si>
  <si>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</si>
  <si>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</si>
  <si>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</si>
  <si>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</si>
  <si>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</si>
  <si>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</si>
  <si>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</si>
  <si>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</si>
  <si>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</si>
  <si>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</si>
  <si>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</si>
  <si>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</si>
  <si>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</si>
  <si>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</si>
  <si>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</si>
  <si>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</si>
  <si>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</si>
  <si>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</si>
  <si>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</si>
  <si>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</si>
  <si>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</si>
  <si>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</si>
  <si>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</si>
  <si>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</si>
  <si>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</si>
  <si>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</si>
  <si>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</si>
  <si>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</si>
  <si>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</si>
  <si>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</si>
  <si>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</si>
  <si>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</si>
  <si>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</si>
  <si>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</si>
  <si>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</si>
  <si>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</si>
  <si>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</si>
  <si>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</si>
  <si>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</si>
  <si>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</si>
  <si>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</si>
  <si>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</si>
  <si>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</si>
  <si>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</si>
  <si>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</si>
  <si>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</si>
  <si>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</si>
  <si>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</si>
  <si>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</si>
  <si>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</si>
  <si>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</si>
  <si>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</si>
  <si>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</si>
  <si>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</si>
  <si>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</si>
  <si>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</si>
  <si>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</si>
  <si>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</si>
  <si>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</si>
  <si>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</si>
  <si>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</si>
  <si>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</si>
  <si>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</si>
  <si>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</si>
  <si>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</si>
  <si>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</si>
  <si>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</si>
  <si>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</si>
  <si>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</si>
  <si>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</si>
  <si>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</si>
  <si>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</si>
  <si>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</si>
  <si>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</si>
  <si>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</si>
  <si>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</si>
  <si>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</si>
  <si>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</si>
  <si>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</si>
  <si>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</si>
  <si>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</si>
  <si>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</si>
  <si>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</si>
  <si>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</si>
  <si>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</si>
  <si>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</si>
  <si>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</si>
  <si>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</si>
  <si>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</si>
  <si>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</si>
  <si>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</si>
  <si>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</si>
  <si>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</si>
  <si>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</si>
  <si>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</si>
  <si>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</si>
  <si>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</si>
  <si>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</si>
  <si>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</si>
  <si>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</si>
  <si>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</si>
  <si>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</si>
  <si>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</si>
  <si>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</si>
  <si>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</si>
  <si>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</si>
  <si>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</si>
  <si>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</si>
  <si>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</si>
  <si>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</si>
  <si>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</si>
  <si>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</si>
  <si>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</si>
  <si>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</si>
  <si>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</si>
  <si>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</si>
  <si>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</si>
  <si>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</si>
  <si>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</si>
  <si>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</si>
  <si>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</si>
  <si>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</si>
  <si>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</si>
  <si>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</si>
  <si>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</si>
  <si>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</si>
  <si>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</si>
  <si>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</si>
  <si>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</si>
  <si>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</si>
  <si>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</si>
  <si>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</si>
  <si>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</si>
  <si>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</si>
  <si>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</si>
  <si>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</si>
  <si>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</si>
  <si>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</si>
  <si>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</si>
  <si>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</si>
  <si>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</si>
  <si>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</si>
  <si>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</si>
  <si>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</si>
  <si>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</si>
  <si>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</si>
  <si>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</si>
  <si>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</si>
  <si>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</si>
  <si>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</si>
  <si>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</si>
  <si>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</si>
  <si>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</si>
  <si>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</si>
  <si>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</si>
  <si>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</si>
  <si>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</si>
  <si>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</si>
  <si>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</si>
  <si>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</si>
  <si>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</si>
  <si>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</si>
  <si>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</si>
  <si>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</si>
  <si>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</si>
  <si>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</si>
  <si>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</si>
  <si>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</si>
  <si>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</si>
  <si>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</si>
  <si>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</si>
  <si>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</si>
  <si>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</si>
  <si>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</si>
  <si>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</si>
  <si>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</si>
  <si>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</si>
  <si>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</si>
  <si>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</si>
  <si>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</si>
  <si>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</si>
  <si>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</si>
  <si>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</si>
  <si>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</si>
  <si>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</si>
  <si>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</si>
  <si>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</si>
  <si>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</si>
  <si>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</si>
  <si>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</si>
  <si>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</si>
  <si>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</si>
  <si>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</si>
  <si>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</si>
  <si>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</si>
  <si>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</si>
  <si>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</si>
  <si>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</si>
  <si>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</si>
  <si>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</si>
  <si>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</si>
  <si>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</si>
  <si>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</si>
  <si>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</si>
  <si>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</si>
  <si>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</si>
  <si>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</si>
  <si>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</si>
  <si>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</si>
  <si>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</si>
  <si>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</si>
  <si>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</si>
  <si>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</si>
  <si>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</si>
  <si>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</si>
  <si>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</si>
  <si>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</si>
  <si>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</si>
  <si>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</si>
  <si>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</si>
  <si>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</si>
  <si>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</si>
  <si>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</si>
  <si>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</si>
  <si>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</si>
  <si>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</si>
  <si>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</si>
  <si>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</si>
  <si>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</si>
  <si>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</si>
  <si>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</si>
  <si>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</si>
  <si>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</si>
  <si>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</si>
  <si>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</si>
  <si>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</si>
  <si>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</si>
  <si>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</si>
  <si>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</si>
  <si>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</si>
  <si>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</si>
  <si>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</si>
  <si>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</si>
  <si>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</si>
  <si>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</si>
  <si>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</si>
  <si>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</si>
  <si>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</si>
  <si>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</si>
  <si>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</si>
  <si>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</si>
  <si>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</si>
  <si>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</si>
  <si>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</si>
  <si>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</si>
  <si>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</si>
  <si>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</si>
  <si>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</si>
  <si>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</si>
  <si>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</si>
  <si>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</si>
  <si>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</si>
  <si>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</si>
  <si>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</si>
  <si>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</si>
  <si>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</si>
  <si>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</si>
  <si>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</si>
  <si>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</si>
  <si>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</si>
  <si>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</si>
  <si>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</si>
  <si>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</si>
  <si>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</si>
  <si>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</si>
  <si>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</si>
  <si>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</si>
  <si>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</si>
  <si>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</si>
  <si>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</si>
  <si>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</si>
  <si>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</si>
  <si>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</si>
  <si>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</si>
  <si>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</si>
  <si>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</si>
  <si>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</si>
  <si>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</si>
  <si>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</si>
  <si>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</si>
  <si>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</si>
  <si>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</si>
  <si>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</si>
  <si>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</si>
  <si>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</si>
  <si>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</si>
  <si>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</si>
  <si>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</si>
  <si>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</si>
  <si>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</si>
  <si>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</si>
  <si>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</si>
  <si>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</si>
  <si>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</si>
  <si>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</si>
  <si>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</si>
  <si>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</si>
  <si>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</si>
  <si>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</si>
  <si>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</si>
  <si>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</si>
  <si>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</si>
  <si>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</si>
  <si>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</si>
  <si>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</si>
  <si>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</si>
  <si>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</si>
  <si>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</si>
  <si>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</si>
  <si>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</si>
  <si>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</si>
  <si>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</si>
  <si>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</si>
  <si>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</si>
  <si>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</si>
  <si>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</si>
  <si>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</si>
  <si>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</si>
  <si>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</si>
  <si>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</si>
  <si>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</si>
  <si>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</si>
  <si>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</si>
  <si>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</si>
  <si>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</si>
  <si>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</si>
  <si>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</si>
  <si>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</si>
  <si>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</si>
  <si>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</si>
  <si>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</si>
  <si>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</si>
  <si>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</si>
  <si>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</si>
  <si>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</si>
  <si>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</si>
  <si>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</si>
  <si>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</si>
  <si>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</si>
  <si>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</si>
  <si>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</si>
  <si>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</si>
  <si>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</si>
  <si>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</si>
  <si>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</si>
  <si>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</si>
  <si>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</si>
  <si>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</si>
  <si>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</si>
  <si>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</si>
  <si>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</si>
  <si>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</si>
  <si>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</si>
  <si>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</si>
  <si>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</si>
  <si>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</si>
  <si>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</si>
  <si>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</si>
  <si>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</si>
  <si>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</si>
  <si>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</si>
  <si>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</si>
  <si>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</si>
  <si>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</si>
  <si>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</si>
  <si>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</si>
  <si>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</si>
  <si>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</si>
  <si>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</si>
  <si>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</si>
  <si>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</si>
  <si>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</si>
  <si>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</si>
  <si>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</si>
  <si>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</si>
  <si>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</si>
  <si>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</si>
  <si>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</si>
  <si>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</si>
  <si>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</si>
  <si>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</si>
  <si>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</si>
  <si>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</si>
  <si>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</si>
  <si>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</si>
  <si>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</si>
  <si>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</si>
  <si>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</si>
  <si>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</si>
  <si>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</si>
  <si>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</si>
  <si>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</si>
  <si>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</si>
  <si>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</si>
  <si>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</si>
  <si>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</si>
  <si>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</si>
  <si>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</si>
  <si>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</si>
  <si>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</si>
  <si>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</si>
  <si>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</si>
  <si>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</si>
  <si>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</si>
  <si>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</si>
  <si>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</si>
  <si>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</si>
  <si>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</si>
  <si>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</si>
  <si>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</si>
  <si>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</si>
  <si>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</si>
  <si>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</si>
  <si>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</si>
  <si>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</si>
  <si>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</si>
  <si>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</si>
  <si>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</si>
  <si>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</si>
  <si>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</si>
  <si>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</si>
  <si>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</si>
  <si>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</si>
  <si>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</si>
  <si>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</si>
  <si>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</si>
  <si>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</si>
  <si>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</si>
  <si>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</si>
  <si>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</si>
  <si>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</si>
  <si>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</si>
  <si>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</si>
  <si>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</si>
  <si>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</si>
  <si>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</si>
  <si>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</si>
  <si>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</si>
  <si>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</si>
  <si>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</si>
  <si>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</si>
  <si>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</si>
  <si>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</si>
  <si>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</si>
  <si>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</si>
  <si>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</si>
  <si>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</si>
  <si>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</si>
  <si>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</si>
  <si>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</si>
  <si>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</si>
  <si>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</si>
  <si>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</si>
  <si>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</si>
  <si>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</si>
  <si>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</si>
  <si>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</si>
  <si>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</si>
  <si>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</si>
  <si>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</si>
  <si>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</si>
  <si>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</si>
  <si>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</si>
  <si>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</si>
  <si>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</si>
  <si>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</si>
  <si>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</si>
  <si>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</si>
  <si>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</si>
  <si>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</si>
  <si>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</si>
  <si>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</si>
  <si>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</si>
  <si>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</si>
  <si>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</si>
  <si>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</si>
  <si>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</si>
  <si>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</si>
  <si>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</si>
  <si>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</si>
  <si>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</si>
  <si>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</si>
  <si>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</si>
  <si>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</si>
  <si>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</si>
  <si>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</si>
  <si>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</si>
  <si>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</si>
  <si>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</si>
  <si>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</si>
  <si>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</si>
  <si>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</si>
  <si>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</si>
  <si>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</si>
  <si>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</si>
  <si>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</si>
  <si>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</si>
  <si>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</si>
  <si>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</si>
  <si>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</si>
  <si>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</si>
  <si>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</si>
  <si>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</si>
  <si>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</si>
  <si>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</si>
  <si>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</si>
  <si>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</si>
  <si>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</si>
  <si>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</si>
  <si>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</si>
  <si>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</si>
  <si>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</si>
  <si>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</si>
  <si>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</si>
  <si>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</si>
  <si>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</si>
  <si>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</si>
  <si>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</si>
  <si>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</si>
  <si>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</si>
  <si>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</si>
  <si>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</si>
  <si>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</si>
  <si>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</si>
  <si>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</si>
  <si>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</si>
  <si>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</si>
  <si>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</si>
  <si>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</si>
  <si>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</si>
  <si>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</si>
  <si>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</si>
  <si>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</si>
  <si>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</si>
  <si>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</si>
  <si>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</si>
  <si>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</si>
  <si>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</si>
  <si>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</si>
  <si>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</si>
  <si>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</si>
  <si>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</si>
  <si>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</si>
  <si>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</si>
  <si>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</si>
  <si>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</si>
  <si>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</si>
  <si>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</si>
  <si>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</si>
  <si>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</si>
  <si>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</si>
  <si>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</si>
  <si>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</si>
  <si>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</si>
  <si>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</si>
  <si>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</si>
  <si>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</si>
  <si>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</si>
  <si>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</si>
  <si>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</si>
  <si>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</si>
  <si>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</si>
  <si>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</si>
  <si>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</si>
  <si>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</si>
  <si>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</si>
  <si>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</si>
  <si>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</si>
  <si>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</si>
  <si>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</si>
  <si>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</si>
  <si>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</si>
  <si>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</si>
  <si>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</si>
  <si>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</si>
  <si>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</si>
  <si>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</si>
  <si>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</si>
  <si>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</si>
  <si>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</si>
  <si>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</si>
  <si>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</si>
  <si>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</si>
  <si>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</si>
  <si>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</si>
  <si>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</si>
  <si>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</si>
  <si>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</si>
  <si>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</si>
  <si>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</si>
  <si>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</si>
  <si>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</si>
  <si>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</si>
  <si>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</si>
  <si>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</si>
  <si>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</si>
  <si>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</si>
  <si>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</si>
  <si>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</si>
  <si>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</si>
  <si>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</si>
  <si>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</si>
  <si>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</si>
  <si>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</si>
  <si>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</si>
  <si>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</si>
  <si>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</si>
  <si>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</si>
  <si>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</si>
  <si>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</si>
  <si>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</si>
  <si>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</si>
  <si>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</si>
  <si>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</si>
  <si>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</si>
  <si>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</si>
  <si>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</si>
  <si>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</si>
  <si>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</si>
  <si>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</si>
  <si>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</si>
  <si>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</si>
  <si>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</si>
  <si>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</si>
  <si>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</si>
  <si>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</si>
  <si>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</si>
  <si>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</si>
  <si>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</si>
  <si>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</si>
  <si>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</si>
  <si>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</si>
  <si>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</si>
  <si>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</si>
  <si>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</si>
  <si>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</si>
  <si>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</si>
  <si>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</si>
  <si>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</si>
  <si>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</si>
  <si>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</si>
  <si>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</si>
  <si>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</si>
  <si>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</si>
  <si>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</si>
  <si>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</si>
  <si>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</si>
  <si>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</si>
  <si>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</si>
  <si>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</si>
  <si>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</si>
  <si>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</si>
  <si>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</si>
  <si>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</si>
  <si>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</si>
  <si>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</si>
  <si>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</si>
  <si>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</si>
  <si>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</si>
  <si>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</si>
  <si>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</si>
  <si>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</si>
  <si>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</si>
  <si>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</si>
  <si>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</si>
  <si>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</si>
  <si>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</si>
  <si>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</si>
  <si>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</si>
  <si>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</si>
  <si>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</si>
  <si>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</si>
  <si>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</si>
  <si>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</si>
  <si>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</si>
  <si>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</si>
  <si>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</si>
  <si>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</si>
  <si>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</si>
  <si>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</si>
  <si>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</si>
  <si>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</si>
  <si>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</si>
  <si>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</si>
  <si>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</si>
  <si>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</si>
  <si>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</si>
  <si>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</si>
  <si>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</si>
  <si>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</si>
  <si>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</si>
  <si>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</si>
  <si>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</si>
  <si>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</si>
  <si>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</si>
  <si>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</si>
  <si>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</si>
  <si>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</si>
  <si>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</si>
  <si>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</si>
  <si>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</si>
  <si>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</si>
  <si>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</si>
  <si>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</si>
  <si>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</si>
  <si>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</si>
  <si>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</si>
  <si>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</si>
  <si>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</si>
  <si>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</si>
  <si>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</si>
  <si>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</si>
  <si>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</si>
  <si>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</si>
  <si>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</si>
  <si>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</si>
  <si>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</si>
  <si>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</si>
  <si>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</si>
  <si>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</si>
  <si>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</si>
  <si>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</si>
  <si>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</si>
  <si>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</si>
  <si>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</si>
  <si>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</si>
  <si>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</si>
  <si>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</si>
  <si>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</si>
  <si>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</si>
  <si>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</si>
  <si>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</si>
  <si>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</si>
  <si>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</si>
  <si>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</si>
  <si>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</si>
  <si>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</si>
  <si>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</si>
  <si>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</si>
  <si>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</si>
  <si>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</si>
  <si>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</si>
  <si>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</si>
  <si>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</si>
  <si>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</si>
  <si>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</si>
  <si>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</si>
  <si>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</si>
  <si>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</si>
  <si>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</si>
  <si>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</si>
  <si>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</si>
  <si>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</si>
  <si>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</si>
  <si>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</si>
  <si>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</si>
  <si>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</si>
  <si>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</si>
  <si>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</si>
  <si>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</si>
  <si>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</si>
  <si>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</si>
  <si>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</si>
  <si>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</si>
  <si>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</si>
  <si>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</si>
  <si>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</si>
  <si>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</si>
  <si>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</si>
  <si>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</si>
  <si>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</si>
  <si>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</si>
  <si>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</si>
  <si>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</si>
  <si>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</si>
  <si>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</si>
  <si>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</si>
  <si>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</si>
  <si>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</si>
  <si>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</si>
  <si>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</si>
  <si>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</si>
  <si>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</si>
  <si>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</si>
  <si>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</si>
  <si>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</si>
  <si>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</si>
  <si>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</si>
  <si>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</si>
  <si>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</si>
  <si>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</si>
  <si>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</si>
  <si>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</si>
  <si>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</si>
  <si>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</si>
  <si>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</si>
  <si>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</si>
  <si>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</si>
  <si>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</si>
  <si>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</si>
  <si>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</si>
  <si>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</si>
  <si>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</si>
  <si>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</si>
  <si>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</si>
  <si>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</si>
  <si>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</si>
  <si>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</si>
  <si>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</si>
  <si>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</si>
  <si>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</si>
  <si>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</si>
  <si>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</si>
  <si>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</si>
  <si>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</si>
  <si>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</si>
  <si>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</si>
  <si>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</si>
  <si>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</si>
  <si>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</si>
  <si>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</si>
  <si>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</si>
  <si>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</si>
  <si>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</si>
  <si>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</si>
  <si>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</si>
  <si>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</si>
  <si>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</si>
  <si>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</si>
  <si>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</si>
  <si>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</si>
  <si>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</si>
  <si>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</si>
  <si>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</si>
  <si>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</si>
  <si>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</si>
  <si>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</si>
  <si>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</si>
  <si>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</si>
  <si>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</si>
  <si>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</si>
  <si>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</si>
  <si>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</si>
  <si>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</si>
  <si>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</si>
  <si>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</si>
  <si>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</si>
  <si>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</si>
  <si>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</si>
  <si>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</si>
  <si>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</si>
  <si>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</si>
  <si>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</si>
  <si>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</si>
  <si>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</si>
  <si>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</si>
  <si>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</si>
  <si>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</si>
  <si>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</si>
  <si>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</si>
  <si>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</si>
  <si>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</si>
  <si>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</si>
  <si>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</si>
  <si>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</si>
  <si>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</si>
  <si>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</si>
  <si>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</si>
  <si>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</si>
  <si>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</si>
  <si>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</si>
  <si>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</si>
  <si>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</si>
  <si>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</si>
  <si>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</si>
  <si>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</si>
  <si>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</si>
  <si>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</si>
  <si>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</si>
  <si>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</si>
  <si>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</si>
  <si>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</si>
  <si>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</si>
  <si>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</si>
  <si>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</si>
  <si>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</si>
  <si>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</si>
  <si>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</si>
  <si>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</si>
  <si>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</si>
  <si>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</si>
  <si>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</si>
  <si>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</si>
  <si>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</si>
  <si>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</si>
  <si>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</si>
  <si>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</si>
  <si>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</si>
  <si>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</si>
  <si>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</si>
  <si>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</si>
  <si>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</si>
  <si>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</si>
  <si>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</si>
  <si>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</si>
  <si>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</si>
  <si>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</si>
  <si>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</si>
  <si>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</si>
  <si>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</si>
  <si>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</si>
  <si>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</si>
  <si>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</si>
  <si>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</si>
  <si>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</si>
  <si>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</si>
  <si>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</si>
  <si>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</si>
  <si>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</si>
  <si>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</si>
  <si>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</si>
  <si>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</si>
  <si>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</si>
  <si>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</si>
  <si>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</si>
  <si>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</si>
  <si>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</si>
  <si>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</si>
  <si>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</si>
  <si>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</si>
  <si>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</si>
  <si>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</si>
  <si>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</si>
  <si>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</si>
  <si>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</si>
  <si>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</si>
  <si>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</si>
  <si>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</si>
  <si>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</si>
  <si>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</si>
  <si>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</si>
  <si>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</si>
  <si>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</si>
  <si>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</si>
  <si>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</si>
  <si>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</si>
  <si>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</si>
  <si>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</si>
  <si>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</si>
  <si>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</si>
  <si>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</si>
  <si>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</si>
  <si>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</si>
  <si>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</si>
  <si>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</si>
  <si>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</si>
  <si>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</si>
  <si>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</si>
  <si>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</si>
  <si>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</si>
  <si>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</si>
  <si>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</si>
  <si>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</si>
  <si>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</si>
  <si>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</si>
  <si>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</si>
  <si>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</si>
  <si>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</si>
  <si>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</si>
  <si>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</si>
  <si>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</si>
  <si>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</si>
  <si>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</si>
  <si>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</si>
  <si>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</si>
  <si>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</si>
  <si>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</si>
  <si>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</si>
  <si>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</si>
  <si>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</si>
  <si>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</si>
  <si>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</si>
  <si>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</si>
  <si>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</si>
  <si>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</si>
  <si>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</si>
  <si>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</si>
  <si>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</si>
  <si>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</si>
  <si>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</si>
  <si>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</si>
  <si>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</si>
  <si>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</si>
  <si>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</si>
  <si>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</si>
  <si>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</si>
  <si>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</si>
  <si>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</si>
  <si>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</si>
  <si>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</si>
  <si>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</si>
  <si>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</si>
  <si>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</si>
  <si>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</si>
  <si>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</si>
  <si>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</si>
  <si>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</si>
  <si>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</si>
  <si>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</si>
  <si>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</si>
  <si>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</si>
  <si>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</si>
  <si>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</si>
  <si>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</si>
  <si>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</si>
  <si>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</si>
  <si>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</si>
  <si>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</si>
  <si>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</si>
  <si>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</si>
  <si>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</si>
  <si>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</si>
  <si>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</si>
  <si>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</si>
  <si>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</si>
  <si>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</si>
  <si>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</si>
  <si>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</si>
  <si>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</si>
  <si>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</si>
  <si>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</si>
  <si>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</si>
  <si>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</si>
  <si>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</si>
  <si>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</si>
  <si>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</si>
  <si>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</si>
  <si>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</si>
  <si>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</si>
  <si>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</si>
  <si>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</si>
  <si>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</si>
  <si>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</si>
  <si>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</si>
  <si>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</si>
  <si>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</si>
  <si>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</si>
  <si>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</si>
  <si>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</si>
  <si>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</si>
  <si>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</si>
  <si>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</si>
  <si>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</si>
  <si>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</si>
  <si>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</si>
  <si>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</si>
  <si>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</si>
  <si>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</si>
  <si>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</si>
  <si>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</si>
  <si>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</si>
  <si>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</si>
  <si>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</si>
  <si>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</si>
  <si>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楼面单价</t>
  </si>
  <si>
    <t>商业</t>
  </si>
  <si>
    <t>无租约</t>
  </si>
  <si>
    <t>利息：取LPR加浮动点数</t>
  </si>
  <si>
    <t>钢混</t>
  </si>
  <si>
    <t>非生产用房</t>
  </si>
  <si>
    <t>与房产证证载一致</t>
  </si>
  <si>
    <t>批发零售用地</t>
  </si>
  <si>
    <t>通路</t>
  </si>
  <si>
    <t>通电</t>
  </si>
  <si>
    <t>通讯</t>
  </si>
  <si>
    <t>通上水</t>
  </si>
  <si>
    <t>通下水</t>
  </si>
  <si>
    <t>平整</t>
  </si>
  <si>
    <t>不临58条商业街</t>
  </si>
  <si>
    <t>未包含在土地购买价格中</t>
  </si>
  <si>
    <t>已包含在土地取得成本中</t>
  </si>
  <si>
    <t>成本法</t>
  </si>
  <si>
    <t>收益法</t>
  </si>
  <si>
    <t>自然人</t>
  </si>
  <si>
    <t>楼层修正</t>
  </si>
  <si>
    <t>与级别开发程度不一致</t>
  </si>
  <si>
    <t>郑燚</t>
  </si>
  <si>
    <t>崔锴</t>
  </si>
  <si>
    <t>万元</t>
  </si>
  <si>
    <t>珠江帝景</t>
    <phoneticPr fontId="4" type="noConversion"/>
  </si>
  <si>
    <t>商业</t>
    <phoneticPr fontId="25" type="noConversion"/>
  </si>
  <si>
    <t>比较法-商业</t>
  </si>
  <si>
    <t>20-30（含）</t>
  </si>
  <si>
    <t>多面临街</t>
    <phoneticPr fontId="25" type="noConversion"/>
  </si>
  <si>
    <t>双面临街</t>
    <phoneticPr fontId="25" type="noConversion"/>
  </si>
  <si>
    <t>单面临街</t>
  </si>
  <si>
    <t>单面临街</t>
    <phoneticPr fontId="25" type="noConversion"/>
  </si>
  <si>
    <t>不临街</t>
    <phoneticPr fontId="25" type="noConversion"/>
  </si>
  <si>
    <t>住宅底商</t>
  </si>
  <si>
    <t>住宅底商</t>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</si>
  <si>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</si>
  <si>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</si>
  <si>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</si>
  <si>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</si>
  <si>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</si>
  <si>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</si>
  <si>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</si>
  <si>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标准层高</t>
  </si>
  <si>
    <t>标准层高</t>
    <phoneticPr fontId="25" type="noConversion"/>
  </si>
  <si>
    <t>不可餐饮</t>
  </si>
  <si>
    <t>不可餐饮</t>
    <phoneticPr fontId="25" type="noConversion"/>
  </si>
  <si>
    <t>七通</t>
  </si>
  <si>
    <t>较好</t>
    <phoneticPr fontId="25" type="noConversion"/>
  </si>
  <si>
    <t>六通</t>
  </si>
  <si>
    <t>租约</t>
    <phoneticPr fontId="146" type="noConversion"/>
  </si>
  <si>
    <t>单价</t>
    <phoneticPr fontId="146" type="noConversion"/>
  </si>
  <si>
    <t>估价对象1（结果表）</t>
  </si>
  <si>
    <t>否</t>
  </si>
  <si>
    <t>收益还原</t>
  </si>
  <si>
    <t>增幅</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</si>
</sst>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5"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9" fontId="0" fillId="0" borderId="0" xfId="0" applyNumberFormat="1">
      <alignment vertical="center"/>
    </xf>
    <xf numFmtId="179" fontId="0" fillId="0" borderId="0" xfId="0" applyNumberForma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151953</xdr:colOff>
      <xdr:row>27</xdr:row>
      <xdr:rowOff>18469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3580953" cy="4647619"/>
        </a:xfrm>
        <a:prstGeom prst="rect">
          <a:avLst/>
        </a:prstGeom>
      </xdr:spPr>
    </xdr:pic>
    <xdr:clientData/>
  </xdr:twoCellAnchor>
  <xdr:twoCellAnchor editAs="oneCell">
    <xdr:from>
      <xdr:col>6</xdr:col>
      <xdr:colOff>0</xdr:colOff>
      <xdr:row>0</xdr:row>
      <xdr:rowOff>0</xdr:rowOff>
    </xdr:from>
    <xdr:to>
      <xdr:col>16</xdr:col>
      <xdr:colOff>142000</xdr:colOff>
      <xdr:row>28</xdr:row>
      <xdr:rowOff>104162</xdr:rowOff>
    </xdr:to>
    <xdr:pic>
      <xdr:nvPicPr>
        <xdr:cNvPr id="2" name="图片 1"/>
        <xdr:cNvPicPr>
          <a:picLocks noChangeAspect="1"/>
        </xdr:cNvPicPr>
      </xdr:nvPicPr>
      <xdr:blipFill>
        <a:blip xmlns:r="http://schemas.openxmlformats.org/officeDocument/2006/relationships" r:embed="rId2"/>
        <a:stretch>
          <a:fillRect/>
        </a:stretch>
      </xdr:blipFill>
      <xdr:spPr>
        <a:xfrm>
          <a:off x="4114800" y="0"/>
          <a:ext cx="7000000" cy="4904762"/>
        </a:xfrm>
        <a:prstGeom prst="rect">
          <a:avLst/>
        </a:prstGeom>
      </xdr:spPr>
    </xdr:pic>
    <xdr:clientData/>
  </xdr:twoCellAnchor>
  <xdr:twoCellAnchor editAs="oneCell">
    <xdr:from>
      <xdr:col>0</xdr:col>
      <xdr:colOff>0</xdr:colOff>
      <xdr:row>29</xdr:row>
      <xdr:rowOff>0</xdr:rowOff>
    </xdr:from>
    <xdr:to>
      <xdr:col>14</xdr:col>
      <xdr:colOff>2613</xdr:colOff>
      <xdr:row>54</xdr:row>
      <xdr:rowOff>66131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972050"/>
          <a:ext cx="9580953" cy="4352381"/>
        </a:xfrm>
        <a:prstGeom prst="rect">
          <a:avLst/>
        </a:prstGeom>
      </xdr:spPr>
    </xdr:pic>
    <xdr:clientData/>
  </xdr:twoCellAnchor>
  <xdr:twoCellAnchor editAs="oneCell">
    <xdr:from>
      <xdr:col>14</xdr:col>
      <xdr:colOff>0</xdr:colOff>
      <xdr:row>29</xdr:row>
      <xdr:rowOff>0</xdr:rowOff>
    </xdr:from>
    <xdr:to>
      <xdr:col>27</xdr:col>
      <xdr:colOff>589363</xdr:colOff>
      <xdr:row>54</xdr:row>
      <xdr:rowOff>2396</xdr:rowOff>
    </xdr:to>
    <xdr:pic>
      <xdr:nvPicPr>
        <xdr:cNvPr id="5" name="图片 4"/>
        <xdr:cNvPicPr>
          <a:picLocks noChangeAspect="1"/>
        </xdr:cNvPicPr>
      </xdr:nvPicPr>
      <xdr:blipFill>
        <a:blip xmlns:r="http://schemas.openxmlformats.org/officeDocument/2006/relationships" r:embed="rId4"/>
        <a:stretch>
          <a:fillRect/>
        </a:stretch>
      </xdr:blipFill>
      <xdr:spPr>
        <a:xfrm>
          <a:off x="9601200" y="4972050"/>
          <a:ext cx="9504763" cy="4285715"/>
        </a:xfrm>
        <a:prstGeom prst="rect">
          <a:avLst/>
        </a:prstGeom>
      </xdr:spPr>
    </xdr:pic>
    <xdr:clientData/>
  </xdr:twoCellAnchor>
  <xdr:twoCellAnchor editAs="oneCell">
    <xdr:from>
      <xdr:col>0</xdr:col>
      <xdr:colOff>0</xdr:colOff>
      <xdr:row>55</xdr:row>
      <xdr:rowOff>0</xdr:rowOff>
    </xdr:from>
    <xdr:to>
      <xdr:col>12</xdr:col>
      <xdr:colOff>341829</xdr:colOff>
      <xdr:row>98</xdr:row>
      <xdr:rowOff>160984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9429750"/>
          <a:ext cx="8571429" cy="75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郑燚（注册号:1120070131）、崔锴（注册号:1120100036)</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估价对象为北京市房地产，为XX所有。根据《》[]，估价对象建筑面积为215.26平方米。根据《》[]，估价对象（分摊）出让国有建设用地使用权面积为平方米。估价对象用途为。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2022年3月4日</v>
      </c>
    </row>
    <row r="10" spans="1:2">
      <c r="A10" s="1181" t="s">
        <v>1047</v>
      </c>
      <c r="B10" s="1168" t="str">
        <f>'预评函-1'!A13</f>
        <v>本次估价的“房地产价值”是指在正常市场情况下，在价值时点2022年3月4日，估价对象规划用途为，假定未设立法定优先受偿款下的房地产市场价值。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本次评估采用的主估价方法为成本法和收益法。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215.26</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2" thickBot="1">
      <c r="A42" s="1182" t="s">
        <v>1076</v>
      </c>
      <c r="B42" s="1170" t="str">
        <f>'预评函-2（2）'!F5</f>
        <v>零元整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t="str">
        <f>'预评函-3'!A4</f>
        <v>郑燚</v>
      </c>
    </row>
    <row r="53" spans="1:2">
      <c r="A53" s="1181" t="s">
        <v>1086</v>
      </c>
      <c r="B53" s="1168">
        <f ca="1">'预评函-3'!B4</f>
        <v>1120070131</v>
      </c>
    </row>
    <row r="54" spans="1:2">
      <c r="A54" s="1181" t="s">
        <v>1087</v>
      </c>
      <c r="B54" s="1172" t="str">
        <f>'预评函-3'!A5</f>
        <v>崔锴</v>
      </c>
    </row>
    <row r="55" spans="1:2" s="1178" customFormat="1" ht="16.2" thickBot="1">
      <c r="A55" s="1182" t="s">
        <v>1088</v>
      </c>
      <c r="B55" s="1170">
        <f ca="1">'预评函-3'!B5</f>
        <v>1120100036</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t="e">
        <f>'预评函-2（1）'!D38</f>
        <v>#DIV/0!</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16" sqref="E16"/>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8" thickBot="1">
      <c r="A1" s="2559" t="s">
        <v>1470</v>
      </c>
      <c r="B1" s="2560"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8" thickTop="1">
      <c r="A2" s="1397" t="s">
        <v>1472</v>
      </c>
      <c r="B2" s="2561"/>
      <c r="C2" s="2860" t="s">
        <v>1473</v>
      </c>
      <c r="D2" s="2561">
        <v>44624</v>
      </c>
      <c r="E2" s="824"/>
      <c r="F2" s="824"/>
      <c r="G2" s="1163"/>
      <c r="H2" s="2872"/>
    </row>
    <row r="3" spans="1:17" ht="13.8" thickBot="1">
      <c r="A3" s="2562" t="s">
        <v>1474</v>
      </c>
      <c r="B3" s="2563" t="s">
        <v>3006</v>
      </c>
      <c r="C3" s="2564">
        <f ca="1">SUMIF(注册房地产估价师,B3,估价师及机构信息!B3:B16)</f>
        <v>1120070131</v>
      </c>
      <c r="D3" s="2563" t="s">
        <v>3007</v>
      </c>
      <c r="E3" s="2565">
        <f ca="1">SUMIF(注册房地产估价师,D3,估价师及机构信息!B3:B16)</f>
        <v>1120100036</v>
      </c>
      <c r="F3" s="825"/>
      <c r="G3" s="1164"/>
      <c r="H3" s="2872"/>
    </row>
    <row r="4" spans="1:17" ht="13.5" customHeight="1" thickTop="1">
      <c r="A4" s="1397" t="s">
        <v>1475</v>
      </c>
      <c r="B4" s="1398" t="s">
        <v>2662</v>
      </c>
      <c r="C4" s="2861" t="s">
        <v>1476</v>
      </c>
      <c r="D4" s="1399" t="s">
        <v>2981</v>
      </c>
      <c r="E4" s="824"/>
      <c r="F4" s="824"/>
      <c r="G4" s="1163"/>
    </row>
    <row r="5" spans="1:17" ht="24">
      <c r="A5" s="1400" t="s">
        <v>1477</v>
      </c>
      <c r="B5" s="1401" t="s">
        <v>2663</v>
      </c>
      <c r="C5" s="2862" t="s">
        <v>1478</v>
      </c>
      <c r="D5" s="1403" t="s">
        <v>2982</v>
      </c>
      <c r="E5" s="2863" t="s">
        <v>1479</v>
      </c>
      <c r="F5" s="1403" t="s">
        <v>2982</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6" t="s">
        <v>2983</v>
      </c>
      <c r="C6" s="2567" t="s">
        <v>2664</v>
      </c>
      <c r="D6" s="2568" t="s">
        <v>1481</v>
      </c>
      <c r="E6" s="811"/>
      <c r="F6" s="811"/>
      <c r="G6" s="830"/>
      <c r="I6" s="800" t="str">
        <f>IF(COUNTIF(B5,"*上海银行*"),"上海银行","")</f>
        <v/>
      </c>
      <c r="J6" s="800"/>
      <c r="K6" s="2890"/>
      <c r="L6" s="2890"/>
      <c r="M6" s="2890"/>
      <c r="N6" s="800"/>
      <c r="O6" s="800"/>
      <c r="P6" s="800"/>
      <c r="Q6" s="800"/>
    </row>
    <row r="7" spans="1:17" ht="13.8" thickBot="1">
      <c r="A7" s="2865" t="s">
        <v>1482</v>
      </c>
      <c r="B7" s="2569" t="s">
        <v>3003</v>
      </c>
      <c r="C7" s="1495" t="str">
        <f>IF(B7="自然人","姓名","名称")</f>
        <v>姓名</v>
      </c>
      <c r="D7" s="1408" t="s">
        <v>2663</v>
      </c>
      <c r="E7" s="825"/>
      <c r="F7" s="825"/>
      <c r="G7" s="1164"/>
    </row>
    <row r="8" spans="1:17" ht="13.8" thickTop="1">
      <c r="A8" s="3385" t="s">
        <v>1483</v>
      </c>
      <c r="B8" s="1409" t="s">
        <v>1484</v>
      </c>
      <c r="C8" s="3397"/>
      <c r="D8" s="3398"/>
      <c r="E8" s="2570" t="s">
        <v>1485</v>
      </c>
      <c r="F8" s="2571" t="s">
        <v>1486</v>
      </c>
      <c r="G8" s="2572" t="str">
        <f>C6</f>
        <v>XX</v>
      </c>
    </row>
    <row r="9" spans="1:17" ht="26.4">
      <c r="A9" s="3385"/>
      <c r="B9" s="259" t="s">
        <v>1487</v>
      </c>
      <c r="C9" s="1401"/>
      <c r="D9" s="1410" t="s">
        <v>2990</v>
      </c>
      <c r="E9" s="2866" t="s">
        <v>1488</v>
      </c>
      <c r="F9" s="2573" t="s">
        <v>87</v>
      </c>
      <c r="G9" s="2574"/>
    </row>
    <row r="10" spans="1:17" ht="13.8" thickBot="1">
      <c r="A10" s="3385"/>
      <c r="B10" s="259" t="s">
        <v>1489</v>
      </c>
      <c r="C10" s="3399"/>
      <c r="D10" s="3400"/>
      <c r="E10" s="2867" t="s">
        <v>1490</v>
      </c>
      <c r="F10" s="2575" t="s">
        <v>292</v>
      </c>
      <c r="G10" s="2576"/>
    </row>
    <row r="11" spans="1:17" ht="13.8" thickBot="1">
      <c r="A11" s="3385"/>
      <c r="B11" s="1412" t="s">
        <v>1491</v>
      </c>
      <c r="C11" s="3401"/>
      <c r="D11" s="3402"/>
      <c r="E11" s="811"/>
      <c r="F11" s="811"/>
      <c r="G11" s="830"/>
    </row>
    <row r="12" spans="1:17" ht="13.8" thickBot="1">
      <c r="A12" s="3388" t="s">
        <v>2771</v>
      </c>
      <c r="B12" s="2868" t="s">
        <v>1492</v>
      </c>
      <c r="C12" s="808">
        <v>215.26</v>
      </c>
      <c r="D12" s="1413" t="s">
        <v>1493</v>
      </c>
      <c r="E12" s="1414"/>
      <c r="F12" s="1415"/>
      <c r="G12" s="830"/>
    </row>
    <row r="13" spans="1:17" ht="21" customHeight="1" thickBot="1">
      <c r="A13" s="3389"/>
      <c r="B13" s="2869" t="s">
        <v>1494</v>
      </c>
      <c r="C13" s="809"/>
      <c r="D13" s="1416" t="s">
        <v>1495</v>
      </c>
      <c r="E13" s="1417"/>
      <c r="F13" s="811"/>
      <c r="G13" s="830"/>
      <c r="I13" s="3374"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8" thickBot="1">
      <c r="A14" s="2577"/>
      <c r="B14" s="2883" t="s">
        <v>2772</v>
      </c>
      <c r="C14" s="2578"/>
      <c r="D14" s="811"/>
      <c r="E14" s="811"/>
      <c r="F14" s="811"/>
      <c r="G14" s="830"/>
      <c r="I14" s="3374"/>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8" thickBot="1">
      <c r="A15" s="2579"/>
      <c r="B15" s="2870" t="s">
        <v>1497</v>
      </c>
      <c r="C15" s="826">
        <v>3.5</v>
      </c>
      <c r="D15" s="825"/>
      <c r="E15" s="825"/>
      <c r="F15" s="825"/>
      <c r="G15" s="1164"/>
      <c r="I15" s="3374"/>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2"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403" t="s">
        <v>1502</v>
      </c>
      <c r="C17" s="3404"/>
      <c r="D17" s="3405" t="s">
        <v>1503</v>
      </c>
      <c r="E17" s="3406"/>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2"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4" t="s">
        <v>2770</v>
      </c>
      <c r="B24" s="3384"/>
      <c r="C24" s="3384"/>
      <c r="D24" s="3384"/>
      <c r="E24" s="3384"/>
      <c r="F24" s="3384"/>
      <c r="G24" s="3384"/>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4" thickTop="1" thickBot="1">
      <c r="A25" s="828" t="s">
        <v>1512</v>
      </c>
      <c r="B25" s="811"/>
      <c r="C25" s="811"/>
      <c r="D25" s="811"/>
      <c r="E25" s="811"/>
      <c r="F25" s="811"/>
      <c r="G25" s="1288"/>
      <c r="K25" s="2873"/>
    </row>
    <row r="26" spans="1:66" s="836" customFormat="1" ht="13.8"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8"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91" t="s">
        <v>1516</v>
      </c>
      <c r="D28" s="3392"/>
      <c r="E28" s="801"/>
      <c r="F28" s="803" t="s">
        <v>1516</v>
      </c>
      <c r="G28" s="801"/>
      <c r="K28" s="2873"/>
    </row>
    <row r="29" spans="1:66">
      <c r="A29" s="804" t="s">
        <v>1517</v>
      </c>
      <c r="B29" s="798"/>
      <c r="C29" s="3393" t="s">
        <v>1518</v>
      </c>
      <c r="D29" s="3394"/>
      <c r="E29" s="798"/>
      <c r="F29" s="804" t="s">
        <v>1518</v>
      </c>
      <c r="G29" s="798"/>
      <c r="K29" s="2873"/>
    </row>
    <row r="30" spans="1:66">
      <c r="A30" s="804" t="s">
        <v>1519</v>
      </c>
      <c r="B30" s="798"/>
      <c r="C30" s="3393" t="s">
        <v>1519</v>
      </c>
      <c r="D30" s="3394"/>
      <c r="E30" s="798"/>
      <c r="F30" s="804" t="s">
        <v>1520</v>
      </c>
      <c r="G30" s="798"/>
      <c r="K30" s="2873"/>
    </row>
    <row r="31" spans="1:66">
      <c r="A31" s="804" t="s">
        <v>1521</v>
      </c>
      <c r="B31" s="798"/>
      <c r="C31" s="3381" t="s">
        <v>1522</v>
      </c>
      <c r="D31" s="811"/>
      <c r="E31" s="2596" t="str">
        <f>E32&amp;" "&amp;E33&amp;" "&amp;E34&amp;" "&amp;E35</f>
        <v xml:space="preserve">   </v>
      </c>
      <c r="F31" s="804" t="s">
        <v>1523</v>
      </c>
      <c r="G31" s="798"/>
    </row>
    <row r="32" spans="1:66">
      <c r="A32" s="804" t="s">
        <v>1524</v>
      </c>
      <c r="B32" s="798"/>
      <c r="C32" s="3382"/>
      <c r="D32" s="259" t="s">
        <v>1525</v>
      </c>
      <c r="E32" s="798"/>
      <c r="F32" s="804" t="s">
        <v>1526</v>
      </c>
      <c r="G32" s="798"/>
    </row>
    <row r="33" spans="1:7" ht="24.6" thickBot="1">
      <c r="A33" s="805" t="s">
        <v>1527</v>
      </c>
      <c r="B33" s="802"/>
      <c r="C33" s="3382"/>
      <c r="D33" s="259" t="s">
        <v>1528</v>
      </c>
      <c r="E33" s="798"/>
      <c r="F33" s="804" t="s">
        <v>1529</v>
      </c>
      <c r="G33" s="798"/>
    </row>
    <row r="34" spans="1:7">
      <c r="A34" s="803" t="s">
        <v>1530</v>
      </c>
      <c r="B34" s="801"/>
      <c r="C34" s="3382"/>
      <c r="D34" s="259" t="s">
        <v>1531</v>
      </c>
      <c r="E34" s="798"/>
      <c r="F34" s="804" t="s">
        <v>1532</v>
      </c>
      <c r="G34" s="798"/>
    </row>
    <row r="35" spans="1:7" ht="13.8" thickBot="1">
      <c r="A35" s="804" t="s">
        <v>1533</v>
      </c>
      <c r="B35" s="798"/>
      <c r="C35" s="3383"/>
      <c r="D35" s="259" t="s">
        <v>1534</v>
      </c>
      <c r="E35" s="798"/>
      <c r="F35" s="805" t="s">
        <v>1535</v>
      </c>
      <c r="G35" s="2597"/>
    </row>
    <row r="36" spans="1:7">
      <c r="A36" s="804" t="s">
        <v>1492</v>
      </c>
      <c r="B36" s="798"/>
      <c r="C36" s="3393" t="s">
        <v>1536</v>
      </c>
      <c r="D36" s="3394"/>
      <c r="E36" s="798"/>
      <c r="F36" s="2598" t="s">
        <v>1537</v>
      </c>
      <c r="G36" s="801"/>
    </row>
    <row r="37" spans="1:7" ht="24.6" thickBot="1">
      <c r="A37" s="804" t="s">
        <v>1538</v>
      </c>
      <c r="B37" s="798"/>
      <c r="C37" s="3395" t="s">
        <v>1539</v>
      </c>
      <c r="D37" s="3396"/>
      <c r="E37" s="802"/>
      <c r="F37" s="1433" t="s">
        <v>1540</v>
      </c>
      <c r="G37" s="798"/>
    </row>
    <row r="38" spans="1:7" ht="13.8" thickBot="1">
      <c r="A38" s="804" t="s">
        <v>1541</v>
      </c>
      <c r="B38" s="798"/>
      <c r="C38" s="3379" t="s">
        <v>1542</v>
      </c>
      <c r="D38" s="1413" t="s">
        <v>1526</v>
      </c>
      <c r="E38" s="801"/>
      <c r="F38" s="805" t="s">
        <v>1543</v>
      </c>
      <c r="G38" s="802"/>
    </row>
    <row r="39" spans="1:7">
      <c r="A39" s="804" t="s">
        <v>1544</v>
      </c>
      <c r="B39" s="798"/>
      <c r="C39" s="3386"/>
      <c r="D39" s="259" t="s">
        <v>1533</v>
      </c>
      <c r="E39" s="798"/>
      <c r="F39" s="803" t="s">
        <v>1545</v>
      </c>
      <c r="G39" s="801"/>
    </row>
    <row r="40" spans="1:7">
      <c r="A40" s="804" t="s">
        <v>1546</v>
      </c>
      <c r="B40" s="798"/>
      <c r="C40" s="3386" t="s">
        <v>1547</v>
      </c>
      <c r="D40" s="259" t="s">
        <v>1492</v>
      </c>
      <c r="E40" s="798"/>
      <c r="F40" s="804" t="s">
        <v>1548</v>
      </c>
      <c r="G40" s="798"/>
    </row>
    <row r="41" spans="1:7" ht="24.75" customHeight="1" thickBot="1">
      <c r="A41" s="805" t="s">
        <v>1549</v>
      </c>
      <c r="B41" s="802"/>
      <c r="C41" s="3387"/>
      <c r="D41" s="1416" t="s">
        <v>1494</v>
      </c>
      <c r="E41" s="802"/>
      <c r="F41" s="805" t="s">
        <v>1550</v>
      </c>
      <c r="G41" s="802"/>
    </row>
    <row r="42" spans="1:7" ht="24">
      <c r="A42" s="806" t="s">
        <v>1551</v>
      </c>
      <c r="B42" s="2599"/>
      <c r="C42" s="3375" t="s">
        <v>1551</v>
      </c>
      <c r="D42" s="3376"/>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8" thickBot="1">
      <c r="A49" s="805" t="s">
        <v>1554</v>
      </c>
      <c r="B49" s="802"/>
      <c r="C49" s="3377" t="s">
        <v>1554</v>
      </c>
      <c r="D49" s="3378"/>
      <c r="E49" s="820"/>
      <c r="F49" s="805" t="s">
        <v>1555</v>
      </c>
      <c r="G49" s="802"/>
    </row>
    <row r="50" spans="1:66">
      <c r="A50" s="804" t="s">
        <v>1556</v>
      </c>
      <c r="B50" s="819"/>
      <c r="C50" s="3379" t="s">
        <v>1557</v>
      </c>
      <c r="D50" s="3380"/>
      <c r="E50" s="2601"/>
      <c r="F50" s="837"/>
      <c r="G50" s="838"/>
    </row>
    <row r="51" spans="1:66" ht="13.8" thickBot="1">
      <c r="A51" s="804" t="s">
        <v>1558</v>
      </c>
      <c r="B51" s="819"/>
      <c r="C51" s="3387" t="s">
        <v>1559</v>
      </c>
      <c r="D51" s="3390"/>
      <c r="E51" s="802"/>
      <c r="F51" s="811"/>
      <c r="G51" s="830"/>
    </row>
    <row r="52" spans="1:66">
      <c r="A52" s="804" t="s">
        <v>1537</v>
      </c>
      <c r="B52" s="798"/>
      <c r="C52" s="811"/>
      <c r="D52" s="811"/>
      <c r="E52" s="811"/>
      <c r="F52" s="811"/>
      <c r="G52" s="830"/>
    </row>
    <row r="53" spans="1:66" ht="24.6"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46.8">
      <c r="A3" s="3407"/>
      <c r="B3" s="3407"/>
      <c r="C3" s="3407"/>
      <c r="D3" s="3408"/>
      <c r="E3" s="340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6" sqref="C36"/>
    </sheetView>
  </sheetViews>
  <sheetFormatPr defaultColWidth="13.77734375" defaultRowHeight="13.2"/>
  <cols>
    <col min="1" max="1" width="20.88671875" style="2658" customWidth="1"/>
    <col min="2" max="2" width="16.77734375" style="2603" customWidth="1"/>
    <col min="3" max="3" width="18.21875" style="2644" customWidth="1"/>
    <col min="4" max="4" width="34.109375" style="2659" customWidth="1"/>
    <col min="5" max="5" width="17.6640625" style="2659" customWidth="1"/>
    <col min="6" max="6" width="15.44140625" style="2602" customWidth="1"/>
    <col min="7" max="8" width="9.109375" style="2937" customWidth="1"/>
    <col min="9" max="9" width="15" style="2644" bestFit="1" customWidth="1"/>
    <col min="10" max="14" width="8.88671875" style="2644" customWidth="1"/>
    <col min="15" max="16" width="12.33203125" style="2644" customWidth="1"/>
    <col min="17" max="17" width="8.6640625" style="2644" customWidth="1"/>
    <col min="18" max="18" width="12.44140625" style="2644" customWidth="1"/>
    <col min="19" max="19" width="8.44140625" style="2644" customWidth="1"/>
    <col min="20" max="21" width="10.88671875" style="2644" customWidth="1"/>
    <col min="22" max="23" width="12.44140625" style="2644" customWidth="1"/>
    <col min="24" max="24" width="12.109375" style="2644" customWidth="1"/>
    <col min="25" max="25" width="7.44140625" style="2644" customWidth="1"/>
    <col min="26" max="26" width="6.33203125" style="2644" customWidth="1"/>
    <col min="27" max="32" width="6.77734375" style="2644" customWidth="1"/>
    <col min="33" max="33" width="6.44140625" style="2644" customWidth="1"/>
    <col min="34" max="36" width="7.21875" style="2644" customWidth="1"/>
    <col min="37" max="41" width="8" style="2644" customWidth="1"/>
    <col min="42" max="16384" width="13.77734375" style="2603"/>
  </cols>
  <sheetData>
    <row r="1" spans="1:41" ht="18" thickBot="1">
      <c r="A1" s="2891" t="s">
        <v>1561</v>
      </c>
      <c r="B1" s="947"/>
      <c r="D1" s="2602"/>
      <c r="E1" s="2602"/>
    </row>
    <row r="2" spans="1:41" s="2606" customFormat="1" ht="15" thickBot="1">
      <c r="A2" s="2892" t="s">
        <v>1562</v>
      </c>
      <c r="B2" s="2893">
        <f>项目基本情况!D2</f>
        <v>44624</v>
      </c>
      <c r="C2" s="1655"/>
      <c r="D2" s="3409"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3008</v>
      </c>
      <c r="C3" s="1655"/>
      <c r="D3" s="3410"/>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2984</v>
      </c>
      <c r="C4" s="1655"/>
      <c r="D4" s="3410"/>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 thickBot="1">
      <c r="A5" s="2609" t="s">
        <v>1566</v>
      </c>
      <c r="B5" s="2610">
        <f>项目基本情况!C12</f>
        <v>215.26</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0"/>
      <c r="D7" s="2941"/>
      <c r="E7" s="2941"/>
      <c r="F7" s="2938"/>
      <c r="G7" s="2938"/>
      <c r="H7" s="2938"/>
    </row>
    <row r="8" spans="1:41" s="1655" customFormat="1" ht="13.8"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2985</v>
      </c>
      <c r="C10" s="1655"/>
      <c r="D10" s="2892" t="s">
        <v>1571</v>
      </c>
      <c r="E10" s="2896" t="s">
        <v>1572</v>
      </c>
      <c r="F10" s="3061"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4">
      <c r="A11" s="2897" t="s">
        <v>1573</v>
      </c>
      <c r="B11" s="2617">
        <v>40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v>52292</v>
      </c>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21</v>
      </c>
      <c r="C13" s="2936"/>
      <c r="D13" s="2902" t="s">
        <v>1579</v>
      </c>
      <c r="E13" s="2622">
        <f>成本法!C10</f>
        <v>43052</v>
      </c>
      <c r="F13" s="1280" t="s">
        <v>1580</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4">
      <c r="A14" s="2899" t="s">
        <v>1581</v>
      </c>
      <c r="B14" s="2903">
        <f>IF(ISERROR(ROUND(POWER(1+B15,B11-B13)*(POWER(1+B15,B13)-1)/(POWER(1+B15,B11)-1),3)),0,ROUND(POWER(1+B15,B11-B13)*(POWER(1+B15,B13)-1)/(POWER(1+B15,B11)-1),3))</f>
        <v>0.747</v>
      </c>
      <c r="C14" s="1655"/>
      <c r="D14" s="2904" t="s">
        <v>1582</v>
      </c>
      <c r="E14" s="2623">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4">
      <c r="A15" s="2899" t="s">
        <v>1583</v>
      </c>
      <c r="B15" s="2624">
        <v>0.05</v>
      </c>
      <c r="C15" s="2532" t="s">
        <v>2782</v>
      </c>
      <c r="D15" s="2899" t="s">
        <v>1584</v>
      </c>
      <c r="E15" s="2905">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5.5E-2</v>
      </c>
      <c r="C16" s="2532" t="s">
        <v>2783</v>
      </c>
      <c r="D16" s="2906"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2780</v>
      </c>
      <c r="B17" s="3059">
        <v>0.08</v>
      </c>
      <c r="C17" s="2532" t="s">
        <v>2784</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753410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4.4"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f>ROUND(1-(2022-B27)/60,2)</f>
        <v>0.7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4">
      <c r="A21" s="2911" t="s">
        <v>1590</v>
      </c>
      <c r="B21" s="2628">
        <v>0</v>
      </c>
      <c r="C21" s="1655"/>
      <c r="D21" s="2899" t="s">
        <v>1592</v>
      </c>
      <c r="E21" s="2631">
        <v>0.03</v>
      </c>
      <c r="F21" s="2642"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4">
      <c r="A22" s="2913" t="s">
        <v>1591</v>
      </c>
      <c r="B22" s="2630">
        <v>2</v>
      </c>
      <c r="C22" s="1655"/>
      <c r="D22" s="2899" t="s">
        <v>1594</v>
      </c>
      <c r="E22" s="2634">
        <v>0</v>
      </c>
      <c r="F22" s="2642"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4">
      <c r="A23" s="2914" t="s">
        <v>1593</v>
      </c>
      <c r="B23" s="2633">
        <v>2</v>
      </c>
      <c r="C23" s="1655"/>
      <c r="D23" s="2899" t="s">
        <v>1596</v>
      </c>
      <c r="E23" s="2621">
        <v>200</v>
      </c>
      <c r="F23" s="2642"/>
      <c r="G23" s="1655"/>
      <c r="H23" s="1655"/>
      <c r="I23" s="1655">
        <f>11*0.7</f>
        <v>7.6999999999999993</v>
      </c>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7" t="s">
        <v>1597</v>
      </c>
      <c r="B25" s="2918">
        <f>B21+B23</f>
        <v>2</v>
      </c>
      <c r="C25" s="1655"/>
      <c r="D25" s="2898" t="s">
        <v>1600</v>
      </c>
      <c r="E25" s="2631">
        <v>0.02</v>
      </c>
      <c r="F25" s="2642" t="s">
        <v>2789</v>
      </c>
      <c r="I25" s="2937"/>
    </row>
    <row r="26" spans="1:41" ht="15" thickBot="1">
      <c r="A26" s="2915" t="s">
        <v>1599</v>
      </c>
      <c r="B26" s="2919">
        <f>B22-B23</f>
        <v>0</v>
      </c>
      <c r="D26" s="2899" t="s">
        <v>1602</v>
      </c>
      <c r="E26" s="2634">
        <v>0.02</v>
      </c>
      <c r="F26" s="2642" t="s">
        <v>2789</v>
      </c>
      <c r="G26" s="2938"/>
      <c r="H26" s="2938"/>
      <c r="I26" s="1655"/>
      <c r="J26" s="1655"/>
      <c r="K26" s="1655"/>
      <c r="L26" s="1655"/>
      <c r="M26" s="1655"/>
      <c r="N26" s="1655"/>
    </row>
    <row r="27" spans="1:41" ht="15" thickBot="1">
      <c r="A27" s="2920" t="s">
        <v>1601</v>
      </c>
      <c r="B27" s="2636">
        <v>2004</v>
      </c>
      <c r="C27" s="1655"/>
      <c r="D27" s="3126" t="s">
        <v>2987</v>
      </c>
      <c r="E27" s="2921">
        <f ca="1">IF(D27="利息：取LPR",存贷款利率!G1,存贷款利率!G1+F27)</f>
        <v>4.2000000000000003E-2</v>
      </c>
      <c r="F27" s="3127">
        <v>5.0000000000000001E-3</v>
      </c>
      <c r="G27" s="2938"/>
      <c r="H27" s="2938"/>
      <c r="K27" s="1655"/>
      <c r="N27" s="1655"/>
    </row>
    <row r="28" spans="1:41" ht="15" thickBot="1">
      <c r="A28" s="947"/>
      <c r="B28" s="947"/>
      <c r="D28" s="2902" t="s">
        <v>1604</v>
      </c>
      <c r="E28" s="2638">
        <v>0.2</v>
      </c>
      <c r="G28" s="2938"/>
      <c r="H28" s="2938"/>
      <c r="K28" s="1655"/>
      <c r="N28" s="1655"/>
    </row>
    <row r="29" spans="1:41" ht="14.4">
      <c r="A29" s="2922" t="s">
        <v>1603</v>
      </c>
      <c r="B29" s="2637" t="s">
        <v>2986</v>
      </c>
      <c r="D29" s="2904" t="s">
        <v>1605</v>
      </c>
      <c r="E29" s="2923">
        <f>E30+E31</f>
        <v>5.6000000000000001E-2</v>
      </c>
      <c r="F29" s="1280"/>
      <c r="G29" s="2938"/>
      <c r="H29" s="2938"/>
      <c r="I29" s="2644">
        <f>B30*B5*365/0.05</f>
        <v>13356883</v>
      </c>
      <c r="K29" s="1655"/>
      <c r="N29" s="1655"/>
    </row>
    <row r="30" spans="1:41" ht="14.4">
      <c r="A30" s="2899" t="str">
        <f>IF(B29="租赁期内按合同租金","合同租金","市场租金")</f>
        <v>市场租金</v>
      </c>
      <c r="B30" s="3316">
        <v>8.5</v>
      </c>
      <c r="D30" s="2906" t="s">
        <v>1607</v>
      </c>
      <c r="E30" s="2640">
        <v>0.05</v>
      </c>
      <c r="F30" s="2925">
        <f>IF(B2&lt;DATE(2016,5,1),0,E30)</f>
        <v>0.05</v>
      </c>
      <c r="G30" s="2938"/>
      <c r="H30" s="2644">
        <f>I29/B5</f>
        <v>62050</v>
      </c>
      <c r="K30" s="1655"/>
      <c r="N30" s="1655"/>
    </row>
    <row r="31" spans="1:41" ht="14.4">
      <c r="A31" s="2899" t="s">
        <v>1606</v>
      </c>
      <c r="B31" s="2924">
        <f ca="1">存贷款利率!I1</f>
        <v>1.4999999999999999E-2</v>
      </c>
      <c r="D31" s="2906" t="s">
        <v>1609</v>
      </c>
      <c r="E31" s="2926">
        <f>E30*(E32+E33+E34)+E35</f>
        <v>6.000000000000001E-3</v>
      </c>
      <c r="F31" s="1280"/>
      <c r="G31" s="2938"/>
      <c r="H31" s="2938"/>
      <c r="K31" s="1655"/>
      <c r="N31" s="1655"/>
    </row>
    <row r="32" spans="1:41" ht="14.4">
      <c r="A32" s="2899" t="s">
        <v>1608</v>
      </c>
      <c r="B32" s="2624">
        <v>0.03</v>
      </c>
      <c r="D32" s="2906" t="s">
        <v>1611</v>
      </c>
      <c r="E32" s="2641">
        <v>7.0000000000000007E-2</v>
      </c>
      <c r="F32" s="2642" t="s">
        <v>2675</v>
      </c>
      <c r="G32" s="2938"/>
      <c r="H32" s="2938"/>
      <c r="K32" s="1655"/>
      <c r="L32" s="1655"/>
      <c r="M32" s="1655"/>
      <c r="N32" s="1655"/>
    </row>
    <row r="33" spans="1:14" ht="14.4">
      <c r="A33" s="2899" t="s">
        <v>1610</v>
      </c>
      <c r="B33" s="2624">
        <v>0.1</v>
      </c>
      <c r="D33" s="2906" t="s">
        <v>1613</v>
      </c>
      <c r="E33" s="2640">
        <v>0.03</v>
      </c>
      <c r="F33" s="1279" t="s">
        <v>1614</v>
      </c>
      <c r="G33" s="2938"/>
      <c r="H33" s="2938"/>
      <c r="K33" s="1655"/>
      <c r="L33" s="1655"/>
      <c r="M33" s="1655"/>
      <c r="N33" s="1655"/>
    </row>
    <row r="34" spans="1:14" s="2644" customFormat="1" ht="14.4">
      <c r="A34" s="2899" t="s">
        <v>1612</v>
      </c>
      <c r="B34" s="2927">
        <f>收益法!J54</f>
        <v>21</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v>0</v>
      </c>
      <c r="F35" s="1282" t="s">
        <v>1619</v>
      </c>
      <c r="G35" s="2938"/>
      <c r="H35" s="2938"/>
      <c r="I35" s="1655"/>
      <c r="J35" s="1655"/>
      <c r="K35" s="1655"/>
      <c r="L35" s="1655"/>
      <c r="M35" s="1655"/>
      <c r="N35" s="1655"/>
    </row>
    <row r="36" spans="1:14" s="2644" customFormat="1" ht="14.4">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4">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4">
      <c r="A40" s="2899" t="str">
        <f>IF(B29="租赁期内按合同租金","成新率","——")</f>
        <v>——</v>
      </c>
      <c r="B40" s="2624"/>
      <c r="D40" s="2931" t="s">
        <v>1626</v>
      </c>
      <c r="E40" s="2935">
        <f>SUMIF(D42:D51,E41,E42:E51)</f>
        <v>30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t="s">
        <v>161</v>
      </c>
      <c r="F41" s="1281" t="s">
        <v>1629</v>
      </c>
      <c r="G41" s="1742" t="s">
        <v>1630</v>
      </c>
      <c r="H41" s="2938"/>
      <c r="I41" s="1655"/>
      <c r="J41" s="1655"/>
      <c r="K41" s="1655"/>
      <c r="L41" s="1655"/>
      <c r="M41" s="1655"/>
      <c r="N41" s="1655"/>
    </row>
    <row r="42" spans="1:14" ht="14.4">
      <c r="A42" s="2898" t="s">
        <v>1627</v>
      </c>
      <c r="B42" s="2649"/>
      <c r="D42" s="2652" t="s">
        <v>1632</v>
      </c>
      <c r="E42" s="2639">
        <v>30</v>
      </c>
      <c r="F42" s="1281">
        <v>30</v>
      </c>
      <c r="G42" s="2938"/>
      <c r="H42" s="2938"/>
      <c r="I42" s="1655"/>
      <c r="J42" s="1655"/>
      <c r="K42" s="1655"/>
      <c r="L42" s="1655"/>
      <c r="M42" s="1655"/>
      <c r="N42" s="1655"/>
    </row>
    <row r="43" spans="1:14" ht="14.4">
      <c r="A43" s="2899" t="s">
        <v>1631</v>
      </c>
      <c r="B43" s="2651">
        <v>365</v>
      </c>
      <c r="D43" s="2652" t="s">
        <v>1634</v>
      </c>
      <c r="E43" s="2639">
        <v>24</v>
      </c>
      <c r="F43" s="1281">
        <v>24</v>
      </c>
      <c r="G43" s="2938"/>
      <c r="H43" s="2938"/>
      <c r="I43" s="1655"/>
      <c r="J43" s="1655"/>
      <c r="K43" s="1655"/>
      <c r="L43" s="1655"/>
      <c r="M43" s="1655"/>
      <c r="N43" s="1655"/>
    </row>
    <row r="44" spans="1:14" ht="14.4">
      <c r="A44" s="2899" t="s">
        <v>1633</v>
      </c>
      <c r="B44" s="2639"/>
      <c r="D44" s="2652" t="s">
        <v>1636</v>
      </c>
      <c r="E44" s="2639">
        <v>18</v>
      </c>
      <c r="F44" s="1281">
        <v>18</v>
      </c>
      <c r="G44" s="2644"/>
      <c r="H44" s="2644"/>
      <c r="I44" s="2938"/>
      <c r="J44" s="1655"/>
      <c r="K44" s="1655"/>
      <c r="L44" s="1655"/>
      <c r="M44" s="1655"/>
      <c r="N44" s="1655"/>
    </row>
    <row r="45" spans="1:14" ht="14.4">
      <c r="A45" s="2899" t="s">
        <v>1635</v>
      </c>
      <c r="B45" s="2653">
        <v>1.4999999999999999E-2</v>
      </c>
      <c r="C45" s="2532" t="s">
        <v>2787</v>
      </c>
      <c r="D45" s="2652" t="s">
        <v>1638</v>
      </c>
      <c r="E45" s="2639">
        <v>12</v>
      </c>
      <c r="F45" s="1281">
        <v>12</v>
      </c>
      <c r="G45" s="2644"/>
      <c r="H45" s="2644"/>
      <c r="M45" s="1655"/>
      <c r="N45" s="1655"/>
    </row>
    <row r="46" spans="1:14" ht="14.4">
      <c r="A46" s="2899" t="s">
        <v>1637</v>
      </c>
      <c r="B46" s="2654">
        <v>1.5E-3</v>
      </c>
      <c r="C46" s="2532" t="s">
        <v>2785</v>
      </c>
      <c r="D46" s="2652" t="s">
        <v>1400</v>
      </c>
      <c r="E46" s="2639">
        <v>3</v>
      </c>
      <c r="F46" s="1281">
        <v>3</v>
      </c>
      <c r="G46" s="2644"/>
      <c r="H46" s="2644"/>
      <c r="M46" s="1655"/>
      <c r="N46" s="1655"/>
    </row>
    <row r="47" spans="1:14" ht="15" thickBot="1">
      <c r="A47" s="2902" t="s">
        <v>1639</v>
      </c>
      <c r="B47" s="2655">
        <v>0.01</v>
      </c>
      <c r="C47" s="2532" t="s">
        <v>2786</v>
      </c>
      <c r="D47" s="2652" t="s">
        <v>1640</v>
      </c>
      <c r="E47" s="2639">
        <v>1.5</v>
      </c>
      <c r="F47" s="1281">
        <v>1.5</v>
      </c>
      <c r="G47" s="2644"/>
      <c r="H47" s="2644"/>
      <c r="M47" s="1655"/>
      <c r="N47" s="1655"/>
    </row>
    <row r="48" spans="1:14" ht="14.4">
      <c r="A48" s="2644"/>
      <c r="B48" s="2644"/>
      <c r="D48" s="2652" t="s">
        <v>1641</v>
      </c>
      <c r="E48" s="2639"/>
      <c r="F48" s="1281"/>
      <c r="G48" s="2644"/>
      <c r="H48" s="2644"/>
      <c r="M48" s="1655"/>
      <c r="N48" s="1655"/>
    </row>
    <row r="49" spans="1:41" ht="14.4">
      <c r="A49" s="2644"/>
      <c r="B49" s="2644"/>
      <c r="D49" s="2652" t="s">
        <v>1642</v>
      </c>
      <c r="E49" s="2639"/>
      <c r="F49" s="1281"/>
      <c r="G49" s="2644"/>
      <c r="H49" s="2644"/>
      <c r="M49" s="1655"/>
      <c r="N49" s="1655"/>
    </row>
    <row r="50" spans="1:41" ht="14.4">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3.8">
      <c r="D52" s="2938"/>
      <c r="E52" s="2938"/>
      <c r="F52" s="2938"/>
      <c r="G52" s="2938"/>
      <c r="H52" s="2938"/>
      <c r="I52" s="1655"/>
      <c r="J52" s="1655"/>
      <c r="K52" s="1655"/>
      <c r="L52" s="1655"/>
      <c r="M52" s="1655"/>
      <c r="N52" s="1655"/>
    </row>
    <row r="53" spans="1:41" s="2644" customFormat="1" ht="13.8">
      <c r="D53" s="2938"/>
      <c r="E53" s="2938"/>
      <c r="F53" s="2938"/>
      <c r="G53" s="2938"/>
      <c r="H53" s="2938"/>
      <c r="I53" s="1655"/>
      <c r="J53" s="1655"/>
      <c r="K53" s="1655"/>
      <c r="L53" s="1655"/>
      <c r="M53" s="1655"/>
      <c r="N53" s="1655"/>
    </row>
    <row r="54" spans="1:41" s="2644" customFormat="1" ht="13.8">
      <c r="D54" s="2938"/>
      <c r="E54" s="2938"/>
      <c r="F54" s="2938"/>
      <c r="G54" s="2938"/>
      <c r="H54" s="2938"/>
      <c r="I54" s="1655"/>
      <c r="J54" s="1655"/>
      <c r="K54" s="1655"/>
      <c r="L54" s="1655"/>
      <c r="M54" s="1655"/>
      <c r="N54" s="1655"/>
    </row>
    <row r="55" spans="1:41" s="2644" customFormat="1" ht="13.8">
      <c r="D55" s="2938"/>
      <c r="E55" s="2938"/>
      <c r="F55" s="2938"/>
      <c r="G55" s="2938"/>
      <c r="H55" s="2938"/>
      <c r="I55" s="1655"/>
      <c r="J55" s="1655"/>
      <c r="K55" s="1655"/>
      <c r="L55" s="1655"/>
      <c r="M55" s="1655"/>
      <c r="N55" s="1655"/>
    </row>
    <row r="56" spans="1:41" s="2644" customFormat="1" ht="13.8">
      <c r="D56" s="2938"/>
      <c r="E56" s="2938"/>
      <c r="F56" s="2938"/>
      <c r="G56" s="2938"/>
      <c r="H56" s="2938"/>
      <c r="I56" s="1655"/>
      <c r="J56" s="1655"/>
      <c r="K56" s="1655"/>
      <c r="L56" s="1655"/>
      <c r="M56" s="1655"/>
      <c r="N56" s="1655"/>
    </row>
    <row r="57" spans="1:41" s="2644" customFormat="1" ht="13.8">
      <c r="D57" s="2938"/>
      <c r="E57" s="2938"/>
      <c r="F57" s="2938"/>
      <c r="G57" s="2938"/>
      <c r="H57" s="2938"/>
      <c r="I57" s="1655"/>
      <c r="J57" s="1655"/>
      <c r="K57" s="1655"/>
      <c r="L57" s="1655"/>
      <c r="M57" s="1655"/>
      <c r="N57" s="1655"/>
    </row>
    <row r="58" spans="1:41" s="2644" customFormat="1" ht="13.8">
      <c r="D58" s="2938"/>
      <c r="E58" s="2938"/>
      <c r="F58" s="2938"/>
      <c r="G58" s="2938"/>
      <c r="H58" s="2938"/>
      <c r="I58" s="1655"/>
      <c r="J58" s="1655"/>
      <c r="K58" s="1655"/>
      <c r="L58" s="1655"/>
      <c r="M58" s="1655"/>
      <c r="N58" s="1655"/>
    </row>
    <row r="59" spans="1:41" s="2644" customFormat="1" ht="13.8">
      <c r="D59" s="2938"/>
      <c r="E59" s="2938"/>
      <c r="F59" s="2938"/>
      <c r="G59" s="2938"/>
      <c r="H59" s="2938"/>
      <c r="I59" s="1655"/>
      <c r="J59" s="1655"/>
      <c r="K59" s="1655"/>
      <c r="L59" s="1655"/>
      <c r="M59" s="2939"/>
      <c r="N59" s="1655"/>
    </row>
    <row r="60" spans="1:41" s="2644" customFormat="1" ht="13.8">
      <c r="D60" s="2938"/>
      <c r="E60" s="2938"/>
      <c r="F60" s="2938"/>
      <c r="G60" s="2938"/>
      <c r="H60" s="2938"/>
      <c r="I60" s="1655"/>
      <c r="J60" s="1655"/>
      <c r="K60" s="1655"/>
      <c r="L60" s="1655"/>
      <c r="M60" s="1655"/>
      <c r="N60" s="1655"/>
    </row>
    <row r="61" spans="1:41" s="2644" customFormat="1" ht="13.8">
      <c r="D61" s="2938"/>
      <c r="E61" s="2938"/>
      <c r="F61" s="2938"/>
      <c r="G61" s="2938"/>
      <c r="H61" s="2938"/>
      <c r="I61" s="1655"/>
      <c r="J61" s="1655"/>
      <c r="K61" s="1655"/>
      <c r="L61" s="1655"/>
      <c r="M61" s="1655"/>
      <c r="N61" s="1655"/>
    </row>
    <row r="62" spans="1:41" s="2644" customFormat="1" ht="13.8">
      <c r="D62" s="2938"/>
      <c r="E62" s="2938"/>
      <c r="F62" s="2938"/>
      <c r="G62" s="2938"/>
      <c r="H62" s="2938"/>
      <c r="I62" s="1655"/>
      <c r="J62" s="1655"/>
      <c r="K62" s="1655"/>
      <c r="L62" s="1655"/>
      <c r="M62" s="1655"/>
      <c r="N62" s="1655"/>
    </row>
    <row r="63" spans="1:41" s="2644" customFormat="1" ht="13.8">
      <c r="D63" s="2938"/>
      <c r="E63" s="2938"/>
      <c r="F63" s="2938"/>
      <c r="G63" s="2938"/>
      <c r="H63" s="2938"/>
      <c r="I63" s="1655"/>
      <c r="J63" s="1655"/>
      <c r="K63" s="1655"/>
      <c r="L63" s="1655"/>
      <c r="M63" s="1655"/>
      <c r="N63" s="1655"/>
    </row>
    <row r="64" spans="1:41" s="2644" customFormat="1" ht="13.8">
      <c r="D64" s="2938"/>
      <c r="E64" s="2938"/>
      <c r="F64" s="2938"/>
      <c r="G64" s="2938"/>
      <c r="H64" s="2938"/>
      <c r="I64" s="1655"/>
      <c r="J64" s="1655"/>
      <c r="K64" s="1655"/>
      <c r="L64" s="1655"/>
      <c r="M64" s="1655"/>
      <c r="N64" s="1655"/>
    </row>
    <row r="65" spans="1:14" s="2644" customFormat="1" ht="13.8">
      <c r="D65" s="2938"/>
      <c r="E65" s="2938"/>
      <c r="F65" s="2938"/>
      <c r="G65" s="2938"/>
      <c r="H65" s="2938"/>
      <c r="I65" s="1655"/>
      <c r="J65" s="1655"/>
      <c r="K65" s="1655"/>
      <c r="L65" s="1655"/>
      <c r="M65" s="1655"/>
      <c r="N65" s="1655"/>
    </row>
    <row r="66" spans="1:14" s="2644" customFormat="1" ht="13.8">
      <c r="D66" s="2938"/>
      <c r="E66" s="2938"/>
      <c r="F66" s="2938"/>
      <c r="G66" s="2938"/>
      <c r="H66" s="2938"/>
      <c r="I66" s="1655"/>
      <c r="J66" s="1655"/>
      <c r="K66" s="1655"/>
      <c r="L66" s="1655"/>
      <c r="M66" s="1655"/>
      <c r="N66" s="1655"/>
    </row>
    <row r="67" spans="1:14" s="2644" customFormat="1" ht="13.8">
      <c r="A67" s="2942"/>
      <c r="D67" s="2938"/>
      <c r="E67" s="2938"/>
      <c r="F67" s="2938"/>
      <c r="G67" s="2938"/>
      <c r="H67" s="2938"/>
      <c r="I67" s="1655"/>
      <c r="J67" s="1655"/>
      <c r="K67" s="1655"/>
      <c r="L67" s="1655"/>
      <c r="M67" s="1655"/>
      <c r="N67" s="1655"/>
    </row>
    <row r="68" spans="1:14" s="2644" customFormat="1" ht="13.8">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06" customWidth="1"/>
    <col min="2" max="2" width="24.44140625" style="2619" customWidth="1"/>
    <col min="3" max="3" width="28.33203125" style="2680" customWidth="1"/>
    <col min="4" max="4" width="2.6640625" style="2680" customWidth="1"/>
    <col min="5" max="5" width="5.88671875" style="2680" customWidth="1"/>
    <col min="6" max="6" width="27" style="2619" customWidth="1"/>
    <col min="7" max="7" width="32.33203125" style="2681" customWidth="1"/>
    <col min="8" max="8" width="11.88671875" style="2677" customWidth="1"/>
    <col min="9" max="9" width="16.77734375" style="2678" customWidth="1"/>
    <col min="10" max="10" width="2.6640625" style="2677" customWidth="1"/>
    <col min="11" max="11" width="11.88671875" style="2677" customWidth="1"/>
    <col min="12" max="12" width="16.77734375" style="2678" customWidth="1"/>
    <col min="13" max="13" width="2.6640625" style="2677" customWidth="1"/>
    <col min="14" max="14" width="11.88671875" style="2677" customWidth="1"/>
    <col min="15" max="15" width="16.77734375" style="2678" customWidth="1"/>
    <col min="16" max="16" width="2.6640625" style="2677" customWidth="1"/>
    <col min="17" max="17" width="11.88671875" style="2677" customWidth="1"/>
    <col min="18" max="18" width="16.77734375" style="2679" customWidth="1"/>
    <col min="19" max="29" width="9" style="2667"/>
    <col min="30" max="16384" width="9" style="2606"/>
  </cols>
  <sheetData>
    <row r="1" spans="1:29" s="2665" customFormat="1" ht="18" thickBot="1">
      <c r="A1" s="3411" t="s">
        <v>1645</v>
      </c>
      <c r="B1" s="3412"/>
      <c r="C1" s="3412"/>
      <c r="D1" s="3412"/>
      <c r="E1" s="3412"/>
      <c r="F1" s="3412"/>
      <c r="G1" s="3412"/>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thickBot="1">
      <c r="A2" s="3068"/>
      <c r="B2" s="3069"/>
      <c r="C2" s="3070" t="s">
        <v>2792</v>
      </c>
      <c r="D2" s="3071"/>
      <c r="E2" s="3068"/>
      <c r="F2" s="3072"/>
      <c r="G2" s="3070" t="s">
        <v>2793</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48">
      <c r="A3" s="3074" t="s">
        <v>2794</v>
      </c>
      <c r="B3" s="3075" t="s">
        <v>2795</v>
      </c>
      <c r="C3" s="3076" t="s">
        <v>2796</v>
      </c>
      <c r="D3" s="3077"/>
      <c r="E3" s="3078" t="s">
        <v>2794</v>
      </c>
      <c r="F3" s="3079" t="s">
        <v>2797</v>
      </c>
      <c r="G3" s="3080" t="s">
        <v>2798</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37.200000000000003">
      <c r="A4" s="3078"/>
      <c r="B4" s="3062" t="s">
        <v>2799</v>
      </c>
      <c r="C4" s="3081" t="s">
        <v>2800</v>
      </c>
      <c r="D4" s="3077"/>
      <c r="E4" s="3082"/>
      <c r="F4" s="3064" t="s">
        <v>2801</v>
      </c>
      <c r="G4" s="3083" t="s">
        <v>2802</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37.200000000000003">
      <c r="A5" s="3078"/>
      <c r="B5" s="3062" t="s">
        <v>2803</v>
      </c>
      <c r="C5" s="3081" t="s">
        <v>2804</v>
      </c>
      <c r="D5" s="3077"/>
      <c r="E5" s="3082"/>
      <c r="F5" s="3062" t="s">
        <v>2805</v>
      </c>
      <c r="G5" s="3083" t="s">
        <v>2806</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2807</v>
      </c>
      <c r="C6" s="3083" t="s">
        <v>2802</v>
      </c>
      <c r="D6" s="3077"/>
      <c r="E6" s="3082"/>
      <c r="F6" s="3062" t="s">
        <v>2808</v>
      </c>
      <c r="G6" s="3083" t="s">
        <v>2809</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6" thickBot="1">
      <c r="A7" s="3078"/>
      <c r="B7" s="3062" t="s">
        <v>2805</v>
      </c>
      <c r="C7" s="3083" t="s">
        <v>2806</v>
      </c>
      <c r="D7" s="2951"/>
      <c r="E7" s="3084"/>
      <c r="F7" s="3085" t="s">
        <v>2810</v>
      </c>
      <c r="G7" s="3086" t="s">
        <v>2811</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3.2">
      <c r="A8" s="3078"/>
      <c r="B8" s="3062" t="s">
        <v>2808</v>
      </c>
      <c r="C8" s="3083" t="s">
        <v>2809</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2812</v>
      </c>
      <c r="C9" s="3081" t="s">
        <v>2813</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thickBot="1">
      <c r="A10" s="3087"/>
      <c r="B10" s="3066" t="s">
        <v>2814</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3.2">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7.399999999999999">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8" thickBot="1">
      <c r="A13" s="2676" t="s">
        <v>1651</v>
      </c>
      <c r="B13" s="2670"/>
      <c r="C13" s="2670"/>
      <c r="D13" s="2666"/>
      <c r="E13" s="2670"/>
      <c r="F13" s="2670"/>
      <c r="G13" s="2670"/>
    </row>
    <row r="14" spans="1:29" s="2603" customFormat="1" thickBot="1">
      <c r="A14" s="3093"/>
      <c r="B14" s="3093"/>
      <c r="C14" s="3094" t="s">
        <v>2815</v>
      </c>
      <c r="D14" s="3077"/>
      <c r="E14" s="3095"/>
      <c r="F14" s="3095"/>
      <c r="G14" s="3070" t="s">
        <v>2816</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52.8">
      <c r="A15" s="3099" t="s">
        <v>2817</v>
      </c>
      <c r="B15" s="3100" t="s">
        <v>2795</v>
      </c>
      <c r="C15" s="3101" t="str">
        <f>C3</f>
        <v>估价对象周边居住用地比例、居住小区规模和社区发展完善程度，综合评价居住社区成熟度一般</v>
      </c>
      <c r="D15" s="3077"/>
      <c r="E15" s="3102" t="s">
        <v>2818</v>
      </c>
      <c r="F15" s="3100" t="s">
        <v>2819</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39.6">
      <c r="A16" s="3104"/>
      <c r="B16" s="2543" t="s">
        <v>2799</v>
      </c>
      <c r="C16" s="3105" t="str">
        <f>C4</f>
        <v>估价对象位于XX商圈，周边商业氛围成熟，人流量大，商业繁华度好</v>
      </c>
      <c r="D16" s="3077"/>
      <c r="E16" s="3106"/>
      <c r="F16" s="3063" t="s">
        <v>2801</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39.6">
      <c r="A17" s="3104"/>
      <c r="B17" s="2543" t="s">
        <v>2803</v>
      </c>
      <c r="C17" s="3105" t="str">
        <f>C5</f>
        <v>估价对象位于XX商圈，周边办公楼项目较多，入驻率高，办公集聚程度较好</v>
      </c>
      <c r="D17" s="2951"/>
      <c r="E17" s="3106"/>
      <c r="F17" s="3063" t="s">
        <v>2820</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9.6">
      <c r="A18" s="3104"/>
      <c r="B18" s="3063" t="s">
        <v>2807</v>
      </c>
      <c r="C18" s="3107" t="str">
        <f>C6</f>
        <v>估价对象周边道路状况、公共交通通达情况、停车便捷程度，综合评价交通便捷度较好</v>
      </c>
      <c r="D18" s="2951"/>
      <c r="E18" s="3106"/>
      <c r="F18" s="3063" t="s">
        <v>2810</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26.4">
      <c r="A19" s="3104"/>
      <c r="B19" s="3063" t="s">
        <v>2821</v>
      </c>
      <c r="C19" s="3108"/>
      <c r="D19" s="3077"/>
      <c r="E19" s="3106"/>
      <c r="F19" s="3062" t="s">
        <v>2805</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6.4">
      <c r="A20" s="3104"/>
      <c r="B20" s="3063" t="s">
        <v>2822</v>
      </c>
      <c r="C20" s="3105" t="str">
        <f>C9</f>
        <v>区域自然环境：；人文环境；综合评价环境状况一般</v>
      </c>
      <c r="D20" s="2951"/>
      <c r="E20" s="3106"/>
      <c r="F20" s="3062" t="s">
        <v>2808</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6.4">
      <c r="A21" s="3104"/>
      <c r="B21" s="3062" t="s">
        <v>2805</v>
      </c>
      <c r="C21" s="3107" t="str">
        <f>C7</f>
        <v>估价对象所在区域公共配套设施齐备情况</v>
      </c>
      <c r="D21" s="3077"/>
      <c r="E21" s="3106"/>
      <c r="F21" s="3063" t="s">
        <v>2823</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3.2">
      <c r="A22" s="3104"/>
      <c r="B22" s="3062" t="s">
        <v>2808</v>
      </c>
      <c r="C22" s="3107" t="str">
        <f>C8</f>
        <v>估价对象所在区域基础设施水平</v>
      </c>
      <c r="D22" s="3077"/>
      <c r="E22" s="3106"/>
      <c r="F22" s="3063" t="s">
        <v>2814</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thickBot="1">
      <c r="A23" s="3104"/>
      <c r="B23" s="3063" t="s">
        <v>2823</v>
      </c>
      <c r="C23" s="3109"/>
      <c r="D23" s="3096"/>
      <c r="E23" s="3111"/>
      <c r="F23" s="3065" t="s">
        <v>2824</v>
      </c>
      <c r="G23" s="3112"/>
      <c r="H23" s="3096"/>
      <c r="I23" s="3097"/>
      <c r="J23" s="3096"/>
      <c r="K23" s="3096"/>
      <c r="L23" s="3097"/>
      <c r="M23" s="3096"/>
      <c r="N23" s="3096"/>
      <c r="O23" s="3097"/>
      <c r="P23" s="3096"/>
      <c r="Q23" s="3096"/>
      <c r="R23" s="3098"/>
    </row>
    <row r="24" spans="1:29" s="3073" customFormat="1" thickBot="1">
      <c r="A24" s="3113"/>
      <c r="B24" s="3065" t="s">
        <v>2825</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4" sqref="E34"/>
    </sheetView>
  </sheetViews>
  <sheetFormatPr defaultColWidth="14.6640625" defaultRowHeight="14.4"/>
  <cols>
    <col min="1" max="1" width="24.33203125" style="2552" customWidth="1"/>
    <col min="2" max="16384" width="14.6640625" style="2552"/>
  </cols>
  <sheetData>
    <row r="1" spans="1:9" ht="15.6">
      <c r="A1" s="2550" t="s">
        <v>1155</v>
      </c>
      <c r="B1" s="2550">
        <f>SUM(B14:B23)</f>
        <v>215.26</v>
      </c>
      <c r="C1" s="1604"/>
      <c r="D1" s="1604"/>
      <c r="E1" s="1604"/>
      <c r="F1" s="1604"/>
      <c r="G1" s="2551"/>
    </row>
    <row r="2" spans="1:9" ht="15.6">
      <c r="A2" s="2550" t="s">
        <v>1156</v>
      </c>
      <c r="B2" s="2550">
        <f>SUM(C14:C23)</f>
        <v>0</v>
      </c>
      <c r="C2" s="1604"/>
      <c r="D2" s="1604"/>
      <c r="E2" s="1604"/>
      <c r="F2" s="1604"/>
      <c r="G2" s="2551"/>
    </row>
    <row r="3" spans="1:9" ht="15.6">
      <c r="A3" s="2550" t="s">
        <v>1157</v>
      </c>
      <c r="B3" s="2553">
        <f>项目基本情况!D2</f>
        <v>44624</v>
      </c>
      <c r="C3" s="1604"/>
      <c r="D3" s="1604"/>
      <c r="E3" s="1604"/>
      <c r="F3" s="1604"/>
      <c r="G3" s="2551"/>
    </row>
    <row r="4" spans="1:9" ht="31.2">
      <c r="A4" s="2550" t="s">
        <v>1158</v>
      </c>
      <c r="B4" s="2550" t="s">
        <v>1159</v>
      </c>
      <c r="C4" s="2550" t="s">
        <v>1160</v>
      </c>
      <c r="D4" s="2550" t="s">
        <v>1161</v>
      </c>
      <c r="E4" s="1604"/>
      <c r="F4" s="2551"/>
      <c r="G4" s="2551"/>
    </row>
    <row r="5" spans="1:9" ht="15.6">
      <c r="A5" s="2550" t="s">
        <v>1162</v>
      </c>
      <c r="B5" s="2550">
        <f ca="1">SUM(D14:D23)</f>
        <v>980</v>
      </c>
      <c r="C5" s="2550">
        <f ca="1">ROUND(B5*10000/$B$1,0)</f>
        <v>45526</v>
      </c>
      <c r="D5" s="2550" t="e">
        <f ca="1">ROUND(B5*10000/$B$2,0)</f>
        <v>#DIV/0!</v>
      </c>
      <c r="E5" s="1604"/>
      <c r="F5" s="2551"/>
      <c r="G5" s="2551"/>
    </row>
    <row r="6" spans="1:9" ht="15.6">
      <c r="A6" s="2550" t="s">
        <v>1163</v>
      </c>
      <c r="B6" s="2550">
        <f ca="1">SUM(G14:G23)</f>
        <v>980</v>
      </c>
      <c r="C6" s="2550">
        <f t="shared" ref="C6:C8" ca="1" si="0">ROUND(B6*10000/$B$1,0)</f>
        <v>45526</v>
      </c>
      <c r="D6" s="2550" t="e">
        <f t="shared" ref="D6:D8" ca="1" si="1">ROUND(B6*10000/$B$2,0)</f>
        <v>#DIV/0!</v>
      </c>
      <c r="E6" s="1604"/>
      <c r="F6" s="2551"/>
      <c r="G6" s="2551"/>
    </row>
    <row r="7" spans="1:9" ht="15.6">
      <c r="A7" s="2550" t="s">
        <v>1164</v>
      </c>
      <c r="B7" s="2550">
        <f>SUM(H14:H23)</f>
        <v>0</v>
      </c>
      <c r="C7" s="2550">
        <f>ROUND(B7*10000/$B$1,0)</f>
        <v>0</v>
      </c>
      <c r="D7" s="2550" t="e">
        <f t="shared" si="1"/>
        <v>#DIV/0!</v>
      </c>
      <c r="E7" s="1604"/>
      <c r="F7" s="2551"/>
      <c r="G7" s="2551"/>
    </row>
    <row r="8" spans="1:9" ht="15.6">
      <c r="A8" s="2550" t="s">
        <v>1165</v>
      </c>
      <c r="B8" s="2550">
        <f>SUM(I14:I23)</f>
        <v>0</v>
      </c>
      <c r="C8" s="2550">
        <f t="shared" si="0"/>
        <v>0</v>
      </c>
      <c r="D8" s="2550" t="e">
        <f t="shared" si="1"/>
        <v>#DIV/0!</v>
      </c>
      <c r="E8" s="1604"/>
      <c r="F8" s="2551"/>
      <c r="G8" s="2551"/>
    </row>
    <row r="9" spans="1:9" ht="15.6">
      <c r="A9" s="2550" t="s">
        <v>1166</v>
      </c>
      <c r="B9" s="2554"/>
      <c r="C9" s="1604"/>
      <c r="D9" s="1604"/>
      <c r="E9" s="1604"/>
      <c r="F9" s="2551"/>
      <c r="G9" s="2551"/>
    </row>
    <row r="10" spans="1:9" ht="15.6">
      <c r="A10" s="2550" t="s">
        <v>1167</v>
      </c>
      <c r="B10" s="2554"/>
      <c r="C10" s="1604"/>
      <c r="D10" s="1604"/>
      <c r="E10" s="1604"/>
      <c r="F10" s="2551"/>
      <c r="G10" s="2551"/>
    </row>
    <row r="11" spans="1:9" ht="15.6">
      <c r="A11" s="2550" t="s">
        <v>1182</v>
      </c>
      <c r="B11" s="2554"/>
      <c r="C11" s="1604"/>
      <c r="D11" s="1604"/>
      <c r="E11" s="1604"/>
      <c r="F11" s="2551"/>
      <c r="G11" s="2551"/>
    </row>
    <row r="12" spans="1:9" ht="15.6">
      <c r="A12" s="1604"/>
      <c r="B12" s="1604"/>
      <c r="C12" s="1604"/>
      <c r="D12" s="1604"/>
      <c r="E12" s="1604"/>
      <c r="F12" s="2551"/>
      <c r="G12" s="2551"/>
    </row>
    <row r="13" spans="1:9" ht="31.2">
      <c r="A13" s="2555" t="s">
        <v>1181</v>
      </c>
      <c r="B13" s="2556" t="s">
        <v>1155</v>
      </c>
      <c r="C13" s="2556" t="s">
        <v>1156</v>
      </c>
      <c r="D13" s="2556" t="s">
        <v>1168</v>
      </c>
      <c r="E13" s="2550" t="s">
        <v>1160</v>
      </c>
      <c r="F13" s="2550" t="s">
        <v>1161</v>
      </c>
      <c r="G13" s="2556" t="s">
        <v>1169</v>
      </c>
      <c r="H13" s="2556" t="s">
        <v>1170</v>
      </c>
      <c r="I13" s="2556" t="s">
        <v>1171</v>
      </c>
    </row>
    <row r="14" spans="1:9" ht="15.6">
      <c r="A14" s="2856" t="s">
        <v>3036</v>
      </c>
      <c r="B14" s="2886">
        <f>项目基本情况!C12</f>
        <v>215.26</v>
      </c>
      <c r="C14" s="2886">
        <f>项目基本情况!C13</f>
        <v>0</v>
      </c>
      <c r="D14" s="2886">
        <f ca="1">IF('数据-取费表'!B3="万元",IF(A14="估价对象1（结果表）",结果表!H121,'结果表 (1修多)'!H125),IF(A14="估价对象1（结果表）",结果表!H121,'结果表 (1修多)'!H125)/10000)</f>
        <v>980</v>
      </c>
      <c r="E14" s="2886">
        <f ca="1">ROUND(D14*10000/B14,0)</f>
        <v>45526</v>
      </c>
      <c r="F14" s="2886" t="e">
        <f ca="1">ROUND(D14*10000/C14,0)</f>
        <v>#DIV/0!</v>
      </c>
      <c r="G14" s="2886">
        <f ca="1">IF('数据-取费表'!B3="万元",IF(A14="估价对象1（结果表）",结果表!D125,'结果表 (1修多)'!D129),IF(A14="估价对象1（结果表）",结果表!D125,'结果表 (1修多)'!D129)/10000)</f>
        <v>980</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5.6">
      <c r="A15" s="2557" t="s">
        <v>1172</v>
      </c>
      <c r="B15" s="2558"/>
      <c r="C15" s="2558"/>
      <c r="D15" s="2558"/>
      <c r="E15" s="2886" t="e">
        <f t="shared" ref="E15:E23" si="2">ROUND(D15*10000/B15,0)</f>
        <v>#DIV/0!</v>
      </c>
      <c r="F15" s="2886" t="e">
        <f t="shared" ref="F15:F23" si="3">ROUND(D15*10000/C15,0)</f>
        <v>#DIV/0!</v>
      </c>
      <c r="G15" s="1275"/>
      <c r="H15" s="1275"/>
      <c r="I15" s="2558"/>
    </row>
    <row r="16" spans="1:9" ht="15.6">
      <c r="A16" s="2557" t="s">
        <v>1173</v>
      </c>
      <c r="B16" s="2558"/>
      <c r="C16" s="2558"/>
      <c r="D16" s="2558"/>
      <c r="E16" s="2886" t="e">
        <f t="shared" si="2"/>
        <v>#DIV/0!</v>
      </c>
      <c r="F16" s="2886" t="e">
        <f t="shared" si="3"/>
        <v>#DIV/0!</v>
      </c>
      <c r="G16" s="1275"/>
      <c r="H16" s="1275"/>
      <c r="I16" s="2558"/>
    </row>
    <row r="17" spans="1:9" ht="15.6">
      <c r="A17" s="2557" t="s">
        <v>1174</v>
      </c>
      <c r="B17" s="2558"/>
      <c r="C17" s="2558"/>
      <c r="D17" s="2558"/>
      <c r="E17" s="2886" t="e">
        <f t="shared" si="2"/>
        <v>#DIV/0!</v>
      </c>
      <c r="F17" s="2886" t="e">
        <f t="shared" si="3"/>
        <v>#DIV/0!</v>
      </c>
      <c r="G17" s="1275"/>
      <c r="H17" s="1275"/>
      <c r="I17" s="2558"/>
    </row>
    <row r="18" spans="1:9" ht="15.6">
      <c r="A18" s="2557" t="s">
        <v>1175</v>
      </c>
      <c r="B18" s="2558"/>
      <c r="C18" s="2558"/>
      <c r="D18" s="2558"/>
      <c r="E18" s="2886" t="e">
        <f t="shared" si="2"/>
        <v>#DIV/0!</v>
      </c>
      <c r="F18" s="2886" t="e">
        <f t="shared" si="3"/>
        <v>#DIV/0!</v>
      </c>
      <c r="G18" s="2558"/>
      <c r="H18" s="2558"/>
      <c r="I18" s="2558"/>
    </row>
    <row r="19" spans="1:9" ht="15.6">
      <c r="A19" s="2557" t="s">
        <v>1176</v>
      </c>
      <c r="B19" s="2558"/>
      <c r="C19" s="2558"/>
      <c r="D19" s="2558"/>
      <c r="E19" s="2886" t="e">
        <f t="shared" si="2"/>
        <v>#DIV/0!</v>
      </c>
      <c r="F19" s="2886" t="e">
        <f t="shared" si="3"/>
        <v>#DIV/0!</v>
      </c>
      <c r="G19" s="2558"/>
      <c r="H19" s="2558"/>
      <c r="I19" s="2558"/>
    </row>
    <row r="20" spans="1:9" ht="15.6">
      <c r="A20" s="2557" t="s">
        <v>1177</v>
      </c>
      <c r="B20" s="2558"/>
      <c r="C20" s="2558"/>
      <c r="D20" s="2558"/>
      <c r="E20" s="2886" t="e">
        <f t="shared" si="2"/>
        <v>#DIV/0!</v>
      </c>
      <c r="F20" s="2886" t="e">
        <f t="shared" si="3"/>
        <v>#DIV/0!</v>
      </c>
      <c r="G20" s="2558"/>
      <c r="H20" s="2558"/>
      <c r="I20" s="2558"/>
    </row>
    <row r="21" spans="1:9" ht="15.6">
      <c r="A21" s="2557" t="s">
        <v>1178</v>
      </c>
      <c r="B21" s="2558"/>
      <c r="C21" s="2558"/>
      <c r="D21" s="2558"/>
      <c r="E21" s="2886" t="e">
        <f t="shared" si="2"/>
        <v>#DIV/0!</v>
      </c>
      <c r="F21" s="2886" t="e">
        <f t="shared" si="3"/>
        <v>#DIV/0!</v>
      </c>
      <c r="G21" s="2558"/>
      <c r="H21" s="2558"/>
      <c r="I21" s="2558"/>
    </row>
    <row r="22" spans="1:9" ht="15.6">
      <c r="A22" s="2557" t="s">
        <v>1179</v>
      </c>
      <c r="B22" s="2558"/>
      <c r="C22" s="2558"/>
      <c r="D22" s="2558"/>
      <c r="E22" s="2886" t="e">
        <f t="shared" si="2"/>
        <v>#DIV/0!</v>
      </c>
      <c r="F22" s="2886" t="e">
        <f t="shared" si="3"/>
        <v>#DIV/0!</v>
      </c>
      <c r="G22" s="2558"/>
      <c r="H22" s="2558"/>
      <c r="I22" s="2558"/>
    </row>
    <row r="23" spans="1:9" ht="15.6">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9" sqref="C19:D20"/>
    </sheetView>
  </sheetViews>
  <sheetFormatPr defaultColWidth="12.6640625" defaultRowHeight="21.75" customHeight="1"/>
  <cols>
    <col min="1" max="2" width="12.6640625" style="1432"/>
    <col min="3" max="4" width="12.6640625" style="1432" customWidth="1"/>
    <col min="5" max="9" width="12.6640625" style="1432"/>
    <col min="10" max="10" width="3.6640625" style="2812"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3"/>
    </row>
    <row r="3" spans="1:15" ht="13.2">
      <c r="A3" s="3471" t="s">
        <v>1653</v>
      </c>
      <c r="B3" s="3472"/>
      <c r="C3" s="3472"/>
      <c r="D3" s="3472"/>
      <c r="E3" s="3472"/>
      <c r="F3" s="3472"/>
      <c r="G3" s="3472"/>
      <c r="H3" s="3472"/>
      <c r="I3" s="3472"/>
      <c r="J3" s="2814"/>
    </row>
    <row r="4" spans="1:15" ht="14.4">
      <c r="A4" s="2682" t="s">
        <v>1654</v>
      </c>
      <c r="B4" s="2682" t="s">
        <v>1655</v>
      </c>
      <c r="C4" s="2683" t="s">
        <v>3011</v>
      </c>
      <c r="D4" s="2683" t="s">
        <v>3002</v>
      </c>
      <c r="E4" s="3417" t="s">
        <v>1656</v>
      </c>
      <c r="F4" s="3455"/>
      <c r="G4" s="3455"/>
      <c r="H4" s="3455"/>
      <c r="I4" s="3456"/>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48" t="s">
        <v>1657</v>
      </c>
      <c r="B5" s="3448">
        <v>25</v>
      </c>
      <c r="C5" s="3457"/>
      <c r="D5" s="3470"/>
      <c r="E5" s="12" t="s">
        <v>1658</v>
      </c>
      <c r="F5" s="2059"/>
      <c r="G5" s="2059"/>
      <c r="H5" s="2059"/>
      <c r="I5" s="2054"/>
      <c r="J5" s="2815"/>
    </row>
    <row r="6" spans="1:15" ht="13.2">
      <c r="A6" s="3448"/>
      <c r="B6" s="3448"/>
      <c r="C6" s="3473"/>
      <c r="D6" s="3470"/>
      <c r="E6" s="12" t="s">
        <v>1659</v>
      </c>
      <c r="F6" s="2059"/>
      <c r="G6" s="2059"/>
      <c r="H6" s="2059"/>
      <c r="I6" s="2054"/>
      <c r="J6" s="2815"/>
    </row>
    <row r="7" spans="1:15" ht="13.2">
      <c r="A7" s="3448"/>
      <c r="B7" s="3448"/>
      <c r="C7" s="3458"/>
      <c r="D7" s="3470"/>
      <c r="E7" s="12" t="s">
        <v>1660</v>
      </c>
      <c r="F7" s="2059"/>
      <c r="G7" s="2059"/>
      <c r="H7" s="2059"/>
      <c r="I7" s="2054"/>
      <c r="J7" s="2815"/>
    </row>
    <row r="8" spans="1:15" ht="13.2">
      <c r="A8" s="3448" t="s">
        <v>1661</v>
      </c>
      <c r="B8" s="3448">
        <v>15</v>
      </c>
      <c r="C8" s="3457"/>
      <c r="D8" s="3470"/>
      <c r="E8" s="12" t="s">
        <v>1662</v>
      </c>
      <c r="F8" s="2059"/>
      <c r="G8" s="2059"/>
      <c r="H8" s="2059"/>
      <c r="I8" s="2054"/>
      <c r="J8" s="2815"/>
    </row>
    <row r="9" spans="1:15" ht="13.2">
      <c r="A9" s="3448"/>
      <c r="B9" s="3448"/>
      <c r="C9" s="3458"/>
      <c r="D9" s="3470"/>
      <c r="E9" s="12" t="s">
        <v>1663</v>
      </c>
      <c r="F9" s="2059"/>
      <c r="G9" s="2059"/>
      <c r="H9" s="2059"/>
      <c r="I9" s="2054"/>
      <c r="J9" s="2815"/>
    </row>
    <row r="10" spans="1:15" ht="13.2">
      <c r="A10" s="3448" t="s">
        <v>1664</v>
      </c>
      <c r="B10" s="3448">
        <v>15</v>
      </c>
      <c r="C10" s="3457"/>
      <c r="D10" s="3470"/>
      <c r="E10" s="12" t="s">
        <v>1665</v>
      </c>
      <c r="F10" s="2059"/>
      <c r="G10" s="2059"/>
      <c r="H10" s="2059"/>
      <c r="I10" s="2054"/>
      <c r="J10" s="2815"/>
    </row>
    <row r="11" spans="1:15" ht="13.2">
      <c r="A11" s="3448"/>
      <c r="B11" s="3448"/>
      <c r="C11" s="3458"/>
      <c r="D11" s="3470"/>
      <c r="E11" s="12" t="s">
        <v>1666</v>
      </c>
      <c r="F11" s="2059"/>
      <c r="G11" s="2059"/>
      <c r="H11" s="2059"/>
      <c r="I11" s="2054"/>
      <c r="J11" s="2815"/>
    </row>
    <row r="12" spans="1:15" ht="13.2">
      <c r="A12" s="3448" t="s">
        <v>1667</v>
      </c>
      <c r="B12" s="3448">
        <v>15</v>
      </c>
      <c r="C12" s="3457"/>
      <c r="D12" s="3470"/>
      <c r="E12" s="12" t="s">
        <v>1668</v>
      </c>
      <c r="F12" s="2059"/>
      <c r="G12" s="2059"/>
      <c r="H12" s="2059"/>
      <c r="I12" s="2054"/>
      <c r="J12" s="2815"/>
    </row>
    <row r="13" spans="1:15" ht="13.2">
      <c r="A13" s="3448"/>
      <c r="B13" s="3448"/>
      <c r="C13" s="3458"/>
      <c r="D13" s="3470"/>
      <c r="E13" s="12" t="s">
        <v>1669</v>
      </c>
      <c r="F13" s="2059"/>
      <c r="G13" s="2059"/>
      <c r="H13" s="2059"/>
      <c r="I13" s="2054"/>
      <c r="J13" s="2815"/>
    </row>
    <row r="14" spans="1:15" ht="13.2">
      <c r="A14" s="3448" t="s">
        <v>1670</v>
      </c>
      <c r="B14" s="3448">
        <v>30</v>
      </c>
      <c r="C14" s="3457">
        <v>5</v>
      </c>
      <c r="D14" s="3470">
        <v>5</v>
      </c>
      <c r="E14" s="12" t="s">
        <v>1671</v>
      </c>
      <c r="F14" s="2059"/>
      <c r="G14" s="2059"/>
      <c r="H14" s="2059"/>
      <c r="I14" s="2054"/>
      <c r="J14" s="2815"/>
    </row>
    <row r="15" spans="1:15" ht="13.2">
      <c r="A15" s="3448"/>
      <c r="B15" s="3448"/>
      <c r="C15" s="3473"/>
      <c r="D15" s="3470"/>
      <c r="E15" s="12" t="s">
        <v>1672</v>
      </c>
      <c r="F15" s="2059"/>
      <c r="G15" s="2059"/>
      <c r="H15" s="2059"/>
      <c r="I15" s="2054"/>
      <c r="J15" s="2815"/>
    </row>
    <row r="16" spans="1:15" ht="13.2">
      <c r="A16" s="3448"/>
      <c r="B16" s="3448"/>
      <c r="C16" s="3458"/>
      <c r="D16" s="3470"/>
      <c r="E16" s="12" t="s">
        <v>1673</v>
      </c>
      <c r="F16" s="2059"/>
      <c r="G16" s="2059"/>
      <c r="H16" s="2059"/>
      <c r="I16" s="2054"/>
      <c r="J16" s="2815"/>
    </row>
    <row r="17" spans="1:36" ht="14.4">
      <c r="A17" s="2684" t="s">
        <v>1674</v>
      </c>
      <c r="B17" s="2064"/>
      <c r="C17" s="2685">
        <f>SUM(C5:C16)</f>
        <v>5</v>
      </c>
      <c r="D17" s="2685">
        <f>SUM(D5:D16)</f>
        <v>5</v>
      </c>
      <c r="E17" s="2532"/>
      <c r="F17" s="2532"/>
      <c r="G17" s="2532"/>
      <c r="H17" s="2532"/>
      <c r="I17" s="2532"/>
      <c r="J17" s="2816"/>
    </row>
    <row r="18" spans="1:36" ht="30" customHeight="1" thickBot="1">
      <c r="A18" s="2686" t="s">
        <v>1675</v>
      </c>
      <c r="B18" s="2687"/>
      <c r="C18" s="2688">
        <f>ROUND(C17/SUM(C17:D17),2)</f>
        <v>0.5</v>
      </c>
      <c r="D18" s="2688">
        <f>1-C18</f>
        <v>0.5</v>
      </c>
      <c r="E18" s="3466" t="s">
        <v>2760</v>
      </c>
      <c r="F18" s="3467"/>
      <c r="G18" s="3467"/>
      <c r="H18" s="3467"/>
      <c r="I18" s="3467"/>
      <c r="J18" s="2816"/>
    </row>
    <row r="19" spans="1:36" ht="14.4">
      <c r="A19" s="2689" t="s">
        <v>1676</v>
      </c>
      <c r="B19" s="2690" t="s">
        <v>1677</v>
      </c>
      <c r="C19" s="2691">
        <f ca="1">SUMIF(INDIRECT("'"&amp;C4&amp;"'"&amp;"!A:A"),结果表!B19,INDIRECT("'"&amp;C4&amp;"'"&amp;"!B:B"))</f>
        <v>1102</v>
      </c>
      <c r="D19" s="2692">
        <f ca="1">SUMIF(INDIRECT("'"&amp;D4&amp;"'"&amp;"!A:A"),结果表!B19,INDIRECT("'"&amp;D4&amp;"'"&amp;"!B:B"))</f>
        <v>859</v>
      </c>
      <c r="E19" s="2689" t="s">
        <v>1678</v>
      </c>
      <c r="F19" s="2690" t="s">
        <v>1677</v>
      </c>
      <c r="G19" s="2693">
        <f ca="1">ROUND(C19*$C$18+D19*$D$18,0)</f>
        <v>981</v>
      </c>
      <c r="H19" s="2694" t="str">
        <f>'数据-取费表'!B3</f>
        <v>万元</v>
      </c>
      <c r="I19" s="2742"/>
      <c r="J19" s="2817"/>
    </row>
    <row r="20" spans="1:36" ht="14.4">
      <c r="A20" s="2695"/>
      <c r="B20" s="1664" t="s">
        <v>1679</v>
      </c>
      <c r="C20" s="1889">
        <f ca="1">SUMIF(INDIRECT("'"&amp;C4&amp;"'"&amp;"!A:A"),结果表!B20,INDIRECT("'"&amp;C4&amp;"'"&amp;"!B:B"))</f>
        <v>51187</v>
      </c>
      <c r="D20" s="1892">
        <f ca="1">SUMIF(INDIRECT("'"&amp;D4&amp;"'"&amp;"!A:A"),结果表!B20,INDIRECT("'"&amp;D4&amp;"'"&amp;"!B:B"))</f>
        <v>39894</v>
      </c>
      <c r="E20" s="2695"/>
      <c r="F20" s="1664" t="s">
        <v>1679</v>
      </c>
      <c r="G20" s="2063">
        <f ca="1">ROUND(C20*$C$18+D20*$D$18,0)</f>
        <v>45541</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0.28288707799767177</v>
      </c>
      <c r="E22" s="947"/>
      <c r="F22" s="947"/>
      <c r="G22" s="947"/>
      <c r="H22" s="947"/>
      <c r="I22" s="947"/>
      <c r="J22" s="2816"/>
    </row>
    <row r="23" spans="1:36" ht="13.8" thickBot="1">
      <c r="A23" s="2532"/>
      <c r="B23" s="2532"/>
      <c r="C23" s="2532"/>
      <c r="D23" s="2532"/>
      <c r="E23" s="947"/>
      <c r="F23" s="947"/>
      <c r="G23" s="947"/>
      <c r="H23" s="947"/>
      <c r="I23" s="947"/>
      <c r="J23" s="2816"/>
    </row>
    <row r="24" spans="1:36" ht="21.75" customHeight="1">
      <c r="A24" s="3459" t="s">
        <v>1682</v>
      </c>
      <c r="B24" s="2690" t="s">
        <v>1677</v>
      </c>
      <c r="C24" s="2693">
        <f>D30</f>
        <v>0</v>
      </c>
      <c r="D24" s="2645"/>
      <c r="E24" s="947"/>
      <c r="F24" s="947"/>
      <c r="G24" s="947"/>
      <c r="H24" s="947"/>
      <c r="I24" s="947"/>
      <c r="J24" s="2816"/>
    </row>
    <row r="25" spans="1:36" ht="21.75" customHeight="1">
      <c r="A25" s="3476"/>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3.8">
      <c r="A27" s="2710"/>
      <c r="B27" s="2708">
        <v>0</v>
      </c>
      <c r="C27" s="2708">
        <v>0</v>
      </c>
      <c r="D27" s="2709">
        <f>ROUND(C27*B27/10000,0)</f>
        <v>0</v>
      </c>
      <c r="E27" s="947"/>
      <c r="F27" s="947"/>
      <c r="G27" s="947"/>
      <c r="H27" s="947"/>
      <c r="I27" s="947"/>
      <c r="J27" s="2816"/>
    </row>
    <row r="28" spans="1:36" ht="13.8">
      <c r="A28" s="2707"/>
      <c r="B28" s="2708"/>
      <c r="C28" s="2708"/>
      <c r="D28" s="2709">
        <f t="shared" ref="D28:D29" si="0">ROUND(C28*B28/10000,0)</f>
        <v>0</v>
      </c>
      <c r="E28" s="947"/>
      <c r="F28" s="947"/>
      <c r="G28" s="947"/>
      <c r="H28" s="947"/>
      <c r="I28" s="947"/>
      <c r="J28" s="2816"/>
    </row>
    <row r="29" spans="1:36" ht="13.8">
      <c r="A29" s="2707"/>
      <c r="B29" s="2708"/>
      <c r="C29" s="2708"/>
      <c r="D29" s="2709">
        <f t="shared" si="0"/>
        <v>0</v>
      </c>
      <c r="E29" s="947"/>
      <c r="F29" s="947"/>
      <c r="G29" s="947"/>
      <c r="H29" s="947"/>
      <c r="I29" s="947"/>
      <c r="J29" s="2816"/>
    </row>
    <row r="30" spans="1:36" ht="15" thickBot="1">
      <c r="A30" s="2744" t="s">
        <v>1687</v>
      </c>
      <c r="B30" s="2744"/>
      <c r="C30" s="2744"/>
      <c r="D30" s="2744"/>
      <c r="E30" s="2711" t="s">
        <v>2764</v>
      </c>
      <c r="F30" s="2532"/>
      <c r="G30" s="2532"/>
      <c r="H30" s="2532"/>
      <c r="I30" s="2532"/>
      <c r="J30" s="2816"/>
    </row>
    <row r="31" spans="1:36" s="2809" customFormat="1" ht="26.4"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5.6" thickTop="1" thickBot="1">
      <c r="A32" s="2797" t="s">
        <v>1688</v>
      </c>
      <c r="B32" s="2798" t="str">
        <f>'数据-取费表'!B4</f>
        <v>楼面单价</v>
      </c>
      <c r="C32" s="2799">
        <f ca="1">IF(B32="总价",G19-C24,G20-C25)</f>
        <v>45541</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4.4">
      <c r="A33" s="2712" t="s">
        <v>1689</v>
      </c>
      <c r="B33" s="255"/>
      <c r="C33" s="2713"/>
      <c r="D33" s="2714"/>
      <c r="E33" s="2715" t="s">
        <v>1690</v>
      </c>
      <c r="F33" s="2716" t="str">
        <f>IF(B32="楼面单价","取值（单价）","取值（总价）")</f>
        <v>取值（单价）</v>
      </c>
      <c r="G33" s="947"/>
      <c r="H33" s="947"/>
      <c r="I33" s="947"/>
      <c r="J33" s="2816"/>
    </row>
    <row r="34" spans="1:17" ht="14.4">
      <c r="A34" s="1436"/>
      <c r="B34" s="2717" t="s">
        <v>1691</v>
      </c>
      <c r="C34" s="2718">
        <f ca="1">IF(D33="自定义",F34,C32-C35)</f>
        <v>41260</v>
      </c>
      <c r="D34" s="2719">
        <f ca="1">IF(D33="自定义",ROUND(C34/C32,3),1-D35)</f>
        <v>0.90600000000000003</v>
      </c>
      <c r="E34" s="1405" t="s">
        <v>1692</v>
      </c>
      <c r="F34" s="2720">
        <v>2000</v>
      </c>
      <c r="G34" s="947"/>
      <c r="H34" s="947"/>
      <c r="I34" s="947"/>
      <c r="J34" s="2816"/>
    </row>
    <row r="35" spans="1:17" ht="15" thickBot="1">
      <c r="A35" s="1437"/>
      <c r="B35" s="2721" t="s">
        <v>1693</v>
      </c>
      <c r="C35" s="2722">
        <f ca="1">IF(D33="自定义",F35,ROUND(C32*D35,0))</f>
        <v>4281</v>
      </c>
      <c r="D35" s="2723">
        <f ca="1">IF(D33="自定义",ROUND(C35/C32,3),IF(D33="成本法成本比率",成本法!C56,IF(D33="收益法收益比率",收益法!J38,收益法!J41)))</f>
        <v>9.4E-2</v>
      </c>
      <c r="E35" s="2724" t="s">
        <v>1694</v>
      </c>
      <c r="F35" s="2725">
        <v>4460</v>
      </c>
      <c r="G35" s="947"/>
      <c r="H35" s="947"/>
      <c r="I35" s="947"/>
      <c r="J35" s="2816"/>
    </row>
    <row r="36" spans="1:17" ht="15" thickBot="1">
      <c r="A36" s="3459" t="s">
        <v>1695</v>
      </c>
      <c r="B36" s="1438" t="s">
        <v>1696</v>
      </c>
      <c r="C36" s="2726">
        <v>0</v>
      </c>
      <c r="D36" s="2727"/>
      <c r="E36" s="1650"/>
      <c r="F36" s="1650"/>
      <c r="G36" s="947"/>
      <c r="H36" s="947"/>
      <c r="I36" s="947"/>
      <c r="J36" s="2816"/>
    </row>
    <row r="37" spans="1:17" ht="15" thickBot="1">
      <c r="A37" s="3460"/>
      <c r="B37" s="2064" t="s">
        <v>1697</v>
      </c>
      <c r="C37" s="2728">
        <v>0</v>
      </c>
      <c r="D37" s="1281"/>
      <c r="E37" s="1281"/>
      <c r="F37" s="1650"/>
      <c r="G37" s="1281"/>
      <c r="H37" s="1281"/>
      <c r="I37" s="1281"/>
      <c r="J37" s="2820"/>
    </row>
    <row r="38" spans="1:17" ht="15" thickBot="1">
      <c r="A38" s="3461"/>
      <c r="B38" s="1439" t="s">
        <v>1698</v>
      </c>
      <c r="C38" s="2729">
        <v>0</v>
      </c>
      <c r="D38" s="2730" t="s">
        <v>1699</v>
      </c>
      <c r="E38" s="1281"/>
      <c r="F38" s="1650"/>
      <c r="G38" s="1281"/>
      <c r="H38" s="1281"/>
      <c r="I38" s="1281"/>
      <c r="J38" s="2820"/>
    </row>
    <row r="39" spans="1:17" ht="14.4">
      <c r="A39" s="2695" t="s">
        <v>1700</v>
      </c>
      <c r="B39" s="2731" t="s">
        <v>1684</v>
      </c>
      <c r="C39" s="2732" t="s">
        <v>1685</v>
      </c>
      <c r="D39" s="2732" t="s">
        <v>1701</v>
      </c>
      <c r="E39" s="2733" t="s">
        <v>1686</v>
      </c>
      <c r="F39" s="1650"/>
      <c r="G39" s="1281"/>
      <c r="H39" s="1281"/>
      <c r="I39" s="1281"/>
      <c r="J39" s="2820"/>
    </row>
    <row r="40" spans="1:17" ht="13.8">
      <c r="A40" s="2734" t="s">
        <v>1702</v>
      </c>
      <c r="B40" s="2735"/>
      <c r="C40" s="2736"/>
      <c r="D40" s="2736"/>
      <c r="E40" s="2737"/>
      <c r="F40" s="1650"/>
      <c r="G40" s="1281"/>
      <c r="H40" s="1281"/>
      <c r="I40" s="1281"/>
      <c r="J40" s="2820"/>
    </row>
    <row r="41" spans="1:17" ht="13.8">
      <c r="A41" s="2734" t="s">
        <v>1703</v>
      </c>
      <c r="B41" s="2735"/>
      <c r="C41" s="2736"/>
      <c r="D41" s="2736"/>
      <c r="E41" s="2737"/>
      <c r="F41" s="1650"/>
      <c r="G41" s="1281"/>
      <c r="H41" s="1281"/>
      <c r="I41" s="1281"/>
      <c r="J41" s="2820"/>
    </row>
    <row r="42" spans="1:17" ht="14.4" thickBot="1">
      <c r="A42" s="2738"/>
      <c r="B42" s="2739"/>
      <c r="C42" s="2740"/>
      <c r="D42" s="2740"/>
      <c r="E42" s="2725"/>
      <c r="F42" s="1650"/>
      <c r="G42" s="1281"/>
      <c r="H42" s="1281"/>
      <c r="I42" s="1281"/>
      <c r="J42" s="2820"/>
    </row>
    <row r="43" spans="1:17" ht="13.2">
      <c r="A43" s="2946"/>
      <c r="B43" s="2946"/>
      <c r="C43" s="2946"/>
      <c r="D43" s="2946"/>
      <c r="E43" s="2946"/>
      <c r="F43" s="2945"/>
      <c r="G43" s="2945"/>
      <c r="H43" s="2945"/>
      <c r="I43" s="2632"/>
      <c r="J43" s="2821"/>
    </row>
    <row r="44" spans="1:17" ht="17.399999999999999">
      <c r="A44" s="1441" t="s">
        <v>1704</v>
      </c>
      <c r="B44" s="1442"/>
      <c r="C44" s="1442"/>
      <c r="D44" s="1443"/>
      <c r="E44" s="1443"/>
      <c r="F44" s="1444"/>
      <c r="G44" s="1444"/>
      <c r="H44" s="1444"/>
      <c r="I44" s="2810" t="s">
        <v>2759</v>
      </c>
      <c r="J44" s="2822"/>
      <c r="K44" s="1445" t="s">
        <v>1705</v>
      </c>
      <c r="L44" s="1446"/>
      <c r="M44" s="1446"/>
      <c r="N44" s="1446"/>
      <c r="O44" s="1446"/>
      <c r="P44" s="1446"/>
      <c r="Q44" s="1278"/>
    </row>
    <row r="45" spans="1:17" ht="14.25" customHeight="1" thickBot="1">
      <c r="A45" s="3463" t="s">
        <v>1706</v>
      </c>
      <c r="B45" s="3464"/>
      <c r="C45" s="3423"/>
      <c r="D45" s="246">
        <f ca="1">ROUND(I102*F45,0)</f>
        <v>980</v>
      </c>
      <c r="E45" s="1512" t="s">
        <v>1707</v>
      </c>
      <c r="F45" s="2530">
        <v>1</v>
      </c>
      <c r="G45" s="2531" t="s">
        <v>1708</v>
      </c>
      <c r="H45" s="947"/>
      <c r="I45" s="947"/>
      <c r="J45" s="2816"/>
      <c r="K45" s="3517" t="s">
        <v>2689</v>
      </c>
      <c r="L45" s="3517"/>
      <c r="M45" s="3517"/>
      <c r="N45" s="3517"/>
      <c r="O45" s="3517"/>
      <c r="P45" s="3517"/>
      <c r="Q45" s="1278"/>
    </row>
    <row r="46" spans="1:17" ht="14.25" customHeight="1">
      <c r="A46" s="3452" t="s">
        <v>1710</v>
      </c>
      <c r="B46" s="3453"/>
      <c r="C46" s="3453"/>
      <c r="D46" s="3453"/>
      <c r="E46" s="3453"/>
      <c r="F46" s="3453"/>
      <c r="G46" s="3454"/>
      <c r="H46" s="2948"/>
      <c r="I46" s="947"/>
      <c r="J46" s="2816"/>
      <c r="K46" s="2505">
        <v>1</v>
      </c>
      <c r="L46" s="3518" t="s">
        <v>2690</v>
      </c>
      <c r="M46" s="3518"/>
      <c r="N46" s="3519" t="str">
        <f>项目基本情况!B1</f>
        <v>北京市房地产抵押价值预评估</v>
      </c>
      <c r="O46" s="3519"/>
      <c r="P46" s="3519"/>
      <c r="Q46" s="1278"/>
    </row>
    <row r="47" spans="1:17" ht="12" customHeight="1">
      <c r="A47" s="38" t="s">
        <v>1712</v>
      </c>
      <c r="B47" s="39"/>
      <c r="C47" s="40"/>
      <c r="D47" s="1070" t="s">
        <v>1713</v>
      </c>
      <c r="E47" s="235" t="s">
        <v>1714</v>
      </c>
      <c r="F47" s="41" t="s">
        <v>1715</v>
      </c>
      <c r="G47" s="2533" t="s">
        <v>1716</v>
      </c>
      <c r="H47" s="2948"/>
      <c r="I47" s="947"/>
      <c r="J47" s="2816"/>
      <c r="K47" s="2505">
        <v>2</v>
      </c>
      <c r="L47" s="3518" t="s">
        <v>2691</v>
      </c>
      <c r="M47" s="3518"/>
      <c r="N47" s="3520">
        <f>'数据-取费表'!B2</f>
        <v>44624</v>
      </c>
      <c r="O47" s="3520"/>
      <c r="P47" s="3520"/>
      <c r="Q47" s="1278"/>
    </row>
    <row r="48" spans="1:17" ht="26.4">
      <c r="A48" s="3462" t="s">
        <v>1718</v>
      </c>
      <c r="B48" s="3416"/>
      <c r="C48" s="3416"/>
      <c r="D48" s="12">
        <f ca="1">IF(H48="情况1",0,IF(H48="情况2",D52,IF(H48="情况3",D53,IF(H48="情况4",D54))))</f>
        <v>52</v>
      </c>
      <c r="E48" s="2062" t="str">
        <f>IF(H48="情况4","(销售额-原购置价)×税（费）率","销售额×税（费）率")</f>
        <v>销售额×税（费）率</v>
      </c>
      <c r="F48" s="2534">
        <f>IF(H48="情况1","免征",'数据-取费表'!E29)</f>
        <v>5.6000000000000001E-2</v>
      </c>
      <c r="G48" s="2535" t="s">
        <v>1719</v>
      </c>
      <c r="H48" s="2536" t="s">
        <v>1720</v>
      </c>
      <c r="I48" s="2948"/>
      <c r="J48" s="2823"/>
      <c r="K48" s="2505">
        <v>3</v>
      </c>
      <c r="L48" s="3518" t="s">
        <v>2692</v>
      </c>
      <c r="M48" s="3518"/>
      <c r="N48" s="3519">
        <f ca="1">I102</f>
        <v>980</v>
      </c>
      <c r="O48" s="3519"/>
      <c r="P48" s="3519"/>
      <c r="Q48" s="1278"/>
    </row>
    <row r="49" spans="1:17" ht="25.5" customHeight="1">
      <c r="A49" s="2061" t="s">
        <v>1722</v>
      </c>
      <c r="B49" s="3455" t="s">
        <v>1723</v>
      </c>
      <c r="C49" s="3455"/>
      <c r="D49" s="2537">
        <v>0</v>
      </c>
      <c r="E49" s="261" t="s">
        <v>1724</v>
      </c>
      <c r="F49" s="2538" t="s">
        <v>48</v>
      </c>
      <c r="G49" s="3512"/>
      <c r="H49" s="2539" t="s">
        <v>2766</v>
      </c>
      <c r="I49" s="2540"/>
      <c r="J49" s="2824"/>
      <c r="K49" s="2505">
        <v>4</v>
      </c>
      <c r="L49" s="3518" t="str">
        <f>IF(项目基本情况!F5="房地产抵押价值","房地产抵押价值","抵押担保权已注销时的房地产抵押价值")</f>
        <v>房地产抵押价值</v>
      </c>
      <c r="M49" s="3518"/>
      <c r="N49" s="3519">
        <f ca="1">IF(项目基本情况!F5="房地产抵押价值",I110,I112)</f>
        <v>980</v>
      </c>
      <c r="O49" s="3519"/>
      <c r="P49" s="3519"/>
      <c r="Q49" s="1278"/>
    </row>
    <row r="50" spans="1:17" ht="25.5" customHeight="1">
      <c r="A50" s="2051"/>
      <c r="B50" s="3455" t="s">
        <v>1725</v>
      </c>
      <c r="C50" s="3455"/>
      <c r="D50" s="2541"/>
      <c r="E50" s="269"/>
      <c r="F50" s="2538"/>
      <c r="G50" s="3513"/>
      <c r="H50" s="2542" t="s">
        <v>2685</v>
      </c>
      <c r="I50" s="2540"/>
      <c r="J50" s="2824"/>
      <c r="K50" s="3518" t="s">
        <v>2693</v>
      </c>
      <c r="L50" s="3518"/>
      <c r="M50" s="3518"/>
      <c r="N50" s="3518"/>
      <c r="O50" s="3518"/>
      <c r="P50" s="3518"/>
      <c r="Q50" s="1278"/>
    </row>
    <row r="51" spans="1:17" ht="20.399999999999999" customHeight="1">
      <c r="A51" s="2543"/>
      <c r="B51" s="3455" t="s">
        <v>1727</v>
      </c>
      <c r="C51" s="3455"/>
      <c r="D51" s="1070"/>
      <c r="E51" s="264"/>
      <c r="F51" s="2538"/>
      <c r="G51" s="3514"/>
      <c r="H51" s="2542" t="s">
        <v>2686</v>
      </c>
      <c r="I51" s="2540"/>
      <c r="J51" s="2824"/>
      <c r="K51" s="2506" t="s">
        <v>2694</v>
      </c>
      <c r="L51" s="3518" t="s">
        <v>2695</v>
      </c>
      <c r="M51" s="3518"/>
      <c r="N51" s="2506" t="s">
        <v>2696</v>
      </c>
      <c r="O51" s="2506" t="s">
        <v>2697</v>
      </c>
      <c r="P51" s="2506" t="s">
        <v>2698</v>
      </c>
      <c r="Q51" s="1278"/>
    </row>
    <row r="52" spans="1:17" ht="24" customHeight="1">
      <c r="A52" s="2052" t="s">
        <v>1733</v>
      </c>
      <c r="B52" s="3455" t="s">
        <v>1734</v>
      </c>
      <c r="C52" s="3455"/>
      <c r="D52" s="1070">
        <f ca="1">ROUND(D45*'数据-取费表'!E29/(1+'数据-取费表'!F30),0)</f>
        <v>52</v>
      </c>
      <c r="E52" s="2062" t="s">
        <v>1735</v>
      </c>
      <c r="F52" s="2544">
        <f>'数据-取费表'!E29</f>
        <v>5.6000000000000001E-2</v>
      </c>
      <c r="G52" s="2545"/>
      <c r="H52" s="947"/>
      <c r="I52" s="2949"/>
      <c r="J52" s="2824"/>
      <c r="K52" s="2505">
        <v>1</v>
      </c>
      <c r="L52" s="3485" t="s">
        <v>2699</v>
      </c>
      <c r="M52" s="3485"/>
      <c r="N52" s="2507">
        <f ca="1">D48</f>
        <v>52</v>
      </c>
      <c r="O52" s="2505" t="str">
        <f>E48</f>
        <v>销售额×税（费）率</v>
      </c>
      <c r="P52" s="2508">
        <f>F48</f>
        <v>5.6000000000000001E-2</v>
      </c>
      <c r="Q52" s="1278"/>
    </row>
    <row r="53" spans="1:17" ht="12" customHeight="1">
      <c r="A53" s="2052" t="s">
        <v>1737</v>
      </c>
      <c r="B53" s="3417" t="s">
        <v>2778</v>
      </c>
      <c r="C53" s="3456"/>
      <c r="D53" s="1070">
        <f ca="1">ROUND(D45*'数据-取费表'!E29/(1+'数据-取费表'!F30),0)</f>
        <v>52</v>
      </c>
      <c r="E53" s="2062" t="s">
        <v>1735</v>
      </c>
      <c r="F53" s="2544">
        <f>'数据-取费表'!E29</f>
        <v>5.6000000000000001E-2</v>
      </c>
      <c r="G53" s="2545"/>
      <c r="H53" s="947"/>
      <c r="I53" s="2949"/>
      <c r="J53" s="2824"/>
      <c r="K53" s="2505">
        <v>2</v>
      </c>
      <c r="L53" s="3485" t="s">
        <v>2700</v>
      </c>
      <c r="M53" s="3485"/>
      <c r="N53" s="2507">
        <f t="shared" ref="N53:P54" si="1">D55</f>
        <v>0</v>
      </c>
      <c r="O53" s="2505" t="str">
        <f t="shared" si="1"/>
        <v>销售额×税（费）率</v>
      </c>
      <c r="P53" s="2508" t="str">
        <f t="shared" si="1"/>
        <v>免征</v>
      </c>
      <c r="Q53" s="1278"/>
    </row>
    <row r="54" spans="1:17" ht="12" customHeight="1">
      <c r="A54" s="2052" t="s">
        <v>1739</v>
      </c>
      <c r="B54" s="3417" t="s">
        <v>2779</v>
      </c>
      <c r="C54" s="3456"/>
      <c r="D54" s="1070">
        <f ca="1">C68</f>
        <v>52</v>
      </c>
      <c r="E54" s="264" t="s">
        <v>1740</v>
      </c>
      <c r="F54" s="2544">
        <f>'数据-取费表'!E29</f>
        <v>5.6000000000000001E-2</v>
      </c>
      <c r="G54" s="2545"/>
      <c r="H54" s="2950"/>
      <c r="I54" s="2949"/>
      <c r="J54" s="2824"/>
      <c r="K54" s="2505">
        <v>3</v>
      </c>
      <c r="L54" s="3485" t="s">
        <v>2701</v>
      </c>
      <c r="M54" s="3485"/>
      <c r="N54" s="2507">
        <f t="shared" si="1"/>
        <v>0</v>
      </c>
      <c r="O54" s="2505" t="str">
        <f t="shared" si="1"/>
        <v>增值额×税（费）率</v>
      </c>
      <c r="P54" s="2509" t="str">
        <f t="shared" si="1"/>
        <v>免征</v>
      </c>
      <c r="Q54" s="1278"/>
    </row>
    <row r="55" spans="1:17" ht="24" customHeight="1">
      <c r="A55" s="3415" t="s">
        <v>1742</v>
      </c>
      <c r="B55" s="3416"/>
      <c r="C55" s="3416"/>
      <c r="D55" s="12">
        <f>IF(H55="个人住宅",0,ROUND(D45*I55,0))</f>
        <v>0</v>
      </c>
      <c r="E55" s="2062" t="s">
        <v>1743</v>
      </c>
      <c r="F55" s="2544" t="str">
        <f>IF(H55="正常",I55,"免征")</f>
        <v>免征</v>
      </c>
      <c r="G55" s="2545"/>
      <c r="H55" s="2536" t="s">
        <v>2682</v>
      </c>
      <c r="I55" s="74">
        <f>'数据-取费表'!E37</f>
        <v>5.0000000000000001E-4</v>
      </c>
      <c r="J55" s="2824"/>
      <c r="K55" s="2505" t="str">
        <f>IF(H59="非个人房产","",4)</f>
        <v/>
      </c>
      <c r="L55" s="3485" t="str">
        <f>IF(H59="非个人房产","——","个人所得税")</f>
        <v>——</v>
      </c>
      <c r="M55" s="3485"/>
      <c r="N55" s="2510" t="str">
        <f>D59</f>
        <v>——</v>
      </c>
      <c r="O55" s="2511" t="str">
        <f>E59</f>
        <v>——</v>
      </c>
      <c r="P55" s="2512" t="str">
        <f>F59</f>
        <v>——</v>
      </c>
      <c r="Q55" s="1278"/>
    </row>
    <row r="56" spans="1:17" ht="25.2">
      <c r="A56" s="3415" t="s">
        <v>1745</v>
      </c>
      <c r="B56" s="3416"/>
      <c r="C56" s="3416"/>
      <c r="D56" s="12">
        <f>IF(H56="个人住宅",D57,D58)</f>
        <v>0</v>
      </c>
      <c r="E56" s="2062" t="s">
        <v>1746</v>
      </c>
      <c r="F56" s="2544" t="str">
        <f>IF(H56="正常",F58,"免征")</f>
        <v>免征</v>
      </c>
      <c r="G56" s="2546" t="s">
        <v>1747</v>
      </c>
      <c r="H56" s="2547" t="s">
        <v>2682</v>
      </c>
      <c r="I56" s="2951"/>
      <c r="J56" s="2824"/>
      <c r="K56" s="2505" t="str">
        <f>IF(项目基本情况!I6="上海银行",IF(K55="",4,K55+1),"")</f>
        <v/>
      </c>
      <c r="L56" s="3499" t="str">
        <f>IF(项目基本情况!I6="上海银行","其他处置费用","")</f>
        <v/>
      </c>
      <c r="M56" s="3500"/>
      <c r="N56" s="2507" t="str">
        <f>IF(项目基本情况!I6="上海银行",N69,"")</f>
        <v/>
      </c>
      <c r="O56" s="3499" t="str">
        <f>IF(项目基本情况!I6="上海银行","包含处置中涉及的律师、诉讼、拍卖、评估等费用","")</f>
        <v/>
      </c>
      <c r="P56" s="3511"/>
      <c r="Q56" s="1278"/>
    </row>
    <row r="57" spans="1:17" ht="13.2">
      <c r="A57" s="2052" t="s">
        <v>1722</v>
      </c>
      <c r="B57" s="3417" t="s">
        <v>1748</v>
      </c>
      <c r="C57" s="3456"/>
      <c r="D57" s="2537">
        <v>0</v>
      </c>
      <c r="E57" s="261" t="s">
        <v>1724</v>
      </c>
      <c r="F57" s="235"/>
      <c r="G57" s="2545"/>
      <c r="H57" s="2951"/>
      <c r="I57" s="2951"/>
      <c r="J57" s="2824"/>
      <c r="K57" s="3485">
        <f>IF(AND(K55="",K56=""),4,IF(项目基本情况!I6="上海银行",K56+1,K55+1))</f>
        <v>4</v>
      </c>
      <c r="L57" s="3485" t="s">
        <v>2702</v>
      </c>
      <c r="M57" s="2513" t="s">
        <v>2703</v>
      </c>
      <c r="N57" s="2514"/>
      <c r="O57" s="2515">
        <f ca="1">SUMIF(N52:N56,"&lt;9e307")</f>
        <v>52</v>
      </c>
      <c r="P57" s="2516"/>
      <c r="Q57" s="1276">
        <f ca="1">O57/N49</f>
        <v>5.3061224489795916E-2</v>
      </c>
    </row>
    <row r="58" spans="1:17" ht="25.2">
      <c r="A58" s="2052" t="s">
        <v>1733</v>
      </c>
      <c r="B58" s="3417" t="s">
        <v>1751</v>
      </c>
      <c r="C58" s="3455"/>
      <c r="D58" s="12">
        <f ca="1">IF(H58="转让取得",C81,C97)</f>
        <v>554</v>
      </c>
      <c r="E58" s="2062" t="s">
        <v>1746</v>
      </c>
      <c r="F58" s="235" t="s">
        <v>48</v>
      </c>
      <c r="G58" s="2545"/>
      <c r="H58" s="2547" t="s">
        <v>1752</v>
      </c>
      <c r="I58" s="2951"/>
      <c r="J58" s="2824"/>
      <c r="K58" s="3485"/>
      <c r="L58" s="3485"/>
      <c r="M58" s="2513" t="s">
        <v>2704</v>
      </c>
      <c r="N58" s="2517"/>
      <c r="O58" s="2518" t="str">
        <f ca="1">IF(H19="元",NUMBERSTRING(INT(O57),2)&amp;"元整",NUMBERSTRING(INT(O57*10000),2)&amp;"元整")</f>
        <v>伍拾贰万元整</v>
      </c>
      <c r="P58" s="2519"/>
      <c r="Q58" s="1278"/>
    </row>
    <row r="59" spans="1:17" ht="24.6" thickBot="1">
      <c r="A59" s="3439" t="s">
        <v>1754</v>
      </c>
      <c r="B59" s="3440"/>
      <c r="C59" s="3440"/>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2757</v>
      </c>
      <c r="H59" s="2066" t="s">
        <v>2767</v>
      </c>
      <c r="I59" s="2853" t="s">
        <v>2768</v>
      </c>
      <c r="J59" s="2824"/>
      <c r="K59" s="3483">
        <f>K57+1</f>
        <v>5</v>
      </c>
      <c r="L59" s="3485" t="s">
        <v>2705</v>
      </c>
      <c r="M59" s="2505" t="s">
        <v>2703</v>
      </c>
      <c r="N59" s="2520"/>
      <c r="O59" s="2521">
        <f ca="1">N49-O57</f>
        <v>928</v>
      </c>
      <c r="P59" s="2522"/>
      <c r="Q59" s="1278"/>
    </row>
    <row r="60" spans="1:17" ht="12" customHeight="1">
      <c r="A60" s="1427"/>
      <c r="B60" s="1431"/>
      <c r="C60" s="1431"/>
      <c r="D60" s="1431"/>
      <c r="E60" s="812"/>
      <c r="F60" s="2952"/>
      <c r="G60" s="2952"/>
      <c r="H60" s="2953"/>
      <c r="I60" s="31"/>
      <c r="K60" s="3484"/>
      <c r="L60" s="3485"/>
      <c r="M60" s="2513" t="s">
        <v>2704</v>
      </c>
      <c r="N60" s="2517"/>
      <c r="O60" s="2518" t="str">
        <f ca="1">IF(H19="元",NUMBERSTRING(INT(O59),2)&amp;"元整",NUMBERSTRING(INT(O59*10000),2)&amp;"元整")</f>
        <v>玖佰贰拾捌万元整</v>
      </c>
      <c r="P60" s="2519"/>
      <c r="Q60" s="1278"/>
    </row>
    <row r="61" spans="1:17" ht="13.8" thickBot="1">
      <c r="A61" s="3465" t="s">
        <v>1756</v>
      </c>
      <c r="B61" s="3465"/>
      <c r="C61" s="3465"/>
      <c r="D61" s="3465"/>
      <c r="E61" s="3465"/>
      <c r="F61" s="2952"/>
      <c r="G61" s="2952"/>
      <c r="H61" s="2954"/>
      <c r="I61" s="31"/>
      <c r="K61" s="2505">
        <f>K59+1</f>
        <v>6</v>
      </c>
      <c r="L61" s="3485" t="s">
        <v>2706</v>
      </c>
      <c r="M61" s="3485"/>
      <c r="N61" s="2523"/>
      <c r="O61" s="2524">
        <f ca="1">IF(H19="元",ROUND(O59/项目基本情况!C12,0),ROUND(O59*10000/项目基本情况!C12,0))</f>
        <v>43111</v>
      </c>
      <c r="P61" s="2525"/>
      <c r="Q61" s="1278"/>
    </row>
    <row r="62" spans="1:17" ht="13.2">
      <c r="A62" s="3474" t="s">
        <v>1758</v>
      </c>
      <c r="B62" s="3475"/>
      <c r="C62" s="1577"/>
      <c r="D62" s="1577" t="s">
        <v>1759</v>
      </c>
      <c r="E62" s="45" t="s">
        <v>1760</v>
      </c>
      <c r="F62" s="2952"/>
      <c r="G62" s="2952"/>
      <c r="H62" s="2954"/>
      <c r="I62" s="31"/>
      <c r="K62" s="2526"/>
      <c r="L62" s="2526"/>
      <c r="M62" s="2526"/>
      <c r="N62" s="2526"/>
      <c r="O62" s="2526"/>
      <c r="P62" s="2526"/>
      <c r="Q62" s="1278"/>
    </row>
    <row r="63" spans="1:17" ht="13.2">
      <c r="A63" s="46">
        <v>1</v>
      </c>
      <c r="B63" s="47" t="s">
        <v>1761</v>
      </c>
      <c r="C63" s="2755">
        <f ca="1">ROUND((C64+C65)/(1+'数据-取费表'!F30),0)</f>
        <v>933</v>
      </c>
      <c r="D63" s="47"/>
      <c r="E63" s="48"/>
      <c r="F63" s="2952"/>
      <c r="G63" s="2952"/>
      <c r="H63" s="2954"/>
      <c r="I63" s="31"/>
      <c r="K63" s="3501" t="s">
        <v>2707</v>
      </c>
      <c r="L63" s="2527" t="s">
        <v>2708</v>
      </c>
      <c r="M63" s="2527">
        <f ca="1">IF(N49&gt;10000,N49*0.5%,IF(AND(N49&gt;1000,N49&lt;=10000),N49*1%,IF(AND(N49&gt;100,N49&lt;=1000),N49*3%,IF(AND(N49&gt;10,N49&lt;=100),N49*5%,N49*8%))))</f>
        <v>29.4</v>
      </c>
      <c r="N63" s="2528">
        <f ca="1">ROUND(M63,1)</f>
        <v>29.4</v>
      </c>
      <c r="O63" s="2526"/>
      <c r="P63" s="2526"/>
      <c r="Q63" s="1278"/>
    </row>
    <row r="64" spans="1:17" ht="13.2">
      <c r="A64" s="49" t="s">
        <v>71</v>
      </c>
      <c r="B64" s="50" t="s">
        <v>1764</v>
      </c>
      <c r="C64" s="2756">
        <f ca="1">D45</f>
        <v>980</v>
      </c>
      <c r="D64" s="50" t="s">
        <v>41</v>
      </c>
      <c r="E64" s="52"/>
      <c r="F64" s="2952"/>
      <c r="G64" s="2952"/>
      <c r="H64" s="2954"/>
      <c r="I64" s="31"/>
      <c r="K64" s="3501"/>
      <c r="L64" s="2527" t="s">
        <v>2709</v>
      </c>
      <c r="M64" s="2527">
        <f ca="1">IF(N49&gt;2000,N49*0.5%,IF(AND(N49&gt;1000,N49&lt;=2000),N49*0.6%,IF(AND(N49&gt;500,N49&lt;=1000),N49*0.7%,IF(AND(N49&gt;200,N49&lt;=500),N49*0.8%,IF(AND(N49&gt;100,N49&lt;=200),N49*0.9%,IF(AND(N49&gt;50,N49&lt;=100),N49*1%,IF(AND(N49&gt;20,N49&lt;=50),N49*1.5%,IF(AND(N49&gt;10,N49&lt;=20),N49*2%,IF(AND(N49&gt;1,N49&lt;=10),N49*2.5%)))))))))</f>
        <v>6.8599999999999994</v>
      </c>
      <c r="N64" s="2528">
        <f t="shared" ref="N64:N65" ca="1" si="2">ROUND(M64,1)</f>
        <v>6.9</v>
      </c>
      <c r="O64" s="2526" t="s">
        <v>2710</v>
      </c>
      <c r="P64" s="2526"/>
      <c r="Q64" s="1278"/>
    </row>
    <row r="65" spans="1:36" ht="13.2">
      <c r="A65" s="49" t="s">
        <v>72</v>
      </c>
      <c r="B65" s="50" t="s">
        <v>1767</v>
      </c>
      <c r="C65" s="2757"/>
      <c r="D65" s="50"/>
      <c r="E65" s="52"/>
      <c r="F65" s="2952"/>
      <c r="G65" s="2952"/>
      <c r="H65" s="2954"/>
      <c r="I65" s="31"/>
      <c r="K65" s="3501"/>
      <c r="L65" s="2527" t="s">
        <v>2711</v>
      </c>
      <c r="M65" s="2527">
        <f ca="1">IF(N49&gt;1000,N49*0.1%,IF(AND(N49&gt;500,N49&lt;=1000),N49*0.5%,IF(AND(N49&gt;50,N49&lt;=500),N49*1%,IF(AND(N49&gt;1,N49&lt;=50),N49*1.5%))))</f>
        <v>4.9000000000000004</v>
      </c>
      <c r="N65" s="2528">
        <f t="shared" ca="1" si="2"/>
        <v>4.9000000000000004</v>
      </c>
      <c r="O65" s="2526" t="s">
        <v>2710</v>
      </c>
      <c r="P65" s="2526"/>
      <c r="Q65" s="1278"/>
    </row>
    <row r="66" spans="1:36" ht="25.2">
      <c r="A66" s="53" t="s">
        <v>47</v>
      </c>
      <c r="B66" s="54" t="s">
        <v>1769</v>
      </c>
      <c r="C66" s="2758"/>
      <c r="D66" s="54" t="s">
        <v>41</v>
      </c>
      <c r="E66" s="1286" t="s">
        <v>1770</v>
      </c>
      <c r="F66" s="2952"/>
      <c r="G66" s="2952"/>
      <c r="H66" s="2954"/>
      <c r="I66" s="31"/>
      <c r="K66" s="3501"/>
      <c r="L66" s="2527" t="s">
        <v>2712</v>
      </c>
      <c r="M66" s="2527">
        <f ca="1">N49*0.5%</f>
        <v>4.9000000000000004</v>
      </c>
      <c r="N66" s="2528">
        <f ca="1">IF(M66&gt;0.5,0.5,ROUND(M66,0))</f>
        <v>0.5</v>
      </c>
      <c r="O66" s="2526" t="s">
        <v>2713</v>
      </c>
      <c r="P66" s="2526"/>
      <c r="Q66" s="1278"/>
    </row>
    <row r="67" spans="1:36" ht="13.2">
      <c r="A67" s="53" t="s">
        <v>42</v>
      </c>
      <c r="B67" s="54" t="s">
        <v>1773</v>
      </c>
      <c r="C67" s="2759">
        <f ca="1">C63-C66</f>
        <v>933</v>
      </c>
      <c r="D67" s="50" t="s">
        <v>41</v>
      </c>
      <c r="E67" s="52"/>
      <c r="F67" s="2952"/>
      <c r="G67" s="2952"/>
      <c r="H67" s="2954"/>
      <c r="I67" s="31"/>
      <c r="K67" s="3501"/>
      <c r="L67" s="2527" t="s">
        <v>2714</v>
      </c>
      <c r="M67" s="2527">
        <f ca="1">IF(N49&gt;=10000,(8.25+(N49-10000)*0.01%),IF(AND(N49&gt;=8000,N49&lt;10000),(7.85+(N49-8000)*0.02%),IF(AND(N49&gt;=5000,N49&lt;8000),(6.65+(N49-5000)*0.04%),IF(AND(N49&gt;=2000,N49&lt;5000),(4.25+(PN49-2000)*0.08%),IF(AND(N49&gt;=1000,N49&lt;2000),(2.75+(N49-1000)*0.15%),IF(AND(N49&gt;=100,N49&lt;1000),(0.5+(N49-100)*0.25%),IF(AND(N49&gt;0,N49&lt;100),N49*0.5%)))))))</f>
        <v>2.7</v>
      </c>
      <c r="N67" s="2528">
        <f ca="1">ROUND(M67*0.9,1)</f>
        <v>2.4</v>
      </c>
      <c r="O67" s="2526"/>
      <c r="P67" s="2526"/>
      <c r="Q67" s="1278"/>
    </row>
    <row r="68" spans="1:36" ht="13.8" thickBot="1">
      <c r="A68" s="55" t="s">
        <v>46</v>
      </c>
      <c r="B68" s="56" t="s">
        <v>1775</v>
      </c>
      <c r="C68" s="2760">
        <f ca="1">IF(C67&lt;=0,0,ROUND(C67*D68,0))</f>
        <v>52</v>
      </c>
      <c r="D68" s="2212">
        <f>'数据-取费表'!E29</f>
        <v>5.6000000000000001E-2</v>
      </c>
      <c r="E68" s="57"/>
      <c r="F68" s="2952"/>
      <c r="G68" s="2952"/>
      <c r="H68" s="2954"/>
      <c r="I68" s="31"/>
      <c r="K68" s="3501"/>
      <c r="L68" s="2527" t="s">
        <v>2715</v>
      </c>
      <c r="M68" s="2527">
        <f ca="1">IF(N49&gt;10000,N49*0.5%,IF(AND(N49&gt;5000,N49&lt;=10000),N49*1%,IF(AND(N49&gt;1000,N49&lt;=5000),N49*2%,IF(AND(N49&gt;200,N49&lt;=1000),N49*3%,N49*5%))))</f>
        <v>29.4</v>
      </c>
      <c r="N68" s="2528">
        <f ca="1">ROUND(M68,1)</f>
        <v>29.4</v>
      </c>
      <c r="O68" s="2526"/>
      <c r="P68" s="2526"/>
      <c r="Q68" s="1278"/>
    </row>
    <row r="69" spans="1:36" s="1435" customFormat="1" ht="7.5" customHeight="1">
      <c r="A69" s="1447"/>
      <c r="B69" s="1448"/>
      <c r="C69" s="1449"/>
      <c r="D69" s="1450"/>
      <c r="E69" s="1451"/>
      <c r="F69" s="812"/>
      <c r="G69" s="812"/>
      <c r="H69" s="1440"/>
      <c r="I69" s="1431"/>
      <c r="J69" s="2812"/>
      <c r="K69" s="3501"/>
      <c r="L69" s="2527" t="s">
        <v>54</v>
      </c>
      <c r="M69" s="2527"/>
      <c r="N69" s="2528">
        <f ca="1">ROUND(SUM(N63:N68),0)</f>
        <v>74</v>
      </c>
      <c r="O69" s="2529">
        <f ca="1">N69/N49</f>
        <v>7.5510204081632656E-2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77" t="s">
        <v>1778</v>
      </c>
      <c r="B70" s="3478"/>
      <c r="C70" s="3478"/>
      <c r="D70" s="3478"/>
      <c r="E70" s="3478"/>
      <c r="F70" s="3478"/>
      <c r="G70" s="3478"/>
      <c r="H70" s="3478"/>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74" t="s">
        <v>1758</v>
      </c>
      <c r="B71" s="3475"/>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59">
        <f ca="1">ROUND(D45/(1+'数据-取费表'!F30),0)</f>
        <v>933</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59">
        <f ca="1">C74+C78</f>
        <v>6</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17" t="s">
        <v>1788</v>
      </c>
      <c r="F76" s="3455"/>
      <c r="G76" s="3455"/>
      <c r="H76" s="3469"/>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6</v>
      </c>
      <c r="D78" s="2768">
        <f>'数据-取费表'!E31</f>
        <v>6.000000000000001E-3</v>
      </c>
      <c r="E78" s="3449" t="s">
        <v>1793</v>
      </c>
      <c r="F78" s="3450"/>
      <c r="G78" s="3450"/>
      <c r="H78" s="3451"/>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59">
        <f ca="1">C72-C73</f>
        <v>927</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154.5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0">
        <f ca="1">ROUND(IF(C79&lt;=0,0,IF(C80&gt;=200%,C79*60%-C73*35%,IF(C80&gt;=100%,C79*50%-C73*15%,IF(C80&gt;=50%,C79*40%-C73*5%,IF(C80&lt;50%,C79*30%,0))))),0)</f>
        <v>554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77" t="s">
        <v>1797</v>
      </c>
      <c r="B83" s="3478"/>
      <c r="C83" s="3478"/>
      <c r="D83" s="3478"/>
      <c r="E83" s="3478"/>
      <c r="F83" s="3478"/>
      <c r="G83" s="3478"/>
      <c r="H83" s="3478"/>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74" t="s">
        <v>1758</v>
      </c>
      <c r="B84" s="3475"/>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933</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59">
        <f ca="1">IF(H88="仅含出让金",C87+C90+C91+C92+C93+C94,C87+C91+C92+C93+C94)</f>
        <v>6</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2"/>
      <c r="D88" s="2768"/>
      <c r="E88" s="74" t="s">
        <v>1800</v>
      </c>
      <c r="F88" s="2056"/>
      <c r="G88" s="75" t="s">
        <v>1801</v>
      </c>
      <c r="H88" s="1458"/>
      <c r="I88" s="9"/>
      <c r="J88" s="2827"/>
      <c r="K88" s="2943"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510" t="s">
        <v>2677</v>
      </c>
      <c r="H90" s="3510"/>
      <c r="I90" s="9"/>
      <c r="J90" s="2827"/>
      <c r="K90" s="2943"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49" t="s">
        <v>1805</v>
      </c>
      <c r="F91" s="3450"/>
      <c r="G91" s="3450"/>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49" t="s">
        <v>1808</v>
      </c>
      <c r="F92" s="3450"/>
      <c r="G92" s="3450"/>
      <c r="H92" s="3451"/>
      <c r="I92" s="9"/>
      <c r="J92" s="2827"/>
      <c r="K92" s="2944"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6</v>
      </c>
      <c r="D93" s="2768">
        <f>'数据-取费表'!E31</f>
        <v>6.000000000000001E-3</v>
      </c>
      <c r="E93" s="3449" t="s">
        <v>1793</v>
      </c>
      <c r="F93" s="3450"/>
      <c r="G93" s="3450"/>
      <c r="H93" s="3451"/>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49" t="s">
        <v>1810</v>
      </c>
      <c r="F94" s="3450"/>
      <c r="G94" s="3450"/>
      <c r="H94" s="3451"/>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59">
        <f ca="1">ROUND(C85-C86,0)</f>
        <v>927</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154.5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0">
        <f ca="1">ROUND(IF(C95&lt;=0,0,IF(C96&gt;=200%,C95*60%-C86*35%,IF(C96&gt;=100%,C95*50%-C86*15%,IF(C96&gt;=50%,C95*40%-C86*5%,IF(C96&lt;50%,C95*30%,0))))),0)</f>
        <v>554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496" t="s">
        <v>1812</v>
      </c>
      <c r="B99" s="3497"/>
      <c r="C99" s="3497"/>
      <c r="D99" s="3498"/>
      <c r="E99" s="1431"/>
      <c r="F99" s="3505" t="s">
        <v>1813</v>
      </c>
      <c r="G99" s="3506"/>
      <c r="H99" s="3506"/>
      <c r="I99" s="3507"/>
      <c r="J99" s="2830"/>
    </row>
    <row r="100" spans="1:36" ht="15">
      <c r="A100" s="3508" t="s">
        <v>1814</v>
      </c>
      <c r="B100" s="3509"/>
      <c r="C100" s="1277" t="str">
        <f>C4</f>
        <v>比较法-商业</v>
      </c>
      <c r="D100" s="2778" t="str">
        <f>D4</f>
        <v>收益法</v>
      </c>
      <c r="E100" s="1431"/>
      <c r="F100" s="3420" t="s">
        <v>2721</v>
      </c>
      <c r="G100" s="3421"/>
      <c r="H100" s="3420" t="s">
        <v>2722</v>
      </c>
      <c r="I100" s="3419"/>
      <c r="J100" s="2831"/>
    </row>
    <row r="101" spans="1:36" ht="13.2">
      <c r="A101" s="3488" t="s">
        <v>2754</v>
      </c>
      <c r="B101" s="2277" t="str">
        <f>IF(H19="元","总价（元）","总价（万元）")</f>
        <v>总价（万元）</v>
      </c>
      <c r="C101" s="1277">
        <f ca="1">C19</f>
        <v>1102</v>
      </c>
      <c r="D101" s="2778">
        <f ca="1">D19</f>
        <v>859</v>
      </c>
      <c r="E101" s="1431"/>
      <c r="F101" s="3420" t="str">
        <f>项目基本情况!I1</f>
        <v>北京市房地产</v>
      </c>
      <c r="G101" s="3421"/>
      <c r="H101" s="3418">
        <f>项目基本情况!C12</f>
        <v>215.26</v>
      </c>
      <c r="I101" s="3419"/>
      <c r="J101" s="2831"/>
    </row>
    <row r="102" spans="1:36" ht="13.2">
      <c r="A102" s="3488"/>
      <c r="B102" s="2277" t="s">
        <v>2755</v>
      </c>
      <c r="C102" s="2779">
        <f ca="1">C20</f>
        <v>51187</v>
      </c>
      <c r="D102" s="2780">
        <f ca="1">D20</f>
        <v>39894</v>
      </c>
      <c r="E102" s="1431"/>
      <c r="F102" s="3430" t="s">
        <v>2751</v>
      </c>
      <c r="G102" s="3431"/>
      <c r="H102" s="2788" t="str">
        <f>C106</f>
        <v>总价（万元）</v>
      </c>
      <c r="I102" s="2789">
        <f ca="1">H121</f>
        <v>980</v>
      </c>
      <c r="J102" s="2831"/>
    </row>
    <row r="103" spans="1:36" ht="13.2">
      <c r="A103" s="3488" t="s">
        <v>2756</v>
      </c>
      <c r="B103" s="2215" t="str">
        <f>B101</f>
        <v>总价（万元）</v>
      </c>
      <c r="C103" s="2783">
        <f ca="1">H121</f>
        <v>980</v>
      </c>
      <c r="D103" s="2781"/>
      <c r="E103" s="1431"/>
      <c r="F103" s="3430"/>
      <c r="G103" s="3431"/>
      <c r="H103" s="2788" t="s">
        <v>2724</v>
      </c>
      <c r="I103" s="52">
        <f ca="1">I121</f>
        <v>45541</v>
      </c>
      <c r="J103" s="2815"/>
    </row>
    <row r="104" spans="1:36" ht="13.8" thickBot="1">
      <c r="A104" s="3489"/>
      <c r="B104" s="2785" t="s">
        <v>2755</v>
      </c>
      <c r="C104" s="2786">
        <f ca="1">I121</f>
        <v>45541</v>
      </c>
      <c r="D104" s="2787"/>
      <c r="E104" s="1431"/>
      <c r="F104" s="3430"/>
      <c r="G104" s="3431"/>
      <c r="H104" s="3490"/>
      <c r="I104" s="3491"/>
      <c r="J104" s="2832"/>
    </row>
    <row r="105" spans="1:36" ht="13.8">
      <c r="A105" s="3496" t="s">
        <v>1815</v>
      </c>
      <c r="B105" s="3497"/>
      <c r="C105" s="3497"/>
      <c r="D105" s="3498"/>
      <c r="E105" s="1431"/>
      <c r="F105" s="3494" t="s">
        <v>2725</v>
      </c>
      <c r="G105" s="3495"/>
      <c r="H105" s="2790" t="str">
        <f>C108</f>
        <v>总额（万元）</v>
      </c>
      <c r="I105" s="2789">
        <f>SUMIF(I106:I108,"&lt;9E307")</f>
        <v>0</v>
      </c>
      <c r="J105" s="2831"/>
    </row>
    <row r="106" spans="1:36" ht="13.8">
      <c r="A106" s="3430" t="s">
        <v>2748</v>
      </c>
      <c r="B106" s="3431"/>
      <c r="C106" s="2788" t="str">
        <f>B101</f>
        <v>总价（万元）</v>
      </c>
      <c r="D106" s="2789">
        <f ca="1">H121</f>
        <v>980</v>
      </c>
      <c r="E106" s="1431"/>
      <c r="F106" s="3432" t="s">
        <v>2726</v>
      </c>
      <c r="G106" s="3433"/>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30"/>
      <c r="B107" s="3431"/>
      <c r="C107" s="2788" t="s">
        <v>2749</v>
      </c>
      <c r="D107" s="52">
        <f ca="1">I121</f>
        <v>45541</v>
      </c>
      <c r="E107" s="1431"/>
      <c r="F107" s="3432" t="s">
        <v>2727</v>
      </c>
      <c r="G107" s="3433"/>
      <c r="H107" s="2790" t="str">
        <f>C110</f>
        <v>总额（万元）</v>
      </c>
      <c r="I107" s="52">
        <f>C37</f>
        <v>0</v>
      </c>
      <c r="J107" s="2815"/>
    </row>
    <row r="108" spans="1:36" ht="13.2">
      <c r="A108" s="3437" t="s">
        <v>2725</v>
      </c>
      <c r="B108" s="3438"/>
      <c r="C108" s="2790" t="str">
        <f>IF(H19="元","总额（元）","总额（万元）")</f>
        <v>总额（万元）</v>
      </c>
      <c r="D108" s="2789">
        <f>IF(D36="正常操作",I106+I107+I108,I107+I108)</f>
        <v>0</v>
      </c>
      <c r="E108" s="1431"/>
      <c r="F108" s="3432" t="s">
        <v>2752</v>
      </c>
      <c r="G108" s="3433"/>
      <c r="H108" s="2790" t="str">
        <f>C111</f>
        <v>总额（万元）</v>
      </c>
      <c r="I108" s="52">
        <f>C38</f>
        <v>0</v>
      </c>
      <c r="J108" s="2815"/>
    </row>
    <row r="109" spans="1:36" ht="13.2">
      <c r="A109" s="3432" t="s">
        <v>2726</v>
      </c>
      <c r="B109" s="3433"/>
      <c r="C109" s="2790" t="str">
        <f>C108</f>
        <v>总额（万元）</v>
      </c>
      <c r="D109" s="52">
        <f>IF(D36="同一抵押权人同一抵押物续贷",C36&amp;"（未扣减，详见特别提示）",C36)</f>
        <v>0</v>
      </c>
      <c r="E109" s="1431"/>
      <c r="F109" s="3430"/>
      <c r="G109" s="3431"/>
      <c r="H109" s="3492"/>
      <c r="I109" s="3493"/>
      <c r="J109" s="2833"/>
    </row>
    <row r="110" spans="1:36" ht="28.5" customHeight="1">
      <c r="A110" s="3432" t="s">
        <v>2750</v>
      </c>
      <c r="B110" s="3433"/>
      <c r="C110" s="2790" t="str">
        <f>C108</f>
        <v>总额（万元）</v>
      </c>
      <c r="D110" s="52">
        <f>C37</f>
        <v>0</v>
      </c>
      <c r="E110" s="1431"/>
      <c r="F110" s="3422" t="str">
        <f>IF(项目基本情况!F5="已注销","——","3.房地产抵押价值")</f>
        <v>3.房地产抵押价值</v>
      </c>
      <c r="G110" s="3423"/>
      <c r="H110" s="2776" t="str">
        <f>C112</f>
        <v>总价（万元）</v>
      </c>
      <c r="I110" s="2789">
        <f ca="1">IF(F110="——","——",I102-I105)</f>
        <v>980</v>
      </c>
      <c r="J110" s="2831"/>
    </row>
    <row r="111" spans="1:36" ht="13.2">
      <c r="A111" s="3432" t="s">
        <v>2729</v>
      </c>
      <c r="B111" s="3433"/>
      <c r="C111" s="2790" t="str">
        <f>C108</f>
        <v>总额（万元）</v>
      </c>
      <c r="D111" s="52">
        <f>C38</f>
        <v>0</v>
      </c>
      <c r="E111" s="1431"/>
      <c r="F111" s="3521"/>
      <c r="G111" s="3522"/>
      <c r="H111" s="2788" t="s">
        <v>2724</v>
      </c>
      <c r="I111" s="2792">
        <f ca="1">D113</f>
        <v>45541</v>
      </c>
      <c r="J111" s="2834"/>
    </row>
    <row r="112" spans="1:36" ht="26.25" customHeight="1">
      <c r="A112" s="3430" t="str">
        <f>IF(项目基本情况!F5="已注销","——","3.房地产抵押价值")</f>
        <v>3.房地产抵押价值</v>
      </c>
      <c r="B112" s="3431"/>
      <c r="C112" s="2788" t="str">
        <f>B101</f>
        <v>总价（万元）</v>
      </c>
      <c r="D112" s="2789">
        <f ca="1">IF(A112="——","——",D106-D108)</f>
        <v>980</v>
      </c>
      <c r="E112" s="1431"/>
      <c r="F112" s="3422" t="str">
        <f>IF(项目基本情况!F5="已注销及未注销","4.抵押担保权已注销时的房地产抵押价值",IF(项目基本情况!F5="已注销","3.抵押担保权已注销时的房地产抵押价值","——"))</f>
        <v>——</v>
      </c>
      <c r="G112" s="3423"/>
      <c r="H112" s="2776" t="str">
        <f>C114</f>
        <v>总价（万元）</v>
      </c>
      <c r="I112" s="2789" t="str">
        <f>IF(F112="——","——",I102-I107-I108)</f>
        <v>——</v>
      </c>
      <c r="J112" s="2831"/>
    </row>
    <row r="113" spans="1:16" ht="13.2">
      <c r="A113" s="3430"/>
      <c r="B113" s="3431"/>
      <c r="C113" s="2788" t="s">
        <v>2717</v>
      </c>
      <c r="D113" s="52">
        <f ca="1">ROUND(IF(D112=D106,D107,IF(H19="元",D112/项目基本情况!C12,D112*10000/项目基本情况!C12)),0)</f>
        <v>45541</v>
      </c>
      <c r="E113" s="1431"/>
      <c r="F113" s="3521"/>
      <c r="G113" s="3522"/>
      <c r="H113" s="2788" t="s">
        <v>2753</v>
      </c>
      <c r="I113" s="52" t="str">
        <f>D115</f>
        <v>——</v>
      </c>
      <c r="J113" s="2815"/>
    </row>
    <row r="114" spans="1:16" ht="13.2">
      <c r="A114" s="3430" t="str">
        <f>IF(项目基本情况!F5="已注销及未注销","4.抵押担保权已注销时的房地产抵押价值",IF(项目基本情况!F5="已注销","3.抵押担保权已注销时的房地产抵押价值","——"))</f>
        <v>——</v>
      </c>
      <c r="B114" s="3431"/>
      <c r="C114" s="2788" t="str">
        <f>B101</f>
        <v>总价（万元）</v>
      </c>
      <c r="D114" s="2789" t="str">
        <f>IF(A114="——","——",D106-D110-D111)</f>
        <v>——</v>
      </c>
      <c r="E114" s="1431"/>
      <c r="F114" s="3422" t="str">
        <f>IF(项目基本情况!G5="抵押净值",IF(OR(项目基本情况!F5="已注销",项目基本情况!F5="房地产抵押价值"),"4.抵押净值","5.抵押净值"),"——")</f>
        <v>——</v>
      </c>
      <c r="G114" s="3423"/>
      <c r="H114" s="2788" t="str">
        <f>C116</f>
        <v>总价（万元）</v>
      </c>
      <c r="I114" s="2789" t="str">
        <f>IF(F114="——","——",O59)</f>
        <v>——</v>
      </c>
      <c r="J114" s="2831"/>
    </row>
    <row r="115" spans="1:16" ht="13.8" thickBot="1">
      <c r="A115" s="3430"/>
      <c r="B115" s="3431"/>
      <c r="C115" s="2788" t="s">
        <v>2717</v>
      </c>
      <c r="D115" s="52" t="str">
        <f>IF(A114="——","——",ROUND(IF(D114=D106,D107,IF(H19="元",D114/项目基本情况!C12,D114*10000/项目基本情况!C12)),0))</f>
        <v>——</v>
      </c>
      <c r="E115" s="1431"/>
      <c r="F115" s="3424"/>
      <c r="G115" s="3425"/>
      <c r="H115" s="2793" t="s">
        <v>2717</v>
      </c>
      <c r="I115" s="2777" t="str">
        <f ca="1">D117</f>
        <v>——</v>
      </c>
      <c r="J115" s="2815"/>
    </row>
    <row r="116" spans="1:16" ht="15.6">
      <c r="A116" s="3430" t="str">
        <f>IF(项目基本情况!G5="抵押净值",IF(OR(项目基本情况!F5="已注销",项目基本情况!F5="房地产抵押价值"),"4.抵押净值","5.抵押净值"),"——")</f>
        <v>——</v>
      </c>
      <c r="B116" s="3431"/>
      <c r="C116" s="2788" t="str">
        <f>B101</f>
        <v>总价（万元）</v>
      </c>
      <c r="D116" s="2789" t="str">
        <f>IF(A116="——","——",O59)</f>
        <v>——</v>
      </c>
      <c r="E116" s="1431"/>
      <c r="F116" s="3516"/>
      <c r="G116" s="3516"/>
      <c r="H116" s="3480"/>
      <c r="I116" s="3480"/>
      <c r="J116" s="2835"/>
      <c r="O116" s="32"/>
      <c r="P116" s="32"/>
    </row>
    <row r="117" spans="1:16" ht="13.8" thickBot="1">
      <c r="A117" s="3435"/>
      <c r="B117" s="3436"/>
      <c r="C117" s="2793" t="s">
        <v>2717</v>
      </c>
      <c r="D117" s="2777" t="str">
        <f ca="1">IF(D116=D112,D113,IF(A116="——","——",O61))</f>
        <v>——</v>
      </c>
      <c r="E117" s="1431"/>
      <c r="F117" s="3414" t="str">
        <f>IF(B32="总价","（以上估价结果中单价为总价除以建筑面积得出）","（以上估价结果中总价为楼面单价乘以建筑面积得出）")</f>
        <v>（以上估价结果中总价为楼面单价乘以建筑面积得出）</v>
      </c>
      <c r="G117" s="3414"/>
      <c r="H117" s="3414"/>
      <c r="I117" s="3414"/>
      <c r="J117" s="2836"/>
      <c r="O117" s="32"/>
      <c r="P117" s="32"/>
    </row>
    <row r="118" spans="1:16" ht="14.4">
      <c r="A118" s="3481" t="s">
        <v>1816</v>
      </c>
      <c r="B118" s="3482"/>
      <c r="C118" s="3482"/>
      <c r="D118" s="3482"/>
      <c r="E118" s="3482"/>
      <c r="F118" s="3482"/>
      <c r="G118" s="3482"/>
      <c r="H118" s="3482"/>
      <c r="I118" s="3482"/>
      <c r="J118" s="2837"/>
    </row>
    <row r="119" spans="1:16" ht="13.2">
      <c r="A119" s="3415" t="s">
        <v>2735</v>
      </c>
      <c r="B119" s="3441" t="s">
        <v>2745</v>
      </c>
      <c r="C119" s="3441" t="s">
        <v>2746</v>
      </c>
      <c r="D119" s="3503" t="s">
        <v>2737</v>
      </c>
      <c r="E119" s="3504"/>
      <c r="F119" s="3416" t="s">
        <v>2747</v>
      </c>
      <c r="G119" s="3416"/>
      <c r="H119" s="3416" t="s">
        <v>2738</v>
      </c>
      <c r="I119" s="3502"/>
      <c r="J119" s="2815"/>
    </row>
    <row r="120" spans="1:16" ht="13.2">
      <c r="A120" s="3415"/>
      <c r="B120" s="3442"/>
      <c r="C120" s="3442"/>
      <c r="D120" s="2062" t="s">
        <v>2739</v>
      </c>
      <c r="E120" s="2062" t="s">
        <v>2744</v>
      </c>
      <c r="F120" s="2062" t="s">
        <v>2739</v>
      </c>
      <c r="G120" s="2062" t="s">
        <v>2740</v>
      </c>
      <c r="H120" s="2062" t="s">
        <v>2739</v>
      </c>
      <c r="I120" s="52" t="s">
        <v>2740</v>
      </c>
      <c r="J120" s="2815"/>
    </row>
    <row r="121" spans="1:16" ht="13.2">
      <c r="A121" s="2052" t="str">
        <f>项目基本情况!I1</f>
        <v>北京市房地产</v>
      </c>
      <c r="B121" s="2062">
        <f>项目基本情况!C12</f>
        <v>215.26</v>
      </c>
      <c r="C121" s="2062">
        <f>项目基本情况!C13</f>
        <v>0</v>
      </c>
      <c r="D121" s="2062">
        <f ca="1">ROUND(IF(B32="总价",C34,IF('数据-取费表'!B3="万元",E121*B121/10000,E121*B121)),0)</f>
        <v>888</v>
      </c>
      <c r="E121" s="2062">
        <f ca="1">ROUND(IF(B32="楼面单价",C34,IF(H19="元",D121/B121,D121*10000/B121)),0)</f>
        <v>41260</v>
      </c>
      <c r="F121" s="2062">
        <f ca="1">ROUND(IF(B32="总价",C35,IF('数据-取费表'!B3="万元",G121*B121/10000,G121*B121)),0)</f>
        <v>92</v>
      </c>
      <c r="G121" s="2062">
        <f ca="1">ROUND(IF(B32="楼面单价",C35,IF(H19="元",F121/B121,F121*10000/B121)),0)</f>
        <v>4281</v>
      </c>
      <c r="H121" s="2062">
        <f ca="1">ROUND(IF(B32="总价",C32,IF('数据-取费表'!B3="万元",I121*B121/10000,I121*B121)),0)</f>
        <v>980</v>
      </c>
      <c r="I121" s="52">
        <f ca="1">ROUND(IF(B32="楼面单价",C32,IF(H19="元",H121/B121,H121*10000/B121)),0)</f>
        <v>45541</v>
      </c>
      <c r="J121" s="2815"/>
    </row>
    <row r="122" spans="1:16" ht="13.2">
      <c r="A122" s="3415" t="s">
        <v>2741</v>
      </c>
      <c r="B122" s="3416"/>
      <c r="C122" s="3416"/>
      <c r="D122" s="3443" t="str">
        <f ca="1">IF(H19="元",NUMBERSTRING(INT(D121),2)&amp;"元整",NUMBERSTRING(INT(D121*10000),2)&amp;"元整")</f>
        <v>捌佰捌拾捌万元整</v>
      </c>
      <c r="E122" s="3486"/>
      <c r="F122" s="3443" t="str">
        <f ca="1">IF(H19="元",NUMBERSTRING(INT(F121),2)&amp;"元整",NUMBERSTRING(INT(F121*10000),2)&amp;"元整")</f>
        <v>玖拾贰万元整</v>
      </c>
      <c r="G122" s="3486"/>
      <c r="H122" s="3443" t="str">
        <f ca="1">IF(H19="元",NUMBERSTRING(INT(H121),2)&amp;"元整",NUMBERSTRING(INT(H121*10000),2)&amp;"元整")</f>
        <v>玖佰捌拾万元整</v>
      </c>
      <c r="I122" s="3444"/>
      <c r="J122" s="2838"/>
    </row>
    <row r="123" spans="1:16" ht="13.2">
      <c r="A123" s="3420" t="str">
        <f>IF(项目基本情况!D5="房地产市场价值","——",MID(A108,3,LEN(A108)-2))</f>
        <v>估价师所知悉的法定优先受偿款</v>
      </c>
      <c r="B123" s="3426"/>
      <c r="C123" s="3421"/>
      <c r="D123" s="3418">
        <f>I105</f>
        <v>0</v>
      </c>
      <c r="E123" s="3426"/>
      <c r="F123" s="3426"/>
      <c r="G123" s="3426"/>
      <c r="H123" s="3426"/>
      <c r="I123" s="3419"/>
      <c r="J123" s="2831"/>
    </row>
    <row r="124" spans="1:16" ht="13.2">
      <c r="A124" s="3487" t="s">
        <v>2741</v>
      </c>
      <c r="B124" s="3455"/>
      <c r="C124" s="3456"/>
      <c r="D124" s="3427">
        <f>H109</f>
        <v>0</v>
      </c>
      <c r="E124" s="3428"/>
      <c r="F124" s="3428"/>
      <c r="G124" s="3428"/>
      <c r="H124" s="3428"/>
      <c r="I124" s="3429"/>
      <c r="J124" s="2839"/>
    </row>
    <row r="125" spans="1:16" ht="13.2">
      <c r="A125" s="3430" t="str">
        <f>IF(项目基本情况!D5="房地产市场价值","——",MID(A112,3,LEN(A112)-2))</f>
        <v>房地产抵押价值</v>
      </c>
      <c r="B125" s="3431"/>
      <c r="C125" s="3431"/>
      <c r="D125" s="3418">
        <f ca="1">I110</f>
        <v>980</v>
      </c>
      <c r="E125" s="3426"/>
      <c r="F125" s="3426"/>
      <c r="G125" s="3426"/>
      <c r="H125" s="3426"/>
      <c r="I125" s="3419"/>
      <c r="J125" s="2831"/>
    </row>
    <row r="126" spans="1:16" ht="13.2">
      <c r="A126" s="3415" t="s">
        <v>2741</v>
      </c>
      <c r="B126" s="3416"/>
      <c r="C126" s="3416"/>
      <c r="D126" s="3427">
        <f ca="1">I111</f>
        <v>45541</v>
      </c>
      <c r="E126" s="3428"/>
      <c r="F126" s="3428"/>
      <c r="G126" s="3428"/>
      <c r="H126" s="3428"/>
      <c r="I126" s="3429"/>
      <c r="J126" s="2839"/>
    </row>
    <row r="127" spans="1:16" ht="13.8" thickBot="1">
      <c r="A127" s="3430" t="str">
        <f>IF(项目基本情况!D5="房地产市场价值","——",MID(A114,3,LEN(A114)-2))</f>
        <v/>
      </c>
      <c r="B127" s="3431"/>
      <c r="C127" s="3431"/>
      <c r="D127" s="3463" t="str">
        <f>I112</f>
        <v>——</v>
      </c>
      <c r="E127" s="3464"/>
      <c r="F127" s="3464"/>
      <c r="G127" s="3464"/>
      <c r="H127" s="3464"/>
      <c r="I127" s="3515"/>
      <c r="J127" s="2831"/>
    </row>
    <row r="128" spans="1:16" ht="14.4" thickTop="1" thickBot="1">
      <c r="A128" s="3415" t="s">
        <v>2741</v>
      </c>
      <c r="B128" s="3416"/>
      <c r="C128" s="3417"/>
      <c r="D128" s="3479" t="str">
        <f>I113</f>
        <v>——</v>
      </c>
      <c r="E128" s="3479"/>
      <c r="F128" s="3479"/>
      <c r="G128" s="3479"/>
      <c r="H128" s="3479"/>
      <c r="I128" s="3479"/>
      <c r="J128" s="2839"/>
    </row>
    <row r="129" spans="1:10" ht="14.4" thickTop="1" thickBot="1">
      <c r="A129" s="3430" t="str">
        <f>IF(项目基本情况!D5="房地产市场价值","——",MID(F114,3,LEN(F114)-2))</f>
        <v/>
      </c>
      <c r="B129" s="3431"/>
      <c r="C129" s="3418"/>
      <c r="D129" s="3434" t="str">
        <f>I114</f>
        <v>——</v>
      </c>
      <c r="E129" s="3434"/>
      <c r="F129" s="3434"/>
      <c r="G129" s="3434"/>
      <c r="H129" s="3434"/>
      <c r="I129" s="3434"/>
      <c r="J129" s="2831"/>
    </row>
    <row r="130" spans="1:10" ht="14.4" thickTop="1" thickBot="1">
      <c r="A130" s="3439" t="s">
        <v>2741</v>
      </c>
      <c r="B130" s="3440"/>
      <c r="C130" s="3440"/>
      <c r="D130" s="3445">
        <f>H116</f>
        <v>0</v>
      </c>
      <c r="E130" s="3446"/>
      <c r="F130" s="3446"/>
      <c r="G130" s="3446"/>
      <c r="H130" s="3446"/>
      <c r="I130" s="3447"/>
      <c r="J130" s="2839"/>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8" thickBot="1">
      <c r="A132" s="3413" t="str">
        <f>IF(B32="总价","（以上估价结果中楼面单价为总价除以建筑面积得出）","（以上估价结果中总价为楼面单价乘以建筑面积得出）")</f>
        <v>（以上估价结果中总价为楼面单价乘以建筑面积得出）</v>
      </c>
      <c r="B132" s="3413"/>
      <c r="C132" s="3413"/>
      <c r="D132" s="3413"/>
      <c r="E132" s="3413"/>
      <c r="F132" s="3413"/>
      <c r="G132" s="3413"/>
      <c r="H132" s="3413"/>
      <c r="I132" s="3413"/>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K22" sqref="K22"/>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2"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47" t="s">
        <v>1825</v>
      </c>
      <c r="B2" s="3547"/>
      <c r="C2" s="3547"/>
      <c r="D2" s="3547"/>
      <c r="E2" s="3547"/>
      <c r="F2" s="3547"/>
      <c r="G2" s="3547"/>
      <c r="H2" s="3547"/>
      <c r="I2" s="3547"/>
      <c r="J2" s="2844"/>
    </row>
    <row r="3" spans="1:15" ht="13.2">
      <c r="A3" s="3471" t="s">
        <v>1653</v>
      </c>
      <c r="B3" s="3472"/>
      <c r="C3" s="3472"/>
      <c r="D3" s="3472"/>
      <c r="E3" s="3472"/>
      <c r="F3" s="3472"/>
      <c r="G3" s="3472"/>
      <c r="H3" s="3472"/>
      <c r="I3" s="3472"/>
      <c r="J3" s="2814"/>
    </row>
    <row r="4" spans="1:15" ht="14.4">
      <c r="A4" s="2682" t="s">
        <v>1654</v>
      </c>
      <c r="B4" s="2682" t="s">
        <v>1655</v>
      </c>
      <c r="C4" s="2683" t="s">
        <v>3001</v>
      </c>
      <c r="D4" s="2683" t="s">
        <v>3002</v>
      </c>
      <c r="E4" s="3417" t="s">
        <v>1826</v>
      </c>
      <c r="F4" s="3455"/>
      <c r="G4" s="3455"/>
      <c r="H4" s="3455"/>
      <c r="I4" s="3456"/>
      <c r="J4" s="2815"/>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3.2">
      <c r="A5" s="3448" t="s">
        <v>1657</v>
      </c>
      <c r="B5" s="3448">
        <v>25</v>
      </c>
      <c r="C5" s="3457"/>
      <c r="D5" s="3470"/>
      <c r="E5" s="12" t="s">
        <v>1658</v>
      </c>
      <c r="F5" s="2059"/>
      <c r="G5" s="2059"/>
      <c r="H5" s="2059"/>
      <c r="I5" s="2054"/>
      <c r="J5" s="2815"/>
    </row>
    <row r="6" spans="1:15" ht="13.2">
      <c r="A6" s="3448"/>
      <c r="B6" s="3448"/>
      <c r="C6" s="3473"/>
      <c r="D6" s="3470"/>
      <c r="E6" s="12" t="s">
        <v>1659</v>
      </c>
      <c r="F6" s="2059"/>
      <c r="G6" s="2059"/>
      <c r="H6" s="2059"/>
      <c r="I6" s="2054"/>
      <c r="J6" s="2815"/>
    </row>
    <row r="7" spans="1:15" ht="13.2">
      <c r="A7" s="3448"/>
      <c r="B7" s="3448"/>
      <c r="C7" s="3458"/>
      <c r="D7" s="3470"/>
      <c r="E7" s="12" t="s">
        <v>1660</v>
      </c>
      <c r="F7" s="2059"/>
      <c r="G7" s="2059"/>
      <c r="H7" s="2059"/>
      <c r="I7" s="2054"/>
      <c r="J7" s="2815"/>
    </row>
    <row r="8" spans="1:15" ht="13.2">
      <c r="A8" s="3448" t="s">
        <v>1661</v>
      </c>
      <c r="B8" s="3448">
        <v>15</v>
      </c>
      <c r="C8" s="3457"/>
      <c r="D8" s="3470"/>
      <c r="E8" s="12" t="s">
        <v>1662</v>
      </c>
      <c r="F8" s="2059"/>
      <c r="G8" s="2059"/>
      <c r="H8" s="2059"/>
      <c r="I8" s="2054"/>
      <c r="J8" s="2815"/>
    </row>
    <row r="9" spans="1:15" ht="13.2">
      <c r="A9" s="3448"/>
      <c r="B9" s="3448"/>
      <c r="C9" s="3458"/>
      <c r="D9" s="3470"/>
      <c r="E9" s="12" t="s">
        <v>1663</v>
      </c>
      <c r="F9" s="2059"/>
      <c r="G9" s="2059"/>
      <c r="H9" s="2059"/>
      <c r="I9" s="2054"/>
      <c r="J9" s="2815"/>
    </row>
    <row r="10" spans="1:15" ht="13.2">
      <c r="A10" s="3448" t="s">
        <v>1664</v>
      </c>
      <c r="B10" s="3448">
        <v>15</v>
      </c>
      <c r="C10" s="3457"/>
      <c r="D10" s="3470"/>
      <c r="E10" s="12" t="s">
        <v>1665</v>
      </c>
      <c r="F10" s="2059"/>
      <c r="G10" s="2059"/>
      <c r="H10" s="2059"/>
      <c r="I10" s="2054"/>
      <c r="J10" s="2815"/>
    </row>
    <row r="11" spans="1:15" ht="13.2">
      <c r="A11" s="3448"/>
      <c r="B11" s="3448"/>
      <c r="C11" s="3458"/>
      <c r="D11" s="3470"/>
      <c r="E11" s="12" t="s">
        <v>1666</v>
      </c>
      <c r="F11" s="2059"/>
      <c r="G11" s="2059"/>
      <c r="H11" s="2059"/>
      <c r="I11" s="2054"/>
      <c r="J11" s="2815"/>
    </row>
    <row r="12" spans="1:15" ht="13.2">
      <c r="A12" s="3448" t="s">
        <v>1667</v>
      </c>
      <c r="B12" s="3448">
        <v>15</v>
      </c>
      <c r="C12" s="3457"/>
      <c r="D12" s="3470"/>
      <c r="E12" s="12" t="s">
        <v>1668</v>
      </c>
      <c r="F12" s="2059"/>
      <c r="G12" s="2059"/>
      <c r="H12" s="2059"/>
      <c r="I12" s="2054"/>
      <c r="J12" s="2815"/>
    </row>
    <row r="13" spans="1:15" ht="13.2">
      <c r="A13" s="3448"/>
      <c r="B13" s="3448"/>
      <c r="C13" s="3458"/>
      <c r="D13" s="3470"/>
      <c r="E13" s="12" t="s">
        <v>1669</v>
      </c>
      <c r="F13" s="2059"/>
      <c r="G13" s="2059"/>
      <c r="H13" s="2059"/>
      <c r="I13" s="2054"/>
      <c r="J13" s="2815"/>
    </row>
    <row r="14" spans="1:15" ht="13.2">
      <c r="A14" s="3448" t="s">
        <v>1670</v>
      </c>
      <c r="B14" s="3448">
        <v>30</v>
      </c>
      <c r="C14" s="3457">
        <v>6</v>
      </c>
      <c r="D14" s="3470">
        <v>4</v>
      </c>
      <c r="E14" s="12" t="s">
        <v>1671</v>
      </c>
      <c r="F14" s="2059"/>
      <c r="G14" s="2059"/>
      <c r="H14" s="2059"/>
      <c r="I14" s="2054"/>
      <c r="J14" s="2815"/>
    </row>
    <row r="15" spans="1:15" ht="13.2">
      <c r="A15" s="3448"/>
      <c r="B15" s="3448"/>
      <c r="C15" s="3473"/>
      <c r="D15" s="3470"/>
      <c r="E15" s="12" t="s">
        <v>1672</v>
      </c>
      <c r="F15" s="2059"/>
      <c r="G15" s="2059"/>
      <c r="H15" s="2059"/>
      <c r="I15" s="2054"/>
      <c r="J15" s="2815"/>
    </row>
    <row r="16" spans="1:15" ht="13.2">
      <c r="A16" s="3448"/>
      <c r="B16" s="3448"/>
      <c r="C16" s="3458"/>
      <c r="D16" s="3470"/>
      <c r="E16" s="12" t="s">
        <v>1673</v>
      </c>
      <c r="F16" s="2059"/>
      <c r="G16" s="2059"/>
      <c r="H16" s="2059"/>
      <c r="I16" s="2054"/>
      <c r="J16" s="2815"/>
    </row>
    <row r="17" spans="1:36" ht="14.4">
      <c r="A17" s="2684" t="s">
        <v>1674</v>
      </c>
      <c r="B17" s="2064"/>
      <c r="C17" s="2685">
        <f>SUM(C5:C16)</f>
        <v>6</v>
      </c>
      <c r="D17" s="2685">
        <f>SUM(D5:D16)</f>
        <v>4</v>
      </c>
      <c r="E17" s="2532"/>
      <c r="F17" s="2532"/>
      <c r="G17" s="2532"/>
      <c r="H17" s="2532"/>
      <c r="I17" s="2532"/>
      <c r="J17" s="2816"/>
    </row>
    <row r="18" spans="1:36" ht="32.4" customHeight="1" thickBot="1">
      <c r="A18" s="2686" t="s">
        <v>1675</v>
      </c>
      <c r="B18" s="2687"/>
      <c r="C18" s="2688">
        <f>ROUND(C17/SUM(C17:D17),2)</f>
        <v>0.6</v>
      </c>
      <c r="D18" s="2688">
        <f>1-C18</f>
        <v>0.4</v>
      </c>
      <c r="E18" s="3466" t="s">
        <v>2760</v>
      </c>
      <c r="F18" s="3467"/>
      <c r="G18" s="3467"/>
      <c r="H18" s="3467"/>
      <c r="I18" s="3467"/>
      <c r="J18" s="2816"/>
    </row>
    <row r="19" spans="1:36" ht="14.4">
      <c r="A19" s="2689" t="s">
        <v>1676</v>
      </c>
      <c r="B19" s="2690" t="s">
        <v>1677</v>
      </c>
      <c r="C19" s="2691">
        <f ca="1">SUMIF(INDIRECT("'"&amp;C4&amp;"'"&amp;"!A:A"),'结果表 (1修多)'!B19,INDIRECT("'"&amp;C4&amp;"'"&amp;"!B:B"))</f>
        <v>1207</v>
      </c>
      <c r="D19" s="2692">
        <f ca="1">SUMIF(INDIRECT("'"&amp;D4&amp;"'"&amp;"!A:A"),'结果表 (1修多)'!B19,INDIRECT("'"&amp;D4&amp;"'"&amp;"!B:B"))</f>
        <v>859</v>
      </c>
      <c r="E19" s="2689" t="s">
        <v>1678</v>
      </c>
      <c r="F19" s="2690" t="s">
        <v>1677</v>
      </c>
      <c r="G19" s="2693">
        <f ca="1">ROUND(C19*$C$18+D19*$D$18,0)</f>
        <v>1068</v>
      </c>
      <c r="H19" s="2694" t="str">
        <f>'数据-取费表'!B3</f>
        <v>万元</v>
      </c>
      <c r="I19" s="2532"/>
      <c r="J19" s="2816"/>
    </row>
    <row r="20" spans="1:36" ht="14.4">
      <c r="A20" s="2695"/>
      <c r="B20" s="1664" t="s">
        <v>1679</v>
      </c>
      <c r="C20" s="1889">
        <f ca="1">SUMIF(INDIRECT("'"&amp;C4&amp;"'"&amp;"!A:A"),'结果表 (1修多)'!B20,INDIRECT("'"&amp;C4&amp;"'"&amp;"!B:B"))</f>
        <v>56070</v>
      </c>
      <c r="D20" s="1892">
        <f ca="1">SUMIF(INDIRECT("'"&amp;D4&amp;"'"&amp;"!A:A"),'结果表 (1修多)'!B20,INDIRECT("'"&amp;D4&amp;"'"&amp;"!B:B"))</f>
        <v>39894</v>
      </c>
      <c r="E20" s="2695"/>
      <c r="F20" s="1664" t="s">
        <v>1679</v>
      </c>
      <c r="G20" s="2063">
        <f ca="1">ROUND(C20*$C$18+D20*$D$18,0)</f>
        <v>49600</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0.4051222351571595</v>
      </c>
      <c r="E22" s="947"/>
      <c r="F22" s="947"/>
      <c r="G22" s="947"/>
      <c r="H22" s="947"/>
      <c r="I22" s="947"/>
      <c r="J22" s="2816"/>
    </row>
    <row r="23" spans="1:36" ht="13.8" thickBot="1">
      <c r="A23" s="2532"/>
      <c r="B23" s="2532"/>
      <c r="C23" s="2532"/>
      <c r="D23" s="2532"/>
      <c r="E23" s="947"/>
      <c r="F23" s="947"/>
      <c r="G23" s="947"/>
      <c r="H23" s="947"/>
      <c r="I23" s="947"/>
      <c r="J23" s="2816"/>
    </row>
    <row r="24" spans="1:36" ht="21.75" customHeight="1">
      <c r="A24" s="3459" t="s">
        <v>1682</v>
      </c>
      <c r="B24" s="2690" t="s">
        <v>1677</v>
      </c>
      <c r="C24" s="2693">
        <f>D30</f>
        <v>0</v>
      </c>
      <c r="D24" s="2645"/>
      <c r="E24" s="947"/>
      <c r="F24" s="947"/>
      <c r="G24" s="947"/>
      <c r="H24" s="947"/>
      <c r="I24" s="947"/>
      <c r="J24" s="2816"/>
    </row>
    <row r="25" spans="1:36" ht="21.75" customHeight="1">
      <c r="A25" s="3476"/>
      <c r="B25" s="1664" t="s">
        <v>1679</v>
      </c>
      <c r="C25" s="2705">
        <f>IF(B30=0,0,C30)</f>
        <v>0</v>
      </c>
      <c r="D25" s="2706"/>
      <c r="E25" s="947"/>
      <c r="F25" s="947"/>
      <c r="G25" s="947">
        <f ca="1">G20/0.7</f>
        <v>70857.142857142855</v>
      </c>
      <c r="H25" s="947"/>
      <c r="I25" s="947"/>
      <c r="J25" s="2816"/>
      <c r="L25" s="659">
        <f>1000*10000/1000/2</f>
        <v>5000</v>
      </c>
    </row>
    <row r="26" spans="1:36" ht="13.5" customHeight="1">
      <c r="A26" s="2707" t="s">
        <v>1683</v>
      </c>
      <c r="B26" s="2708" t="s">
        <v>1684</v>
      </c>
      <c r="C26" s="2708" t="s">
        <v>1685</v>
      </c>
      <c r="D26" s="2709" t="s">
        <v>1686</v>
      </c>
      <c r="E26" s="947"/>
      <c r="F26" s="947"/>
      <c r="G26" s="947"/>
      <c r="H26" s="947"/>
      <c r="I26" s="947"/>
      <c r="J26" s="2816"/>
    </row>
    <row r="27" spans="1:36" ht="14.4">
      <c r="A27" s="2710" t="s">
        <v>1827</v>
      </c>
      <c r="B27" s="2708">
        <v>0</v>
      </c>
      <c r="C27" s="2708">
        <v>0</v>
      </c>
      <c r="D27" s="2709">
        <f>ROUND(C27*B27/10000,0)</f>
        <v>0</v>
      </c>
      <c r="E27" s="947"/>
      <c r="F27" s="947"/>
      <c r="G27" s="947"/>
      <c r="H27" s="947"/>
      <c r="I27" s="947"/>
      <c r="J27" s="2816"/>
    </row>
    <row r="28" spans="1:36" ht="13.8">
      <c r="A28" s="2707"/>
      <c r="B28" s="2708"/>
      <c r="C28" s="2708"/>
      <c r="D28" s="2709">
        <f>ROUND(C28*B28/10000,0)</f>
        <v>0</v>
      </c>
      <c r="E28" s="947"/>
      <c r="F28" s="947"/>
      <c r="G28" s="947"/>
      <c r="H28" s="947">
        <f>10/0.7</f>
        <v>14.285714285714286</v>
      </c>
      <c r="I28" s="947"/>
      <c r="J28" s="2816"/>
    </row>
    <row r="29" spans="1:36" ht="13.8">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2764</v>
      </c>
      <c r="F30" s="2532"/>
      <c r="G30" s="2532"/>
      <c r="H30" s="2532"/>
      <c r="I30" s="2532"/>
      <c r="J30" s="2816"/>
    </row>
    <row r="31" spans="1:36" s="2809" customFormat="1" ht="27.6"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5.6" thickTop="1" thickBot="1">
      <c r="A32" s="3524" t="s">
        <v>1829</v>
      </c>
      <c r="B32" s="3524"/>
      <c r="C32" s="3524"/>
      <c r="D32" s="3524"/>
      <c r="E32" s="3524"/>
      <c r="F32" s="3524"/>
      <c r="G32" s="3524"/>
      <c r="H32" s="3524"/>
      <c r="I32" s="3524"/>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5" t="s">
        <v>1830</v>
      </c>
      <c r="C33" s="2746">
        <f>典型户型修正!R27</f>
        <v>0</v>
      </c>
      <c r="D33" s="2532" t="s">
        <v>1831</v>
      </c>
      <c r="E33" s="947"/>
      <c r="F33" s="947"/>
      <c r="G33" s="947"/>
      <c r="H33" s="947"/>
      <c r="I33" s="947"/>
      <c r="J33" s="2816"/>
    </row>
    <row r="34" spans="1:16" ht="14.4">
      <c r="A34" s="1482" t="s">
        <v>1832</v>
      </c>
      <c r="B34" s="2747" t="s">
        <v>1833</v>
      </c>
      <c r="C34" s="2748">
        <f>典型户型修正!B2</f>
        <v>0</v>
      </c>
      <c r="D34" s="2749" t="str">
        <f>IF('数据-取费表'!B3="万元","万元","元")</f>
        <v>万元</v>
      </c>
      <c r="E34" s="947"/>
      <c r="F34" s="947"/>
      <c r="G34" s="947"/>
      <c r="H34" s="947"/>
      <c r="I34" s="947"/>
      <c r="J34" s="2816"/>
    </row>
    <row r="35" spans="1:16" ht="15" thickBot="1">
      <c r="A35" s="1483"/>
      <c r="B35" s="2750" t="s">
        <v>1834</v>
      </c>
      <c r="C35" s="2699" t="e">
        <f>典型户型修正!B3</f>
        <v>#DIV/0!</v>
      </c>
      <c r="D35" s="2532" t="s">
        <v>1835</v>
      </c>
      <c r="E35" s="947"/>
      <c r="F35" s="947"/>
      <c r="G35" s="947"/>
      <c r="H35" s="947"/>
      <c r="I35" s="947"/>
      <c r="J35" s="2816"/>
    </row>
    <row r="36" spans="1:16" ht="14.4">
      <c r="A36" s="1484"/>
      <c r="B36" s="1438" t="s">
        <v>1836</v>
      </c>
      <c r="C36" s="2751">
        <f>IF('数据-取费表'!B3="万元",典型户型修正!V25,典型户型修正!U25)</f>
        <v>0</v>
      </c>
      <c r="D36" s="2532" t="str">
        <f>D34</f>
        <v>万元</v>
      </c>
      <c r="E36" s="947"/>
      <c r="F36" s="947"/>
      <c r="G36" s="947"/>
      <c r="H36" s="947"/>
      <c r="I36" s="947"/>
      <c r="J36" s="2816"/>
    </row>
    <row r="37" spans="1:16" ht="15" thickBot="1">
      <c r="A37" s="1437"/>
      <c r="B37" s="1439" t="s">
        <v>1837</v>
      </c>
      <c r="C37" s="2752">
        <f>IF('数据-取费表'!B3="万元",典型户型修正!Y25,典型户型修正!X25)</f>
        <v>0</v>
      </c>
      <c r="D37" s="2532" t="str">
        <f>D34</f>
        <v>万元</v>
      </c>
      <c r="E37" s="947"/>
      <c r="F37" s="947"/>
      <c r="G37" s="947"/>
      <c r="H37" s="947"/>
      <c r="I37" s="947"/>
      <c r="J37" s="2816"/>
    </row>
    <row r="38" spans="1:16" ht="15" thickBot="1">
      <c r="A38" s="3459" t="s">
        <v>1838</v>
      </c>
      <c r="B38" s="1438" t="s">
        <v>1839</v>
      </c>
      <c r="C38" s="2726"/>
      <c r="D38" s="2727"/>
      <c r="E38" s="1650"/>
      <c r="F38" s="1650"/>
      <c r="G38" s="947"/>
      <c r="H38" s="947"/>
      <c r="I38" s="947"/>
      <c r="J38" s="2816"/>
    </row>
    <row r="39" spans="1:16" ht="15" thickBot="1">
      <c r="A39" s="3460"/>
      <c r="B39" s="2064" t="s">
        <v>1840</v>
      </c>
      <c r="C39" s="2728"/>
      <c r="D39" s="1281"/>
      <c r="E39" s="1281"/>
      <c r="F39" s="1650"/>
      <c r="G39" s="1281"/>
      <c r="H39" s="1281"/>
      <c r="I39" s="1281"/>
      <c r="J39" s="2820"/>
    </row>
    <row r="40" spans="1:16" ht="15" thickBot="1">
      <c r="A40" s="3461"/>
      <c r="B40" s="1439" t="s">
        <v>1841</v>
      </c>
      <c r="C40" s="2729"/>
      <c r="D40" s="2730" t="s">
        <v>1842</v>
      </c>
      <c r="E40" s="1281"/>
      <c r="F40" s="1650"/>
      <c r="G40" s="1281"/>
      <c r="H40" s="1281"/>
      <c r="I40" s="1281"/>
      <c r="J40" s="2820"/>
    </row>
    <row r="41" spans="1:16" ht="14.4">
      <c r="A41" s="2695" t="s">
        <v>1843</v>
      </c>
      <c r="B41" s="2731" t="s">
        <v>1844</v>
      </c>
      <c r="C41" s="2732" t="s">
        <v>1845</v>
      </c>
      <c r="D41" s="2732" t="s">
        <v>1846</v>
      </c>
      <c r="E41" s="2733" t="s">
        <v>1847</v>
      </c>
      <c r="F41" s="1650"/>
      <c r="G41" s="1281"/>
      <c r="H41" s="1281"/>
      <c r="I41" s="1281"/>
      <c r="J41" s="2820"/>
    </row>
    <row r="42" spans="1:16" ht="13.8">
      <c r="A42" s="2734" t="s">
        <v>1848</v>
      </c>
      <c r="B42" s="2735"/>
      <c r="C42" s="2736"/>
      <c r="D42" s="2736"/>
      <c r="E42" s="2737"/>
      <c r="F42" s="1650"/>
      <c r="G42" s="1281"/>
      <c r="H42" s="1281"/>
      <c r="I42" s="1281"/>
      <c r="J42" s="2820"/>
    </row>
    <row r="43" spans="1:16" ht="13.8">
      <c r="A43" s="2734" t="s">
        <v>1849</v>
      </c>
      <c r="B43" s="2735"/>
      <c r="C43" s="2736"/>
      <c r="D43" s="2736"/>
      <c r="E43" s="2737"/>
      <c r="F43" s="1650"/>
      <c r="G43" s="1281"/>
      <c r="H43" s="1281"/>
      <c r="I43" s="1281"/>
      <c r="J43" s="2820"/>
    </row>
    <row r="44" spans="1:16" ht="14.4" thickBot="1">
      <c r="A44" s="2738"/>
      <c r="B44" s="2739"/>
      <c r="C44" s="2740"/>
      <c r="D44" s="2740"/>
      <c r="E44" s="2725"/>
      <c r="F44" s="1650"/>
      <c r="G44" s="1281"/>
      <c r="H44" s="1281"/>
      <c r="I44" s="1281"/>
      <c r="J44" s="2820"/>
    </row>
    <row r="45" spans="1:16" ht="13.2">
      <c r="A45" s="1451"/>
      <c r="B45" s="1451"/>
      <c r="C45" s="1451"/>
      <c r="D45" s="1451"/>
      <c r="E45" s="1451"/>
      <c r="F45" s="1407"/>
      <c r="G45" s="1407"/>
      <c r="H45" s="1407"/>
      <c r="I45" s="2741"/>
      <c r="J45" s="2821"/>
    </row>
    <row r="46" spans="1:16" ht="17.399999999999999">
      <c r="A46" s="1441" t="s">
        <v>1850</v>
      </c>
      <c r="B46" s="1442"/>
      <c r="C46" s="1442"/>
      <c r="D46" s="2753"/>
      <c r="E46" s="2753"/>
      <c r="F46" s="2753"/>
      <c r="G46" s="2753"/>
      <c r="H46" s="2753"/>
      <c r="I46" s="2810" t="s">
        <v>2759</v>
      </c>
      <c r="J46" s="2846"/>
      <c r="K46" s="1445" t="s">
        <v>1705</v>
      </c>
      <c r="L46" s="1446"/>
      <c r="M46" s="1446"/>
      <c r="N46" s="1446"/>
      <c r="O46" s="1446"/>
      <c r="P46" s="1446"/>
    </row>
    <row r="47" spans="1:16" ht="14.25" customHeight="1" thickBot="1">
      <c r="A47" s="3463" t="s">
        <v>1851</v>
      </c>
      <c r="B47" s="3464"/>
      <c r="C47" s="3423"/>
      <c r="D47" s="246">
        <f>ROUND(I104*F47,0)</f>
        <v>0</v>
      </c>
      <c r="E47" s="1512" t="s">
        <v>1852</v>
      </c>
      <c r="F47" s="2530">
        <v>1</v>
      </c>
      <c r="G47" s="2531" t="s">
        <v>1853</v>
      </c>
      <c r="H47" s="947"/>
      <c r="I47" s="947"/>
      <c r="J47" s="2816"/>
      <c r="K47" s="3549" t="s">
        <v>1709</v>
      </c>
      <c r="L47" s="3549"/>
      <c r="M47" s="3549"/>
      <c r="N47" s="3549"/>
      <c r="O47" s="3549"/>
      <c r="P47" s="3549"/>
    </row>
    <row r="48" spans="1:16" ht="14.25" customHeight="1">
      <c r="A48" s="3452" t="s">
        <v>1710</v>
      </c>
      <c r="B48" s="3453"/>
      <c r="C48" s="3453"/>
      <c r="D48" s="3453"/>
      <c r="E48" s="3453"/>
      <c r="F48" s="3453"/>
      <c r="G48" s="3454"/>
      <c r="H48" s="2948"/>
      <c r="I48" s="947"/>
      <c r="J48" s="2816"/>
      <c r="K48" s="2482">
        <v>1</v>
      </c>
      <c r="L48" s="3544" t="s">
        <v>1711</v>
      </c>
      <c r="M48" s="3544"/>
      <c r="N48" s="3550"/>
      <c r="O48" s="3550"/>
      <c r="P48" s="3550"/>
    </row>
    <row r="49" spans="1:17" ht="12" customHeight="1">
      <c r="A49" s="38" t="s">
        <v>1712</v>
      </c>
      <c r="B49" s="39"/>
      <c r="C49" s="40"/>
      <c r="D49" s="1070" t="s">
        <v>1713</v>
      </c>
      <c r="E49" s="235" t="s">
        <v>1714</v>
      </c>
      <c r="F49" s="41" t="s">
        <v>1715</v>
      </c>
      <c r="G49" s="2533" t="s">
        <v>1716</v>
      </c>
      <c r="H49" s="2948"/>
      <c r="I49" s="947"/>
      <c r="J49" s="2816"/>
      <c r="K49" s="2482">
        <v>2</v>
      </c>
      <c r="L49" s="3544" t="s">
        <v>1717</v>
      </c>
      <c r="M49" s="3544"/>
      <c r="N49" s="3551">
        <f>'数据-取费表'!B2</f>
        <v>44624</v>
      </c>
      <c r="O49" s="3551"/>
      <c r="P49" s="3551"/>
    </row>
    <row r="50" spans="1:17" ht="26.4">
      <c r="A50" s="3462" t="s">
        <v>1718</v>
      </c>
      <c r="B50" s="3416"/>
      <c r="C50" s="3416"/>
      <c r="D50" s="12">
        <f>IF(H50="情况1",0,IF(H50="情况2",D54,IF(H50="情况3",D55,IF(H50="情况4",D56))))</f>
        <v>0</v>
      </c>
      <c r="E50" s="2062" t="str">
        <f>IF(H50="情况4","(销售额-原购置价)×税（费）率","销售额×税（费）率")</f>
        <v>销售额×税（费）率</v>
      </c>
      <c r="F50" s="2534">
        <f>IF(H50="情况1","免征",'数据-取费表'!E29)</f>
        <v>5.6000000000000001E-2</v>
      </c>
      <c r="G50" s="2535" t="s">
        <v>1719</v>
      </c>
      <c r="H50" s="2536" t="s">
        <v>1720</v>
      </c>
      <c r="I50" s="2948"/>
      <c r="J50" s="2823"/>
      <c r="K50" s="2482">
        <v>3</v>
      </c>
      <c r="L50" s="3544" t="s">
        <v>1721</v>
      </c>
      <c r="M50" s="3544"/>
      <c r="N50" s="3545">
        <f>I104</f>
        <v>0</v>
      </c>
      <c r="O50" s="3545"/>
      <c r="P50" s="3545"/>
    </row>
    <row r="51" spans="1:17" ht="25.5" customHeight="1">
      <c r="A51" s="2061" t="s">
        <v>1722</v>
      </c>
      <c r="B51" s="3455" t="s">
        <v>1723</v>
      </c>
      <c r="C51" s="3455"/>
      <c r="D51" s="2537">
        <v>0</v>
      </c>
      <c r="E51" s="261" t="s">
        <v>1724</v>
      </c>
      <c r="F51" s="2538" t="s">
        <v>48</v>
      </c>
      <c r="G51" s="3512"/>
      <c r="H51" s="2539" t="s">
        <v>2684</v>
      </c>
      <c r="I51" s="2540"/>
      <c r="J51" s="2824"/>
      <c r="K51" s="2482">
        <v>4</v>
      </c>
      <c r="L51" s="3544" t="str">
        <f>IF(项目基本情况!F5="房地产抵押价值","房地产抵押价值","抵押担保权已注销时的房地产抵押价值")</f>
        <v>房地产抵押价值</v>
      </c>
      <c r="M51" s="3544"/>
      <c r="N51" s="3545">
        <f>IF(项目基本情况!F5="房地产抵押价值",I112,I114)</f>
        <v>0</v>
      </c>
      <c r="O51" s="3545"/>
      <c r="P51" s="3545"/>
    </row>
    <row r="52" spans="1:17" ht="25.5" customHeight="1">
      <c r="A52" s="2051"/>
      <c r="B52" s="3455" t="s">
        <v>1725</v>
      </c>
      <c r="C52" s="3455"/>
      <c r="D52" s="2541"/>
      <c r="E52" s="269"/>
      <c r="F52" s="2538"/>
      <c r="G52" s="3513"/>
      <c r="H52" s="2542" t="s">
        <v>2685</v>
      </c>
      <c r="I52" s="2540"/>
      <c r="J52" s="2824"/>
      <c r="K52" s="3544" t="s">
        <v>1726</v>
      </c>
      <c r="L52" s="3544"/>
      <c r="M52" s="3544"/>
      <c r="N52" s="3544"/>
      <c r="O52" s="3544"/>
      <c r="P52" s="3544"/>
    </row>
    <row r="53" spans="1:17" ht="20.399999999999999" customHeight="1">
      <c r="A53" s="2543"/>
      <c r="B53" s="3455" t="s">
        <v>1727</v>
      </c>
      <c r="C53" s="3455"/>
      <c r="D53" s="1070"/>
      <c r="E53" s="264"/>
      <c r="F53" s="2538"/>
      <c r="G53" s="3514"/>
      <c r="H53" s="2542" t="s">
        <v>2686</v>
      </c>
      <c r="I53" s="2540"/>
      <c r="J53" s="2824"/>
      <c r="K53" s="2483" t="s">
        <v>1728</v>
      </c>
      <c r="L53" s="3544" t="s">
        <v>1729</v>
      </c>
      <c r="M53" s="3544"/>
      <c r="N53" s="2483" t="s">
        <v>1730</v>
      </c>
      <c r="O53" s="2483" t="s">
        <v>1731</v>
      </c>
      <c r="P53" s="2483" t="s">
        <v>1732</v>
      </c>
    </row>
    <row r="54" spans="1:17" ht="24" customHeight="1">
      <c r="A54" s="2052" t="s">
        <v>1733</v>
      </c>
      <c r="B54" s="3455" t="s">
        <v>1734</v>
      </c>
      <c r="C54" s="3455"/>
      <c r="D54" s="1070">
        <f>ROUND(D47*'数据-取费表'!E29/(1+'数据-取费表'!F30),0)</f>
        <v>0</v>
      </c>
      <c r="E54" s="2062" t="s">
        <v>1735</v>
      </c>
      <c r="F54" s="2544">
        <f>'数据-取费表'!E29</f>
        <v>5.6000000000000001E-2</v>
      </c>
      <c r="G54" s="2545"/>
      <c r="H54" s="947"/>
      <c r="I54" s="2949"/>
      <c r="J54" s="2824"/>
      <c r="K54" s="2482">
        <v>1</v>
      </c>
      <c r="L54" s="3540" t="s">
        <v>1736</v>
      </c>
      <c r="M54" s="3540"/>
      <c r="N54" s="2484">
        <f>D50</f>
        <v>0</v>
      </c>
      <c r="O54" s="2482" t="str">
        <f>E50</f>
        <v>销售额×税（费）率</v>
      </c>
      <c r="P54" s="2485">
        <f>F50</f>
        <v>5.6000000000000001E-2</v>
      </c>
    </row>
    <row r="55" spans="1:17" ht="12" customHeight="1">
      <c r="A55" s="2052" t="s">
        <v>1737</v>
      </c>
      <c r="B55" s="3417" t="s">
        <v>2778</v>
      </c>
      <c r="C55" s="3456"/>
      <c r="D55" s="1070">
        <f>ROUND(D47*'数据-取费表'!E29/(1+'数据-取费表'!F30),0)</f>
        <v>0</v>
      </c>
      <c r="E55" s="2062" t="s">
        <v>1735</v>
      </c>
      <c r="F55" s="2544">
        <f>'数据-取费表'!E29</f>
        <v>5.6000000000000001E-2</v>
      </c>
      <c r="G55" s="2545"/>
      <c r="H55" s="947"/>
      <c r="I55" s="2949"/>
      <c r="J55" s="2824"/>
      <c r="K55" s="2482">
        <v>2</v>
      </c>
      <c r="L55" s="3540" t="s">
        <v>1738</v>
      </c>
      <c r="M55" s="3540"/>
      <c r="N55" s="2484">
        <f t="shared" ref="N55:P56" si="1">D57</f>
        <v>0</v>
      </c>
      <c r="O55" s="2482" t="str">
        <f t="shared" si="1"/>
        <v>销售额×税（费）率</v>
      </c>
      <c r="P55" s="2485">
        <f t="shared" si="1"/>
        <v>5.0000000000000001E-4</v>
      </c>
    </row>
    <row r="56" spans="1:17" ht="12" customHeight="1">
      <c r="A56" s="2052" t="s">
        <v>1739</v>
      </c>
      <c r="B56" s="3417" t="s">
        <v>2779</v>
      </c>
      <c r="C56" s="3456"/>
      <c r="D56" s="1070">
        <f>C70</f>
        <v>0</v>
      </c>
      <c r="E56" s="264" t="s">
        <v>1740</v>
      </c>
      <c r="F56" s="2544">
        <f>'数据-取费表'!E29</f>
        <v>5.6000000000000001E-2</v>
      </c>
      <c r="G56" s="2545"/>
      <c r="H56" s="2950"/>
      <c r="I56" s="2949"/>
      <c r="J56" s="2824"/>
      <c r="K56" s="2482">
        <v>3</v>
      </c>
      <c r="L56" s="3540" t="s">
        <v>1741</v>
      </c>
      <c r="M56" s="3540"/>
      <c r="N56" s="2484">
        <f t="shared" si="1"/>
        <v>0</v>
      </c>
      <c r="O56" s="2482" t="str">
        <f t="shared" si="1"/>
        <v>增值额×税（费）率</v>
      </c>
      <c r="P56" s="2486" t="str">
        <f t="shared" si="1"/>
        <v>——</v>
      </c>
    </row>
    <row r="57" spans="1:17" ht="24" customHeight="1">
      <c r="A57" s="3415" t="s">
        <v>1742</v>
      </c>
      <c r="B57" s="3416"/>
      <c r="C57" s="3416"/>
      <c r="D57" s="12">
        <f>IF(H57="个人住宅",0,ROUND(D47*I57,0))</f>
        <v>0</v>
      </c>
      <c r="E57" s="2062" t="s">
        <v>1743</v>
      </c>
      <c r="F57" s="2544">
        <f>IF(H57="正常",I57,"免征")</f>
        <v>5.0000000000000001E-4</v>
      </c>
      <c r="G57" s="2545"/>
      <c r="H57" s="2536" t="s">
        <v>1744</v>
      </c>
      <c r="I57" s="74">
        <f>'数据-取费表'!E37</f>
        <v>5.0000000000000001E-4</v>
      </c>
      <c r="J57" s="2824"/>
      <c r="K57" s="2482">
        <f>IF(H61="非个人房产","",4)</f>
        <v>4</v>
      </c>
      <c r="L57" s="3540" t="str">
        <f>IF(H61="非个人房产","——","个人所得税")</f>
        <v>个人所得税</v>
      </c>
      <c r="M57" s="3540"/>
      <c r="N57" s="2487">
        <f>D61</f>
        <v>0</v>
      </c>
      <c r="O57" s="2488" t="str">
        <f>E61</f>
        <v>销售额×税（费）率</v>
      </c>
      <c r="P57" s="2489">
        <f>F61</f>
        <v>0.01</v>
      </c>
    </row>
    <row r="58" spans="1:17" ht="25.2">
      <c r="A58" s="3415" t="s">
        <v>1745</v>
      </c>
      <c r="B58" s="3416"/>
      <c r="C58" s="3416"/>
      <c r="D58" s="12">
        <f>IF(H58="个人住宅",D59,D60)</f>
        <v>0</v>
      </c>
      <c r="E58" s="2062" t="s">
        <v>1746</v>
      </c>
      <c r="F58" s="2544" t="str">
        <f>IF(H58="正常",F60,"免征")</f>
        <v>——</v>
      </c>
      <c r="G58" s="2546" t="s">
        <v>1747</v>
      </c>
      <c r="H58" s="2547" t="s">
        <v>1744</v>
      </c>
      <c r="I58" s="2951"/>
      <c r="J58" s="2824"/>
      <c r="K58" s="2482" t="str">
        <f>IF(项目基本情况!I6="上海银行",IF(K57="",4,K57+1),"")</f>
        <v/>
      </c>
      <c r="L58" s="3542" t="str">
        <f>IF(项目基本情况!I6="上海银行","其他处置费用","")</f>
        <v/>
      </c>
      <c r="M58" s="3543"/>
      <c r="N58" s="2484" t="str">
        <f>IF(项目基本情况!I6="上海银行",N71,"")</f>
        <v/>
      </c>
      <c r="O58" s="3542" t="str">
        <f>IF(项目基本情况!I6="上海银行","包含处置中涉及的律师、诉讼、拍卖、评估等费用","")</f>
        <v/>
      </c>
      <c r="P58" s="3546"/>
    </row>
    <row r="59" spans="1:17" ht="13.2">
      <c r="A59" s="2052" t="s">
        <v>1722</v>
      </c>
      <c r="B59" s="3417" t="s">
        <v>1748</v>
      </c>
      <c r="C59" s="3456"/>
      <c r="D59" s="2537">
        <v>0</v>
      </c>
      <c r="E59" s="261" t="s">
        <v>1724</v>
      </c>
      <c r="F59" s="235"/>
      <c r="G59" s="2545"/>
      <c r="H59" s="2951"/>
      <c r="I59" s="2951"/>
      <c r="J59" s="2824"/>
      <c r="K59" s="3540">
        <f>IF(AND(K57="",K58=""),4,IF(项目基本情况!I6="上海银行",K58+1,K57+1))</f>
        <v>5</v>
      </c>
      <c r="L59" s="3540" t="s">
        <v>1749</v>
      </c>
      <c r="M59" s="2490" t="s">
        <v>1750</v>
      </c>
      <c r="N59" s="2491"/>
      <c r="O59" s="2492">
        <f>SUMIF(N54:N58,"&lt;9e307")</f>
        <v>0</v>
      </c>
      <c r="P59" s="2493"/>
      <c r="Q59" s="1276" t="e">
        <f>O59/N51</f>
        <v>#DIV/0!</v>
      </c>
    </row>
    <row r="60" spans="1:17" ht="25.2">
      <c r="A60" s="2052" t="s">
        <v>1733</v>
      </c>
      <c r="B60" s="3417" t="s">
        <v>1751</v>
      </c>
      <c r="C60" s="3455"/>
      <c r="D60" s="12">
        <f>IF(H60="转让取得",C83,C99)</f>
        <v>0</v>
      </c>
      <c r="E60" s="2062" t="s">
        <v>1746</v>
      </c>
      <c r="F60" s="235" t="s">
        <v>48</v>
      </c>
      <c r="G60" s="2545"/>
      <c r="H60" s="2547" t="s">
        <v>1752</v>
      </c>
      <c r="I60" s="2951"/>
      <c r="J60" s="2824"/>
      <c r="K60" s="3540"/>
      <c r="L60" s="3540"/>
      <c r="M60" s="2490" t="s">
        <v>1753</v>
      </c>
      <c r="N60" s="2494"/>
      <c r="O60" s="2495" t="str">
        <f>IF(H19="元",NUMBERSTRING(INT(O59),2)&amp;"元整",NUMBERSTRING(INT(O59*10000),2)&amp;"元整")</f>
        <v>零元整</v>
      </c>
      <c r="P60" s="2496"/>
    </row>
    <row r="61" spans="1:17" ht="27" thickBot="1">
      <c r="A61" s="3439" t="s">
        <v>1754</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2757</v>
      </c>
      <c r="H61" s="2066" t="s">
        <v>2683</v>
      </c>
      <c r="I61" s="2852" t="s">
        <v>2769</v>
      </c>
      <c r="J61" s="2824"/>
      <c r="K61" s="3538">
        <f>K59+1</f>
        <v>6</v>
      </c>
      <c r="L61" s="3540" t="s">
        <v>1755</v>
      </c>
      <c r="M61" s="2482" t="s">
        <v>1750</v>
      </c>
      <c r="N61" s="2497"/>
      <c r="O61" s="2498">
        <f>N51-O59</f>
        <v>0</v>
      </c>
      <c r="P61" s="2499"/>
    </row>
    <row r="62" spans="1:17" ht="12" customHeight="1">
      <c r="A62" s="1427"/>
      <c r="B62" s="2532"/>
      <c r="C62" s="2532"/>
      <c r="D62" s="2532"/>
      <c r="E62" s="1427"/>
      <c r="F62" s="2951"/>
      <c r="G62" s="2951"/>
      <c r="H62" s="2946"/>
      <c r="I62" s="947"/>
      <c r="J62" s="2824"/>
      <c r="K62" s="3539"/>
      <c r="L62" s="3540"/>
      <c r="M62" s="2490" t="s">
        <v>1753</v>
      </c>
      <c r="N62" s="2494"/>
      <c r="O62" s="2495" t="str">
        <f>IF(H19="元",NUMBERSTRING(INT(O61),2)&amp;"元整",NUMBERSTRING(INT(O61*10000),2)&amp;"元整")</f>
        <v>零元整</v>
      </c>
      <c r="P62" s="2496"/>
    </row>
    <row r="63" spans="1:17" ht="13.8" thickBot="1">
      <c r="A63" s="3541" t="s">
        <v>1756</v>
      </c>
      <c r="B63" s="3541"/>
      <c r="C63" s="3541"/>
      <c r="D63" s="3541"/>
      <c r="E63" s="3541"/>
      <c r="F63" s="2951"/>
      <c r="G63" s="2951"/>
      <c r="H63" s="2946"/>
      <c r="I63" s="947"/>
      <c r="J63" s="2816"/>
      <c r="K63" s="2482">
        <f>K61+1</f>
        <v>7</v>
      </c>
      <c r="L63" s="3540" t="s">
        <v>1757</v>
      </c>
      <c r="M63" s="3540"/>
      <c r="N63" s="2500"/>
      <c r="O63" s="2501">
        <f>IF(H19="元",ROUND(O61/项目基本情况!C12,0),ROUND(O61*10000/项目基本情况!C12,0))</f>
        <v>0</v>
      </c>
      <c r="P63" s="2502"/>
    </row>
    <row r="64" spans="1:17" ht="13.2">
      <c r="A64" s="3474" t="s">
        <v>1758</v>
      </c>
      <c r="B64" s="3475"/>
      <c r="C64" s="1577"/>
      <c r="D64" s="1577" t="s">
        <v>1759</v>
      </c>
      <c r="E64" s="45" t="s">
        <v>1760</v>
      </c>
      <c r="F64" s="2951"/>
      <c r="G64" s="2951"/>
      <c r="H64" s="2946"/>
      <c r="I64" s="947"/>
      <c r="J64" s="2816"/>
      <c r="K64" s="1278"/>
      <c r="L64" s="1278"/>
      <c r="M64" s="1278"/>
      <c r="N64" s="1278"/>
      <c r="O64" s="1278"/>
    </row>
    <row r="65" spans="1:36" ht="13.2">
      <c r="A65" s="46">
        <v>1</v>
      </c>
      <c r="B65" s="47" t="s">
        <v>1761</v>
      </c>
      <c r="C65" s="2755">
        <f>ROUND((C66+C67)/(1+'数据-取费表'!F30),0)</f>
        <v>0</v>
      </c>
      <c r="D65" s="47"/>
      <c r="E65" s="48"/>
      <c r="F65" s="2951"/>
      <c r="G65" s="2951"/>
      <c r="H65" s="2946"/>
      <c r="I65" s="947"/>
      <c r="J65" s="2816"/>
      <c r="K65" s="3548" t="s">
        <v>1762</v>
      </c>
      <c r="L65" s="1277" t="s">
        <v>1763</v>
      </c>
      <c r="M65" s="1277">
        <f>IF(N51&gt;10000,N51*0.5%,IF(AND(N51&gt;1000,N51&lt;=10000),N51*1%,IF(AND(N51&gt;100,N51&lt;=1000),N51*3%,IF(AND(N51&gt;10,N51&lt;=100),N51*5%,N51*8%))))</f>
        <v>0</v>
      </c>
      <c r="N65" s="235">
        <f>ROUND(M65,1)</f>
        <v>0</v>
      </c>
      <c r="O65" s="2503"/>
    </row>
    <row r="66" spans="1:36" ht="13.2">
      <c r="A66" s="49" t="s">
        <v>71</v>
      </c>
      <c r="B66" s="50" t="s">
        <v>1764</v>
      </c>
      <c r="C66" s="2756">
        <f>D47</f>
        <v>0</v>
      </c>
      <c r="D66" s="50" t="s">
        <v>41</v>
      </c>
      <c r="E66" s="52"/>
      <c r="F66" s="2951"/>
      <c r="G66" s="2951"/>
      <c r="H66" s="2946"/>
      <c r="I66" s="947"/>
      <c r="J66" s="2816"/>
      <c r="K66" s="3548"/>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1766</v>
      </c>
    </row>
    <row r="67" spans="1:36" ht="13.2">
      <c r="A67" s="49" t="s">
        <v>72</v>
      </c>
      <c r="B67" s="50" t="s">
        <v>1767</v>
      </c>
      <c r="C67" s="2757"/>
      <c r="D67" s="50"/>
      <c r="E67" s="52"/>
      <c r="F67" s="2951"/>
      <c r="G67" s="2951"/>
      <c r="H67" s="2946"/>
      <c r="I67" s="947"/>
      <c r="J67" s="2816"/>
      <c r="K67" s="3548"/>
      <c r="L67" s="1277" t="s">
        <v>1768</v>
      </c>
      <c r="M67" s="1277" t="b">
        <f>IF(N51&gt;1000,N51*0.1%,IF(AND(N51&gt;500,N51&lt;=1000),N51*0.5%,IF(AND(N51&gt;50,N51&lt;=500),N51*1%,IF(AND(N51&gt;1,N51&lt;=50),N51*1.5%))))</f>
        <v>0</v>
      </c>
      <c r="N67" s="235">
        <f t="shared" si="2"/>
        <v>0</v>
      </c>
      <c r="O67" s="2503" t="s">
        <v>1766</v>
      </c>
    </row>
    <row r="68" spans="1:36" ht="13.2">
      <c r="A68" s="53" t="s">
        <v>47</v>
      </c>
      <c r="B68" s="54" t="s">
        <v>1769</v>
      </c>
      <c r="C68" s="2758"/>
      <c r="D68" s="54" t="s">
        <v>41</v>
      </c>
      <c r="E68" s="1286" t="s">
        <v>1770</v>
      </c>
      <c r="F68" s="2951"/>
      <c r="G68" s="2951"/>
      <c r="H68" s="2946"/>
      <c r="I68" s="947"/>
      <c r="J68" s="2816"/>
      <c r="K68" s="3548"/>
      <c r="L68" s="1277" t="s">
        <v>1771</v>
      </c>
      <c r="M68" s="1277">
        <f>N51*0.5%</f>
        <v>0</v>
      </c>
      <c r="N68" s="235">
        <f>IF(M68&gt;0.5,0.5,ROUND(M68,0))</f>
        <v>0</v>
      </c>
      <c r="O68" s="2503" t="s">
        <v>1772</v>
      </c>
    </row>
    <row r="69" spans="1:36" ht="13.2">
      <c r="A69" s="53" t="s">
        <v>42</v>
      </c>
      <c r="B69" s="54" t="s">
        <v>1773</v>
      </c>
      <c r="C69" s="2759">
        <f>C65-C68</f>
        <v>0</v>
      </c>
      <c r="D69" s="50" t="s">
        <v>41</v>
      </c>
      <c r="E69" s="52"/>
      <c r="F69" s="2951"/>
      <c r="G69" s="2951"/>
      <c r="H69" s="2946"/>
      <c r="I69" s="947"/>
      <c r="J69" s="2816"/>
      <c r="K69" s="3548"/>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8" thickBot="1">
      <c r="A70" s="55" t="s">
        <v>46</v>
      </c>
      <c r="B70" s="56" t="s">
        <v>1775</v>
      </c>
      <c r="C70" s="2760">
        <f>IF(C69&lt;=0,0,ROUND(C69*D70,0))</f>
        <v>0</v>
      </c>
      <c r="D70" s="2212">
        <f>'数据-取费表'!E29</f>
        <v>5.6000000000000001E-2</v>
      </c>
      <c r="E70" s="57"/>
      <c r="F70" s="2951"/>
      <c r="G70" s="2951"/>
      <c r="H70" s="2946"/>
      <c r="I70" s="947"/>
      <c r="J70" s="2816"/>
      <c r="K70" s="3548"/>
      <c r="L70" s="1277" t="s">
        <v>1776</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48"/>
      <c r="L71" s="1277" t="s">
        <v>1777</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35" t="s">
        <v>1778</v>
      </c>
      <c r="B72" s="3536"/>
      <c r="C72" s="3536"/>
      <c r="D72" s="3536"/>
      <c r="E72" s="3536"/>
      <c r="F72" s="3536"/>
      <c r="G72" s="3536"/>
      <c r="H72" s="3536"/>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74" t="s">
        <v>1758</v>
      </c>
      <c r="B73" s="3475"/>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17" t="s">
        <v>1788</v>
      </c>
      <c r="F78" s="3455"/>
      <c r="G78" s="3455"/>
      <c r="H78" s="3469"/>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49" t="s">
        <v>1793</v>
      </c>
      <c r="F80" s="3450"/>
      <c r="G80" s="3450"/>
      <c r="H80" s="3451"/>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35" t="s">
        <v>1797</v>
      </c>
      <c r="B85" s="3536"/>
      <c r="C85" s="3536"/>
      <c r="D85" s="3536"/>
      <c r="E85" s="3536"/>
      <c r="F85" s="3536"/>
      <c r="G85" s="3536"/>
      <c r="H85" s="3536"/>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74" t="s">
        <v>1758</v>
      </c>
      <c r="B86" s="3475"/>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2"/>
      <c r="D90" s="2768"/>
      <c r="E90" s="74" t="s">
        <v>1800</v>
      </c>
      <c r="F90" s="2056"/>
      <c r="G90" s="75" t="s">
        <v>1801</v>
      </c>
      <c r="H90" s="1458"/>
      <c r="I90" s="608"/>
      <c r="J90" s="2848"/>
      <c r="K90" s="2943"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2"/>
      <c r="D92" s="2768"/>
      <c r="E92" s="74" t="str">
        <f>IF(H90="-","土地取得成本中已包含该笔费用"," ")</f>
        <v xml:space="preserve"> </v>
      </c>
      <c r="F92" s="2056"/>
      <c r="G92" s="3510" t="s">
        <v>2678</v>
      </c>
      <c r="H92" s="3537"/>
      <c r="I92" s="608"/>
      <c r="J92" s="2848"/>
      <c r="K92" s="2943"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49" t="s">
        <v>1805</v>
      </c>
      <c r="F93" s="3450"/>
      <c r="G93" s="3450"/>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49" t="s">
        <v>1808</v>
      </c>
      <c r="F94" s="3450"/>
      <c r="G94" s="3450"/>
      <c r="H94" s="3451"/>
      <c r="I94" s="608"/>
      <c r="J94" s="2848"/>
      <c r="K94" s="2944"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49" t="s">
        <v>1793</v>
      </c>
      <c r="F95" s="3450"/>
      <c r="G95" s="3450"/>
      <c r="H95" s="3451"/>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49" t="s">
        <v>1810</v>
      </c>
      <c r="F96" s="3450"/>
      <c r="G96" s="3450"/>
      <c r="H96" s="3451"/>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496" t="s">
        <v>1812</v>
      </c>
      <c r="B101" s="3497"/>
      <c r="C101" s="3497"/>
      <c r="D101" s="3498"/>
      <c r="E101" s="1431"/>
      <c r="F101" s="3532" t="s">
        <v>2720</v>
      </c>
      <c r="G101" s="3533"/>
      <c r="H101" s="3533"/>
      <c r="I101" s="3534"/>
      <c r="J101" s="2851"/>
    </row>
    <row r="102" spans="1:36" ht="15">
      <c r="A102" s="3508" t="s">
        <v>1814</v>
      </c>
      <c r="B102" s="3509"/>
      <c r="C102" s="2774" t="str">
        <f>C4</f>
        <v>成本法</v>
      </c>
      <c r="D102" s="2775" t="str">
        <f>D4</f>
        <v>收益法</v>
      </c>
      <c r="E102" s="1431"/>
      <c r="F102" s="3420" t="s">
        <v>2721</v>
      </c>
      <c r="G102" s="3421"/>
      <c r="H102" s="3426" t="s">
        <v>2722</v>
      </c>
      <c r="I102" s="3419"/>
      <c r="J102" s="2831"/>
    </row>
    <row r="103" spans="1:36" ht="13.2">
      <c r="A103" s="3529" t="s">
        <v>2716</v>
      </c>
      <c r="B103" s="2277" t="str">
        <f>IF(H19="元","总价（元）","总价（万元）")</f>
        <v>总价（万元）</v>
      </c>
      <c r="C103" s="1277">
        <f ca="1">C19</f>
        <v>1207</v>
      </c>
      <c r="D103" s="2778">
        <f ca="1">D19</f>
        <v>859</v>
      </c>
      <c r="E103" s="1431"/>
      <c r="F103" s="3530"/>
      <c r="G103" s="3531"/>
      <c r="H103" s="3418">
        <f>典型户型修正!B25</f>
        <v>0</v>
      </c>
      <c r="I103" s="3419"/>
      <c r="J103" s="2831"/>
    </row>
    <row r="104" spans="1:36" ht="13.2">
      <c r="A104" s="3529"/>
      <c r="B104" s="2277" t="s">
        <v>2717</v>
      </c>
      <c r="C104" s="2779">
        <f ca="1">C20</f>
        <v>56070</v>
      </c>
      <c r="D104" s="2780">
        <f ca="1">D20</f>
        <v>39894</v>
      </c>
      <c r="E104" s="1431"/>
      <c r="F104" s="3430" t="s">
        <v>2723</v>
      </c>
      <c r="G104" s="3431"/>
      <c r="H104" s="2788" t="str">
        <f>C110</f>
        <v>总价（万元）</v>
      </c>
      <c r="I104" s="2789">
        <f>H125</f>
        <v>0</v>
      </c>
      <c r="J104" s="2831"/>
    </row>
    <row r="105" spans="1:36" ht="13.2">
      <c r="A105" s="3529" t="s">
        <v>2718</v>
      </c>
      <c r="B105" s="2215" t="str">
        <f>B103</f>
        <v>总价（万元）</v>
      </c>
      <c r="C105" s="12">
        <f ca="1">ROUND(IF('数据-取费表'!B4="总价",G19,IF(H19="元",G20*'数据-取费表'!E5,G20*'数据-取费表'!E5/10000)),0)</f>
        <v>0</v>
      </c>
      <c r="D105" s="2781"/>
      <c r="E105" s="1431"/>
      <c r="F105" s="3430"/>
      <c r="G105" s="3431"/>
      <c r="H105" s="2788" t="s">
        <v>2724</v>
      </c>
      <c r="I105" s="52" t="e">
        <f>I125</f>
        <v>#DIV/0!</v>
      </c>
      <c r="J105" s="2815"/>
    </row>
    <row r="106" spans="1:36" ht="13.2">
      <c r="A106" s="3529"/>
      <c r="B106" s="2277" t="s">
        <v>2717</v>
      </c>
      <c r="C106" s="1451">
        <f ca="1">ROUND(IF('数据-取费表'!B4="楼面单价",G20,IF(H19="元",G19/'数据-取费表'!E5,G19*10000/'数据-取费表'!E5)),0)</f>
        <v>49600</v>
      </c>
      <c r="D106" s="2781"/>
      <c r="E106" s="1431"/>
      <c r="F106" s="3430"/>
      <c r="G106" s="3431"/>
      <c r="H106" s="3490"/>
      <c r="I106" s="3491"/>
      <c r="J106" s="2832"/>
    </row>
    <row r="107" spans="1:36" ht="13.2">
      <c r="A107" s="3523" t="s">
        <v>2719</v>
      </c>
      <c r="B107" s="2782" t="str">
        <f>B103</f>
        <v>总价（万元）</v>
      </c>
      <c r="C107" s="2783">
        <f>H125</f>
        <v>0</v>
      </c>
      <c r="D107" s="2784"/>
      <c r="E107" s="1431"/>
      <c r="F107" s="3494" t="s">
        <v>2725</v>
      </c>
      <c r="G107" s="3495"/>
      <c r="H107" s="2790" t="str">
        <f>C112</f>
        <v>总额（万元）</v>
      </c>
      <c r="I107" s="2789">
        <f>SUMIF(I108:I110,"&lt;9E307")</f>
        <v>0</v>
      </c>
      <c r="J107" s="2831"/>
    </row>
    <row r="108" spans="1:36" ht="14.4" thickBot="1">
      <c r="A108" s="3489"/>
      <c r="B108" s="2785" t="s">
        <v>2717</v>
      </c>
      <c r="C108" s="2786" t="e">
        <f>I125</f>
        <v>#DIV/0!</v>
      </c>
      <c r="D108" s="2787"/>
      <c r="E108" s="1431"/>
      <c r="F108" s="3432" t="s">
        <v>2726</v>
      </c>
      <c r="G108" s="3433"/>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3.8">
      <c r="A109" s="3526" t="s">
        <v>1815</v>
      </c>
      <c r="B109" s="3527"/>
      <c r="C109" s="3527"/>
      <c r="D109" s="3528"/>
      <c r="E109" s="1431"/>
      <c r="F109" s="3432" t="s">
        <v>2727</v>
      </c>
      <c r="G109" s="3433"/>
      <c r="H109" s="2790" t="str">
        <f>C114</f>
        <v>总额（万元）</v>
      </c>
      <c r="I109" s="52">
        <f>C39</f>
        <v>0</v>
      </c>
      <c r="J109" s="2815"/>
    </row>
    <row r="110" spans="1:36" ht="13.2">
      <c r="A110" s="3430" t="s">
        <v>2730</v>
      </c>
      <c r="B110" s="3431"/>
      <c r="C110" s="2788" t="str">
        <f>B103</f>
        <v>总价（万元）</v>
      </c>
      <c r="D110" s="2789">
        <f>H125</f>
        <v>0</v>
      </c>
      <c r="E110" s="1431"/>
      <c r="F110" s="3432" t="s">
        <v>2728</v>
      </c>
      <c r="G110" s="3433"/>
      <c r="H110" s="2790" t="str">
        <f>C115</f>
        <v>总额（万元）</v>
      </c>
      <c r="I110" s="52">
        <f>C40</f>
        <v>0</v>
      </c>
      <c r="J110" s="2815"/>
    </row>
    <row r="111" spans="1:36" ht="13.2">
      <c r="A111" s="3430"/>
      <c r="B111" s="3431"/>
      <c r="C111" s="2788" t="s">
        <v>2731</v>
      </c>
      <c r="D111" s="52" t="e">
        <f>I125</f>
        <v>#DIV/0!</v>
      </c>
      <c r="E111" s="1431"/>
      <c r="F111" s="3430"/>
      <c r="G111" s="3431"/>
      <c r="H111" s="3492"/>
      <c r="I111" s="3493"/>
      <c r="J111" s="2833"/>
    </row>
    <row r="112" spans="1:36" ht="28.5" customHeight="1">
      <c r="A112" s="3437" t="s">
        <v>2725</v>
      </c>
      <c r="B112" s="3438"/>
      <c r="C112" s="2790" t="str">
        <f>IF(H19="元","总额（元）","总额（万元）")</f>
        <v>总额（万元）</v>
      </c>
      <c r="D112" s="2789">
        <f>IF(D38="正常操作",I108+I109+I110,I109+I110)</f>
        <v>0</v>
      </c>
      <c r="E112" s="1431"/>
      <c r="F112" s="3422" t="str">
        <f>IF(项目基本情况!F5="已注销","——","3.房地产抵押价值")</f>
        <v>3.房地产抵押价值</v>
      </c>
      <c r="G112" s="3423"/>
      <c r="H112" s="1451" t="str">
        <f>C116</f>
        <v>总价（万元）</v>
      </c>
      <c r="I112" s="2789">
        <f>IF(F112="——","——",I104-I107)</f>
        <v>0</v>
      </c>
      <c r="J112" s="2831"/>
    </row>
    <row r="113" spans="1:27" ht="13.2">
      <c r="A113" s="3432" t="s">
        <v>2732</v>
      </c>
      <c r="B113" s="3433"/>
      <c r="C113" s="2790" t="str">
        <f>C112</f>
        <v>总额（万元）</v>
      </c>
      <c r="D113" s="52">
        <f>IF(D38="同一抵押权人同一抵押物续贷",C38&amp;"（未扣减，详见特别提示）",C38)</f>
        <v>0</v>
      </c>
      <c r="E113" s="1431"/>
      <c r="F113" s="3521"/>
      <c r="G113" s="3522"/>
      <c r="H113" s="2788" t="s">
        <v>2724</v>
      </c>
      <c r="I113" s="2792" t="e">
        <f>D117</f>
        <v>#DIV/0!</v>
      </c>
      <c r="J113" s="2834"/>
    </row>
    <row r="114" spans="1:27" ht="13.2">
      <c r="A114" s="3432" t="s">
        <v>2733</v>
      </c>
      <c r="B114" s="3433"/>
      <c r="C114" s="2790"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89" t="str">
        <f>IF(F114="——","——",I104-I109-I110)</f>
        <v>——</v>
      </c>
      <c r="J114" s="2831"/>
    </row>
    <row r="115" spans="1:27" ht="13.2">
      <c r="A115" s="3432" t="s">
        <v>2734</v>
      </c>
      <c r="B115" s="3433"/>
      <c r="C115" s="2790" t="str">
        <f>C112</f>
        <v>总额（万元）</v>
      </c>
      <c r="D115" s="52">
        <f>C40</f>
        <v>0</v>
      </c>
      <c r="E115" s="1431"/>
      <c r="F115" s="3521"/>
      <c r="G115" s="3522"/>
      <c r="H115" s="2788" t="s">
        <v>2724</v>
      </c>
      <c r="I115" s="52" t="str">
        <f>D119</f>
        <v>——</v>
      </c>
      <c r="J115" s="2815"/>
    </row>
    <row r="116" spans="1:27" ht="13.2">
      <c r="A116" s="3430" t="str">
        <f>IF(项目基本情况!F5="已注销","——","3.房地产抵押价值")</f>
        <v>3.房地产抵押价值</v>
      </c>
      <c r="B116" s="3431"/>
      <c r="C116" s="2788" t="str">
        <f>B103</f>
        <v>总价（万元）</v>
      </c>
      <c r="D116" s="2789">
        <f>IF(A116="——","——",D110-D112)</f>
        <v>0</v>
      </c>
      <c r="E116" s="1431"/>
      <c r="F116" s="3422" t="str">
        <f>IF(项目基本情况!G5="抵押净值",IF(OR(项目基本情况!F5="已注销",项目基本情况!F5="房地产抵押价值"),"4.抵押净值","5.抵押净值"),"——")</f>
        <v>——</v>
      </c>
      <c r="G116" s="3423"/>
      <c r="H116" s="2788" t="str">
        <f>C120</f>
        <v>总价（万元）</v>
      </c>
      <c r="I116" s="2789" t="str">
        <f>IF(F116="——","——",O61)</f>
        <v>——</v>
      </c>
      <c r="J116" s="2831"/>
    </row>
    <row r="117" spans="1:27" ht="13.8" thickBot="1">
      <c r="A117" s="3430"/>
      <c r="B117" s="3431"/>
      <c r="C117" s="2788" t="s">
        <v>2731</v>
      </c>
      <c r="D117" s="52" t="e">
        <f>ROUND(IF(D116=D110,D111,IF(H19="元",D116/B125,D116*10000/B125)),0)</f>
        <v>#DIV/0!</v>
      </c>
      <c r="E117" s="1431"/>
      <c r="F117" s="3424"/>
      <c r="G117" s="3425"/>
      <c r="H117" s="2793" t="s">
        <v>2724</v>
      </c>
      <c r="I117" s="2777" t="str">
        <f>D121</f>
        <v>——</v>
      </c>
      <c r="J117" s="2815"/>
    </row>
    <row r="118" spans="1:27" ht="15.6">
      <c r="A118" s="3430" t="str">
        <f>IF(项目基本情况!F5="已注销及未注销","4.抵押担保权已注销时的房地产抵押价值",IF(项目基本情况!F5="已注销","3.抵押担保权已注销时的房地产抵押价值","——"))</f>
        <v>——</v>
      </c>
      <c r="B118" s="3431"/>
      <c r="C118" s="2788" t="str">
        <f>B103</f>
        <v>总价（万元）</v>
      </c>
      <c r="D118" s="2789" t="str">
        <f>IF(A118="——","——",D110-D114-D115)</f>
        <v>——</v>
      </c>
      <c r="E118" s="1431"/>
      <c r="F118" s="3516"/>
      <c r="G118" s="3516"/>
      <c r="H118" s="3480"/>
      <c r="I118" s="3480"/>
      <c r="J118" s="2835"/>
      <c r="O118" s="32"/>
      <c r="P118" s="32"/>
    </row>
    <row r="119" spans="1:27" s="1278" customFormat="1" ht="13.2">
      <c r="A119" s="3430"/>
      <c r="B119" s="3431"/>
      <c r="C119" s="2788" t="s">
        <v>2731</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30" t="str">
        <f>IF(项目基本情况!G5="抵押净值",IF(OR(项目基本情况!F5="已注销",项目基本情况!F5="房地产抵押价值"),"4.抵押净值","5.抵押净值"),"——")</f>
        <v>——</v>
      </c>
      <c r="B120" s="3431"/>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435"/>
      <c r="B121" s="3436"/>
      <c r="C121" s="2793" t="s">
        <v>2731</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81" t="s">
        <v>1854</v>
      </c>
      <c r="B122" s="3482"/>
      <c r="C122" s="3482"/>
      <c r="D122" s="3482"/>
      <c r="E122" s="3482"/>
      <c r="F122" s="3482"/>
      <c r="G122" s="3482"/>
      <c r="H122" s="3482"/>
      <c r="I122" s="3482"/>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15" t="s">
        <v>2735</v>
      </c>
      <c r="B123" s="3441" t="s">
        <v>2736</v>
      </c>
      <c r="C123" s="3441" t="s">
        <v>2742</v>
      </c>
      <c r="D123" s="3503" t="s">
        <v>2737</v>
      </c>
      <c r="E123" s="3504"/>
      <c r="F123" s="3416" t="s">
        <v>2743</v>
      </c>
      <c r="G123" s="3416"/>
      <c r="H123" s="3416" t="s">
        <v>2738</v>
      </c>
      <c r="I123" s="3502"/>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15"/>
      <c r="B124" s="3442"/>
      <c r="C124" s="3442"/>
      <c r="D124" s="2062" t="s">
        <v>2739</v>
      </c>
      <c r="E124" s="2062" t="s">
        <v>2744</v>
      </c>
      <c r="F124" s="2062" t="s">
        <v>2739</v>
      </c>
      <c r="G124" s="2062" t="s">
        <v>2740</v>
      </c>
      <c r="H124" s="2062" t="s">
        <v>2739</v>
      </c>
      <c r="I124" s="52" t="s">
        <v>2740</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15" t="s">
        <v>2741</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20" t="str">
        <f>IF(项目基本情况!D5="房地产市场价值","——",MID(A112,3,LEN(A112)-2))</f>
        <v>估价师所知悉的法定优先受偿款</v>
      </c>
      <c r="B127" s="3426"/>
      <c r="C127" s="3421"/>
      <c r="D127" s="3418">
        <f>I107</f>
        <v>0</v>
      </c>
      <c r="E127" s="3426"/>
      <c r="F127" s="3426"/>
      <c r="G127" s="3426"/>
      <c r="H127" s="3426"/>
      <c r="I127" s="3419"/>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87" t="s">
        <v>2741</v>
      </c>
      <c r="B128" s="3455"/>
      <c r="C128" s="3456"/>
      <c r="D128" s="3427">
        <f>H111</f>
        <v>0</v>
      </c>
      <c r="E128" s="3428"/>
      <c r="F128" s="3428"/>
      <c r="G128" s="3428"/>
      <c r="H128" s="3428"/>
      <c r="I128" s="3429"/>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30" t="str">
        <f>IF(项目基本情况!D5="房地产市场价值","——",MID(A116,3,LEN(A116)-2))</f>
        <v>房地产抵押价值</v>
      </c>
      <c r="B129" s="3431"/>
      <c r="C129" s="3431"/>
      <c r="D129" s="3418">
        <f>I112</f>
        <v>0</v>
      </c>
      <c r="E129" s="3426"/>
      <c r="F129" s="3426"/>
      <c r="G129" s="3426"/>
      <c r="H129" s="3426"/>
      <c r="I129" s="3419"/>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15" t="s">
        <v>2741</v>
      </c>
      <c r="B130" s="3416"/>
      <c r="C130" s="3416"/>
      <c r="D130" s="3427" t="e">
        <f>I113</f>
        <v>#DIV/0!</v>
      </c>
      <c r="E130" s="3428"/>
      <c r="F130" s="3428"/>
      <c r="G130" s="3428"/>
      <c r="H130" s="3428"/>
      <c r="I130" s="3429"/>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30" t="str">
        <f>IF(项目基本情况!D5="房地产市场价值","——",MID(A118,3,LEN(A118)-2))</f>
        <v/>
      </c>
      <c r="B131" s="3431"/>
      <c r="C131" s="3431"/>
      <c r="D131" s="3463" t="str">
        <f>I114</f>
        <v>——</v>
      </c>
      <c r="E131" s="3464"/>
      <c r="F131" s="3464"/>
      <c r="G131" s="3464"/>
      <c r="H131" s="3464"/>
      <c r="I131" s="3515"/>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15" t="s">
        <v>2741</v>
      </c>
      <c r="B132" s="3416"/>
      <c r="C132" s="3417"/>
      <c r="D132" s="3479" t="str">
        <f>I115</f>
        <v>——</v>
      </c>
      <c r="E132" s="3479"/>
      <c r="F132" s="3479"/>
      <c r="G132" s="3479"/>
      <c r="H132" s="3479"/>
      <c r="I132" s="3479"/>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30" t="str">
        <f>IF(项目基本情况!D5="房地产市场价值","——",MID(F116,3,LEN(F116)-2))</f>
        <v/>
      </c>
      <c r="B133" s="3431"/>
      <c r="C133" s="3418"/>
      <c r="D133" s="3434" t="str">
        <f>I116</f>
        <v>——</v>
      </c>
      <c r="E133" s="3434"/>
      <c r="F133" s="3434"/>
      <c r="G133" s="3434"/>
      <c r="H133" s="3434"/>
      <c r="I133" s="3434"/>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439" t="s">
        <v>2741</v>
      </c>
      <c r="B134" s="3440"/>
      <c r="C134" s="3440"/>
      <c r="D134" s="3445">
        <f>H118</f>
        <v>0</v>
      </c>
      <c r="E134" s="3446"/>
      <c r="F134" s="3446"/>
      <c r="G134" s="3446"/>
      <c r="H134" s="3446"/>
      <c r="I134" s="3447"/>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42" sqref="N42"/>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1207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56070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7928059</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7651632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233375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43052</v>
      </c>
      <c r="D8" s="1141"/>
      <c r="E8" s="115"/>
      <c r="F8" s="1140"/>
      <c r="G8" s="1488" t="s">
        <v>2999</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43052</v>
      </c>
      <c r="D10" s="1143">
        <f>IF('数据-取费表'!B10&lt;&gt;"住宅",IF(B1="仅计算典型户型",'数据-取费表'!E5,'数据-取费表'!B5),0)</f>
        <v>215.26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215.26</v>
      </c>
      <c r="E19" s="111">
        <f>'数据-取费表'!E15</f>
        <v>200</v>
      </c>
      <c r="F19" s="112"/>
      <c r="G19" s="1488" t="s">
        <v>3000</v>
      </c>
    </row>
    <row r="20" spans="1:123" s="91" customFormat="1" ht="13.5" customHeight="1">
      <c r="A20" s="120" t="s">
        <v>1884</v>
      </c>
      <c r="B20" s="89" t="s">
        <v>1885</v>
      </c>
      <c r="C20" s="99">
        <f>ROUND((C5+C19)*F20,0)</f>
        <v>158561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686602</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679942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6660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1617324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1617324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11270795</v>
      </c>
      <c r="D31" s="1146"/>
      <c r="E31" s="111"/>
      <c r="F31" s="1147"/>
      <c r="G31" s="100" t="s">
        <v>1911</v>
      </c>
    </row>
    <row r="32" spans="1:123" s="88" customFormat="1" ht="16.2">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830365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753410</v>
      </c>
      <c r="D34" s="1138"/>
      <c r="E34" s="115"/>
      <c r="F34" s="1149" t="str">
        <f>IF('数据-取费表'!B26=0,"",'数据-取费表'!E20)</f>
        <v/>
      </c>
      <c r="G34" s="95"/>
    </row>
    <row r="35" spans="1:123" ht="13.5" customHeight="1">
      <c r="A35" s="92" t="s">
        <v>1867</v>
      </c>
      <c r="B35" s="93" t="s">
        <v>1916</v>
      </c>
      <c r="C35" s="115">
        <f>ROUND(C34*F35,0)</f>
        <v>22602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43052</v>
      </c>
      <c r="D37" s="1138">
        <f>IF(B1="仅计算典型户型",'数据-取费表'!E5,'数据-取费表'!B5)</f>
        <v>215.26</v>
      </c>
      <c r="E37" s="115">
        <f>'数据-取费表'!E23</f>
        <v>200</v>
      </c>
      <c r="F37" s="1150"/>
      <c r="G37" s="124" t="s">
        <v>1921</v>
      </c>
    </row>
    <row r="38" spans="1:123" ht="13.5" customHeight="1">
      <c r="A38" s="92" t="s">
        <v>1922</v>
      </c>
      <c r="B38" s="93" t="s">
        <v>1923</v>
      </c>
      <c r="C38" s="115">
        <f>ROUND(C34*F38,0)</f>
        <v>11301</v>
      </c>
      <c r="D38" s="115"/>
      <c r="E38" s="115"/>
      <c r="F38" s="1150">
        <f>'数据-取费表'!E24</f>
        <v>1.4999999999999999E-2</v>
      </c>
      <c r="G38" s="95" t="s">
        <v>1917</v>
      </c>
    </row>
    <row r="39" spans="1:123" s="91" customFormat="1" ht="13.5" customHeight="1">
      <c r="A39" s="120" t="s">
        <v>1882</v>
      </c>
      <c r="B39" s="89" t="s">
        <v>1885</v>
      </c>
      <c r="C39" s="99">
        <f>ROUND(C33*F20,0)</f>
        <v>16607</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35572</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34875</v>
      </c>
      <c r="D42" s="104"/>
      <c r="E42" s="104"/>
      <c r="F42" s="105"/>
      <c r="G42" s="3552" t="s">
        <v>1927</v>
      </c>
    </row>
    <row r="43" spans="1:123" ht="13.5" customHeight="1">
      <c r="A43" s="92" t="s">
        <v>1867</v>
      </c>
      <c r="B43" s="93" t="s">
        <v>1896</v>
      </c>
      <c r="C43" s="104">
        <f ca="1">ROUND(IF('数据-取费表'!B24&lt;=1,C39*F22*'数据-取费表'!B23/2,C39*(POWER((1+F22),'数据-取费表'!B23/2)-1)),0)</f>
        <v>697</v>
      </c>
      <c r="D43" s="104"/>
      <c r="E43" s="104"/>
      <c r="F43" s="105"/>
      <c r="G43" s="3553"/>
    </row>
    <row r="44" spans="1:123" ht="13.5" customHeight="1">
      <c r="A44" s="92" t="s">
        <v>1869</v>
      </c>
      <c r="B44" s="93" t="s">
        <v>1898</v>
      </c>
      <c r="C44" s="104">
        <f ca="1">ROUND(IF('数据-取费表'!B24&lt;=1,C40*F22*'数据-取费表'!B23/2,C40*(POWER((1+F22),'数据-取费表'!B23/2)-1)),4)</f>
        <v>8.0000000000000004E-4</v>
      </c>
      <c r="D44" s="104"/>
      <c r="E44" s="104"/>
      <c r="F44" s="105"/>
      <c r="G44" s="3554"/>
    </row>
    <row r="45" spans="1:123" s="91" customFormat="1" ht="13.5" customHeight="1">
      <c r="A45" s="120" t="s">
        <v>1891</v>
      </c>
      <c r="B45" s="110" t="s">
        <v>1903</v>
      </c>
      <c r="C45" s="111">
        <f>C46</f>
        <v>169394</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169394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1141054</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798738</v>
      </c>
      <c r="D51" s="99"/>
      <c r="E51" s="99"/>
      <c r="F51" s="126"/>
      <c r="G51" s="100" t="s">
        <v>1941</v>
      </c>
    </row>
    <row r="52" spans="1:123" s="88" customFormat="1" ht="16.8" thickBot="1">
      <c r="A52" s="127" t="s">
        <v>1942</v>
      </c>
      <c r="B52" s="128"/>
      <c r="C52" s="129">
        <f ca="1">C31+C51</f>
        <v>12069533</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6.6000000000000003E-2</v>
      </c>
    </row>
    <row r="57" spans="1:123">
      <c r="B57" s="135" t="s">
        <v>1945</v>
      </c>
      <c r="C57" s="137">
        <f ca="1">1-C56</f>
        <v>0.93399999999999994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-43052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-43052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-861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-8783</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-8783</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42676</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70" zoomScaleNormal="60" zoomScaleSheetLayoutView="70" workbookViewId="0">
      <selection activeCell="E31" sqref="E3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2690</v>
      </c>
      <c r="E1" s="1596" t="s">
        <v>1183</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859</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39894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601811</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601060</v>
      </c>
      <c r="D6" s="36" t="s">
        <v>2643</v>
      </c>
      <c r="E6" s="235" t="s">
        <v>1958</v>
      </c>
      <c r="F6" s="236">
        <f>'数据-取费表'!B30</f>
        <v>8.5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215.26</v>
      </c>
      <c r="G7" s="951"/>
      <c r="H7" s="237"/>
      <c r="I7" s="238"/>
      <c r="J7" s="239"/>
      <c r="K7" s="240"/>
      <c r="L7" s="235" t="s">
        <v>1959</v>
      </c>
      <c r="M7" s="236">
        <f>IF('数据-取费表'!B42="",IF(D1="仅计算典型户型",'数据-取费表'!E5,'数据-取费表'!B5),'数据-取费表'!B42)</f>
        <v>215.26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751</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798738</v>
      </c>
      <c r="D13" s="1065" t="s">
        <v>1973</v>
      </c>
      <c r="E13" s="1065" t="s">
        <v>1974</v>
      </c>
      <c r="F13" s="1066">
        <f>'数据-取费表'!E20</f>
        <v>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753410</v>
      </c>
      <c r="D14" s="1298" t="s">
        <v>1977</v>
      </c>
      <c r="E14" s="1299"/>
      <c r="F14" s="799"/>
      <c r="G14" s="952"/>
      <c r="H14" s="253" t="s">
        <v>1956</v>
      </c>
      <c r="I14" s="235" t="s">
        <v>1978</v>
      </c>
      <c r="J14" s="13">
        <f ca="1">C29</f>
        <v>1141054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22602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17116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43052</v>
      </c>
      <c r="D17" s="235" t="s">
        <v>1991</v>
      </c>
      <c r="E17" s="235" t="s">
        <v>1992</v>
      </c>
      <c r="F17" s="15">
        <f>'数据-取费表'!E23</f>
        <v>200</v>
      </c>
      <c r="G17" s="952"/>
      <c r="H17" s="253" t="s">
        <v>1993</v>
      </c>
      <c r="I17" s="235" t="s">
        <v>1994</v>
      </c>
      <c r="J17" s="2796">
        <f>ROUND(IF(AND(项目基本情况!B7="自然人",项目基本情况!B6="北京市"),J6*M17/(1+'数据-取费表'!F30),J18+J19+J20),0)</f>
        <v>0</v>
      </c>
      <c r="K17" s="1298" t="s">
        <v>1995</v>
      </c>
      <c r="L17" s="1301" t="s">
        <v>1996</v>
      </c>
      <c r="M17" s="279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11301</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830365</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16607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17116</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35572</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-17116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169394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1141054</v>
      </c>
      <c r="D29" s="1076"/>
      <c r="E29" s="1074"/>
      <c r="F29" s="1077"/>
      <c r="G29" s="652"/>
      <c r="H29" s="271" t="s">
        <v>24</v>
      </c>
      <c r="I29" s="272" t="s">
        <v>2051</v>
      </c>
      <c r="J29" s="273">
        <f ca="1">ROUND(J26/(1+F40)^F41,0)</f>
        <v>0</v>
      </c>
      <c r="K29" s="274" t="s">
        <v>2052</v>
      </c>
      <c r="L29" s="275"/>
      <c r="M29" s="276">
        <f>IF(D1="仅计算典型户型",'数据-取费表'!E5,'数据-取费表'!B5)</f>
        <v>215.26</v>
      </c>
    </row>
    <row r="30" spans="1:37" ht="18" customHeight="1" thickTop="1">
      <c r="A30" s="1063" t="s">
        <v>14</v>
      </c>
      <c r="B30" s="1064" t="s">
        <v>2053</v>
      </c>
      <c r="C30" s="243">
        <f ca="1">ROUND(C31+C36+C37+C38,0)</f>
        <v>64403</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40071</v>
      </c>
      <c r="D31" s="1298" t="s">
        <v>2055</v>
      </c>
      <c r="E31" s="1301" t="s">
        <v>2056</v>
      </c>
      <c r="F31" s="279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17116</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1198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6018</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537408</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8505272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21</v>
      </c>
      <c r="H41" s="950"/>
      <c r="I41" s="135" t="s">
        <v>1944</v>
      </c>
      <c r="J41" s="136">
        <f ca="1">ROUND(C13/C40,3)</f>
        <v>9.4E-2</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0.90600000000000003</v>
      </c>
      <c r="K42" s="947"/>
      <c r="L42" s="950"/>
      <c r="M42" s="950"/>
      <c r="Q42" s="656"/>
    </row>
    <row r="43" spans="1:18" s="652" customFormat="1" ht="18" customHeight="1" thickBot="1">
      <c r="A43" s="271" t="s">
        <v>24</v>
      </c>
      <c r="B43" s="272" t="s">
        <v>2073</v>
      </c>
      <c r="C43" s="273">
        <f ca="1">ROUND(C40/F43,0)</f>
        <v>39512</v>
      </c>
      <c r="D43" s="274" t="s">
        <v>2074</v>
      </c>
      <c r="E43" s="275" t="s">
        <v>2075</v>
      </c>
      <c r="F43" s="276">
        <f>IF(D1="仅计算典型户型",'数据-取费表'!E5,'数据-取费表'!B5)</f>
        <v>215.26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8505272</v>
      </c>
      <c r="R45" s="1050" t="s">
        <v>2082</v>
      </c>
    </row>
    <row r="46" spans="1:18" s="652" customFormat="1" ht="18" customHeight="1" thickBot="1">
      <c r="A46" s="649"/>
      <c r="D46" s="649"/>
      <c r="E46" s="649"/>
      <c r="F46" s="649"/>
      <c r="K46" s="653"/>
      <c r="O46" s="1047" t="s">
        <v>950</v>
      </c>
      <c r="P46" s="1048" t="s">
        <v>2083</v>
      </c>
      <c r="Q46" s="1049">
        <f ca="1">J61</f>
        <v>82289</v>
      </c>
      <c r="R46" s="1050" t="s">
        <v>2084</v>
      </c>
    </row>
    <row r="47" spans="1:18" s="652" customFormat="1" ht="22.2" thickBot="1">
      <c r="A47" s="1497" t="s">
        <v>2085</v>
      </c>
      <c r="C47" s="992">
        <f ca="1">IF(C2="元",C69-C40,ROUND((C69-C40)/10000,0))</f>
        <v>-873</v>
      </c>
      <c r="D47" s="1498" t="str">
        <f>C2</f>
        <v>万元</v>
      </c>
      <c r="E47" s="649"/>
      <c r="F47" s="649"/>
      <c r="I47" s="1499" t="s">
        <v>2086</v>
      </c>
      <c r="J47" s="1023"/>
      <c r="K47" s="1024"/>
      <c r="L47" s="1037">
        <f ca="1">IF(M48="住宅",0,IF(L49&gt;J52,L61,J61))</f>
        <v>82289</v>
      </c>
      <c r="O47" s="1051" t="s">
        <v>951</v>
      </c>
      <c r="P47" s="1048" t="s">
        <v>2087</v>
      </c>
      <c r="Q47" s="1049">
        <f ca="1">C29</f>
        <v>1141054</v>
      </c>
      <c r="R47" s="1050" t="s">
        <v>2082</v>
      </c>
    </row>
    <row r="48" spans="1:18" s="652" customFormat="1" ht="16.2" thickBot="1">
      <c r="A48" s="228" t="s">
        <v>2088</v>
      </c>
      <c r="B48" s="229" t="s">
        <v>2089</v>
      </c>
      <c r="C48" s="229" t="s">
        <v>2090</v>
      </c>
      <c r="D48" s="229" t="s">
        <v>2091</v>
      </c>
      <c r="E48" s="986" t="s">
        <v>2092</v>
      </c>
      <c r="F48" s="987"/>
      <c r="I48" s="1500" t="s">
        <v>2093</v>
      </c>
      <c r="J48" s="1501" t="s">
        <v>2988</v>
      </c>
      <c r="K48" s="1502" t="s">
        <v>2094</v>
      </c>
      <c r="L48" s="1025">
        <f>'数据-取费表'!B11</f>
        <v>40</v>
      </c>
      <c r="M48" s="1038" t="str">
        <f>IF('数据-取费表'!B10="住宅","住宅","非住宅")</f>
        <v>非住宅</v>
      </c>
      <c r="O48" s="1051" t="s">
        <v>952</v>
      </c>
      <c r="P48" s="1048" t="s">
        <v>2095</v>
      </c>
      <c r="Q48" s="1052">
        <f>J59</f>
        <v>0.4</v>
      </c>
      <c r="R48" s="1050"/>
    </row>
    <row r="49" spans="1:18" s="652" customFormat="1" ht="16.2" thickBot="1">
      <c r="A49" s="1098" t="s">
        <v>963</v>
      </c>
      <c r="B49" s="233" t="s">
        <v>2096</v>
      </c>
      <c r="C49" s="1099">
        <f ca="1">C50+C54+C56</f>
        <v>0</v>
      </c>
      <c r="D49" s="1100"/>
      <c r="E49" s="44"/>
      <c r="F49" s="15"/>
      <c r="I49" s="1503" t="s">
        <v>2097</v>
      </c>
      <c r="J49" s="1504" t="s">
        <v>2989</v>
      </c>
      <c r="K49" s="1505" t="s">
        <v>2098</v>
      </c>
      <c r="L49" s="863">
        <f>'数据-取费表'!B13</f>
        <v>21</v>
      </c>
      <c r="O49" s="1051" t="s">
        <v>953</v>
      </c>
      <c r="P49" s="1048" t="s">
        <v>2099</v>
      </c>
      <c r="Q49" s="1052">
        <f>J53</f>
        <v>8.5000000000000006E-2</v>
      </c>
      <c r="R49" s="1050"/>
    </row>
    <row r="50" spans="1:18" s="652" customFormat="1" ht="16.2" thickBot="1">
      <c r="A50" s="260" t="s">
        <v>1956</v>
      </c>
      <c r="B50" s="1412" t="s">
        <v>2100</v>
      </c>
      <c r="C50" s="234">
        <f>ROUND(F50*F52*F51*(1-F53),0)</f>
        <v>0</v>
      </c>
      <c r="D50" s="42" t="s">
        <v>2644</v>
      </c>
      <c r="E50" s="1506" t="s">
        <v>2101</v>
      </c>
      <c r="F50" s="988"/>
      <c r="I50" s="1503" t="s">
        <v>2102</v>
      </c>
      <c r="J50" s="863">
        <f>'数据-取费表'!B27</f>
        <v>2004</v>
      </c>
      <c r="K50" s="1507" t="s">
        <v>2103</v>
      </c>
      <c r="L50" s="1026"/>
      <c r="O50" s="1051" t="s">
        <v>954</v>
      </c>
      <c r="P50" s="1048" t="s">
        <v>2104</v>
      </c>
      <c r="Q50" s="1049">
        <f>J54</f>
        <v>21</v>
      </c>
      <c r="R50" s="1050" t="s">
        <v>2105</v>
      </c>
    </row>
    <row r="51" spans="1:18" s="652" customFormat="1" ht="16.2" thickBot="1">
      <c r="A51" s="237"/>
      <c r="B51" s="238"/>
      <c r="C51" s="239"/>
      <c r="D51" s="240"/>
      <c r="E51" s="255" t="s">
        <v>1959</v>
      </c>
      <c r="F51" s="985">
        <f>F7</f>
        <v>215.26</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859</v>
      </c>
      <c r="R51" s="1050" t="s">
        <v>956</v>
      </c>
    </row>
    <row r="52" spans="1:18" s="652" customFormat="1" ht="16.2" thickBot="1">
      <c r="A52" s="237"/>
      <c r="B52" s="238"/>
      <c r="C52" s="239"/>
      <c r="D52" s="240"/>
      <c r="E52" s="235" t="s">
        <v>1961</v>
      </c>
      <c r="F52" s="236">
        <f>F8</f>
        <v>365</v>
      </c>
      <c r="I52" s="1508" t="s">
        <v>2108</v>
      </c>
      <c r="J52" s="1028">
        <f>IF(J50="",J51,J50+J51-YEAR('数据-取费表'!B2))</f>
        <v>42</v>
      </c>
      <c r="K52" s="1509" t="s">
        <v>2109</v>
      </c>
      <c r="L52" s="1029">
        <f ca="1">ROUND(-PV('数据-取费表'!B15,J52,(C40-C13*J35)),0)</f>
        <v>148189120</v>
      </c>
      <c r="O52" s="1041" t="s">
        <v>2110</v>
      </c>
      <c r="P52" s="1042"/>
      <c r="Q52" s="1038"/>
      <c r="R52" s="1042"/>
    </row>
    <row r="53" spans="1:18" s="652" customFormat="1" ht="16.2" thickBot="1">
      <c r="A53" s="241"/>
      <c r="B53" s="242"/>
      <c r="C53" s="243"/>
      <c r="D53" s="244"/>
      <c r="E53" s="235" t="s">
        <v>1962</v>
      </c>
      <c r="F53" s="1036"/>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v>
      </c>
      <c r="K54" s="3555" t="s">
        <v>2642</v>
      </c>
      <c r="L54" s="3556"/>
      <c r="O54" s="1047" t="s">
        <v>949</v>
      </c>
      <c r="P54" s="1048" t="s">
        <v>2081</v>
      </c>
      <c r="Q54" s="1049">
        <f ca="1">C40+J29</f>
        <v>8505272</v>
      </c>
      <c r="R54" s="1050" t="s">
        <v>2082</v>
      </c>
    </row>
    <row r="55" spans="1:18" s="652" customFormat="1" ht="19.2"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2" thickBot="1">
      <c r="A56" s="1067" t="s">
        <v>1970</v>
      </c>
      <c r="B56" s="1495" t="s">
        <v>1971</v>
      </c>
      <c r="C56" s="1068"/>
      <c r="D56" s="1084"/>
      <c r="E56" s="1514"/>
      <c r="F56" s="1123"/>
      <c r="I56" s="1515" t="s">
        <v>2115</v>
      </c>
      <c r="J56" s="1290">
        <f>ROUND(IF(J48="钢混",J58/J51,1-(1-2%)*(J51-J58)/J51),3)</f>
        <v>0.35</v>
      </c>
      <c r="K56" s="1516" t="s">
        <v>2116</v>
      </c>
      <c r="L56" s="1032" t="s">
        <v>3038</v>
      </c>
      <c r="O56" s="1051" t="s">
        <v>951</v>
      </c>
      <c r="P56" s="1048" t="s">
        <v>2117</v>
      </c>
      <c r="Q56" s="1049">
        <f>IF(L56="比较法",L50,IF(L56="基准地价",L51,0))</f>
        <v>0</v>
      </c>
      <c r="R56" s="1050" t="s">
        <v>2082</v>
      </c>
    </row>
    <row r="57" spans="1:18" s="652" customFormat="1" ht="48" thickTop="1" thickBot="1">
      <c r="A57" s="1063">
        <v>2</v>
      </c>
      <c r="B57" s="1064" t="s">
        <v>1972</v>
      </c>
      <c r="C57" s="1122">
        <f ca="1">C13</f>
        <v>798738</v>
      </c>
      <c r="D57" s="983"/>
      <c r="E57" s="984"/>
      <c r="F57" s="991"/>
      <c r="I57" s="1517" t="s">
        <v>2118</v>
      </c>
      <c r="J57" s="1035" t="s">
        <v>3037</v>
      </c>
      <c r="K57" s="1503" t="s">
        <v>2119</v>
      </c>
      <c r="L57" s="863" t="str">
        <f>IF(L49&lt;J52,"——",L49-J52)</f>
        <v>——</v>
      </c>
      <c r="O57" s="1051" t="s">
        <v>952</v>
      </c>
      <c r="P57" s="1048" t="s">
        <v>2120</v>
      </c>
      <c r="Q57" s="1052">
        <f>L53</f>
        <v>0</v>
      </c>
      <c r="R57" s="1050"/>
    </row>
    <row r="58" spans="1:18" s="652" customFormat="1" ht="31.8" thickBot="1">
      <c r="A58" s="990"/>
      <c r="B58" s="235" t="s">
        <v>2050</v>
      </c>
      <c r="C58" s="104">
        <f ca="1">C29</f>
        <v>1141054</v>
      </c>
      <c r="D58" s="983"/>
      <c r="E58" s="984"/>
      <c r="F58" s="991"/>
      <c r="I58" s="1518" t="s">
        <v>2121</v>
      </c>
      <c r="J58" s="1034">
        <f>IF(OR(M48="住宅",J52&lt;L49,J57="是"),"——",J52-L49)</f>
        <v>21</v>
      </c>
      <c r="K58" s="1503" t="s">
        <v>2122</v>
      </c>
      <c r="L58" s="863" t="str">
        <f>IF(L49&lt;J52,"——",IF(L56="比较法",L50,IF(L56="基准地价",L51,L52)))</f>
        <v>——</v>
      </c>
      <c r="O58" s="1051" t="s">
        <v>953</v>
      </c>
      <c r="P58" s="1048" t="s">
        <v>2123</v>
      </c>
      <c r="Q58" s="1049" t="e">
        <f>L59</f>
        <v>#DIV/0!</v>
      </c>
      <c r="R58" s="1050" t="s">
        <v>2124</v>
      </c>
    </row>
    <row r="59" spans="1:18" s="652" customFormat="1" ht="31.8" thickBot="1">
      <c r="A59" s="248" t="s">
        <v>14</v>
      </c>
      <c r="B59" s="249" t="s">
        <v>2053</v>
      </c>
      <c r="C59" s="250">
        <f ca="1">ROUND(C60+C65+C66+C67,0)</f>
        <v>18314</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6">
        <f>ROUND(IF(AND(项目基本情况!B7="自然人",项目基本情况!B6="北京市"),C50*F60/(1+'数据-取费表'!F30),C61+C62+C63),0)</f>
        <v>0</v>
      </c>
      <c r="D60" s="1298" t="s">
        <v>2055</v>
      </c>
      <c r="E60" s="1301" t="s">
        <v>2056</v>
      </c>
      <c r="F60" s="2795">
        <f>IF(项目基本情况!B7="企业","——",IF('数据-取费表'!B10="住宅",IF(F50*F51*F52/12/(1+'数据-取费表'!F30)&gt;100000,4%,2.5%),IF(F50*F51*F52/12/(1+'数据-取费表'!F30)&gt;100000,12%,7%)))</f>
        <v>7.0000000000000007E-2</v>
      </c>
      <c r="I60" s="1518" t="s">
        <v>2128</v>
      </c>
      <c r="J60" s="1034">
        <f ca="1">IF(OR(M48="住宅",J52&lt;L49,J57="是"),"——",ROUND(C29*J59,0))</f>
        <v>456422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851</v>
      </c>
      <c r="R60" s="1050" t="s">
        <v>956</v>
      </c>
    </row>
    <row r="61" spans="1:18" s="652" customFormat="1" ht="16.2"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82289</v>
      </c>
      <c r="K61" s="1520" t="s">
        <v>2130</v>
      </c>
      <c r="L61" s="1033">
        <f>IF(OR(M48="住宅",L49&lt;J52),0,ROUND(L58*(L59/L60-1),0))</f>
        <v>0</v>
      </c>
      <c r="O61" s="1041" t="s">
        <v>2131</v>
      </c>
      <c r="P61" s="1042"/>
      <c r="Q61" s="1038"/>
      <c r="R61" s="1042"/>
    </row>
    <row r="62" spans="1:18" s="652" customFormat="1" ht="16.2"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t="str">
        <f>IF(项目基本情况!B7="自然人","——",ROUND(F63*F64,0))</f>
        <v>——</v>
      </c>
      <c r="D63" s="261" t="s">
        <v>2134</v>
      </c>
      <c r="E63" s="235" t="s">
        <v>2135</v>
      </c>
      <c r="F63" s="262">
        <f t="shared" si="0"/>
        <v>30</v>
      </c>
      <c r="I63" s="1521" t="s">
        <v>2136</v>
      </c>
      <c r="J63" s="1293" t="s">
        <v>2137</v>
      </c>
      <c r="K63" s="1293" t="s">
        <v>2138</v>
      </c>
      <c r="L63" s="1293" t="s">
        <v>2139</v>
      </c>
      <c r="M63" s="1292" t="s">
        <v>2140</v>
      </c>
      <c r="O63" s="1047" t="s">
        <v>949</v>
      </c>
      <c r="P63" s="1048" t="s">
        <v>2081</v>
      </c>
      <c r="Q63" s="1049">
        <f ca="1">C40+J29</f>
        <v>8505272</v>
      </c>
      <c r="R63" s="1050" t="s">
        <v>2082</v>
      </c>
    </row>
    <row r="64" spans="1:18" s="652" customFormat="1" ht="19.2"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17116</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148189120</v>
      </c>
      <c r="R65" s="1054" t="s">
        <v>2144</v>
      </c>
    </row>
    <row r="66" spans="1:18" s="652" customFormat="1" ht="19.2" thickBot="1">
      <c r="A66" s="253" t="s">
        <v>20</v>
      </c>
      <c r="B66" s="235" t="s">
        <v>2022</v>
      </c>
      <c r="C66" s="13">
        <f ca="1">ROUND(C57*F66,0)</f>
        <v>1198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537408</v>
      </c>
      <c r="R66" s="1050"/>
    </row>
    <row r="67" spans="1:18" s="652" customFormat="1" ht="16.2" thickBot="1">
      <c r="A67" s="253" t="s">
        <v>21</v>
      </c>
      <c r="B67" s="235" t="s">
        <v>2005</v>
      </c>
      <c r="C67" s="13">
        <f ca="1">ROUND(C49*F67,0)</f>
        <v>0</v>
      </c>
      <c r="D67" s="1301" t="s">
        <v>2028</v>
      </c>
      <c r="E67" s="235" t="s">
        <v>2024</v>
      </c>
      <c r="F67" s="245">
        <f t="shared" si="0"/>
        <v>0.01</v>
      </c>
      <c r="O67" s="1051" t="s">
        <v>957</v>
      </c>
      <c r="P67" s="1055" t="s">
        <v>2147</v>
      </c>
      <c r="Q67" s="1049">
        <f ca="1">C39</f>
        <v>537408</v>
      </c>
      <c r="R67" s="1050" t="s">
        <v>2082</v>
      </c>
    </row>
    <row r="68" spans="1:18" ht="24.6" thickBot="1">
      <c r="A68" s="248" t="s">
        <v>22</v>
      </c>
      <c r="B68" s="41" t="s">
        <v>2032</v>
      </c>
      <c r="C68" s="250">
        <f ca="1">C49-C59</f>
        <v>-18314</v>
      </c>
      <c r="D68" s="1298" t="s">
        <v>2033</v>
      </c>
      <c r="E68" s="1300"/>
      <c r="F68" s="268"/>
      <c r="H68" s="652"/>
      <c r="I68" s="652"/>
      <c r="J68" s="652"/>
      <c r="K68" s="652"/>
      <c r="L68" s="652"/>
      <c r="M68" s="652"/>
      <c r="O68" s="1051" t="s">
        <v>958</v>
      </c>
      <c r="P68" s="1055" t="s">
        <v>2148</v>
      </c>
      <c r="Q68" s="1049">
        <f ca="1">C13</f>
        <v>798738</v>
      </c>
      <c r="R68" s="1050" t="s">
        <v>2082</v>
      </c>
    </row>
    <row r="69" spans="1:18" ht="16.2" thickBot="1">
      <c r="A69" s="232" t="s">
        <v>23</v>
      </c>
      <c r="B69" s="233" t="s">
        <v>2070</v>
      </c>
      <c r="C69" s="234">
        <f ca="1">ROUND(C68*(1-((1+F71)/(1+F69))^F70)/(F69-F71),0)</f>
        <v>-224809</v>
      </c>
      <c r="D69" s="261" t="s">
        <v>2038</v>
      </c>
      <c r="E69" s="235" t="s">
        <v>2039</v>
      </c>
      <c r="F69" s="245">
        <f>F40</f>
        <v>5.5E-2</v>
      </c>
      <c r="H69" s="652"/>
      <c r="I69" s="652"/>
      <c r="J69" s="652"/>
      <c r="K69" s="652"/>
      <c r="L69" s="652"/>
      <c r="M69" s="652"/>
      <c r="O69" s="1051" t="s">
        <v>959</v>
      </c>
      <c r="P69" s="1055" t="s">
        <v>2149</v>
      </c>
      <c r="Q69" s="1052">
        <f>J35</f>
        <v>0</v>
      </c>
      <c r="R69" s="1050"/>
    </row>
    <row r="70" spans="1:18" ht="16.2" thickBot="1">
      <c r="A70" s="237"/>
      <c r="B70" s="238"/>
      <c r="C70" s="239"/>
      <c r="D70" s="269" t="s">
        <v>2072</v>
      </c>
      <c r="E70" s="235" t="s">
        <v>2044</v>
      </c>
      <c r="F70" s="270">
        <f>F41</f>
        <v>21</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-1044</v>
      </c>
      <c r="D72" s="274" t="s">
        <v>2074</v>
      </c>
      <c r="E72" s="275" t="s">
        <v>2075</v>
      </c>
      <c r="F72" s="276">
        <f>F43</f>
        <v>215.26</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收益价值(万元)</v>
      </c>
      <c r="Q73" s="1049">
        <f ca="1">ROUND(IF(C2="元",Q63+Q64,(Q63+Q64)/10000),0)</f>
        <v>851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2" customHeight="1"/>
  <cols>
    <col min="1" max="1" width="9.44140625" style="3137" customWidth="1"/>
    <col min="2" max="2" width="8.88671875" style="3137"/>
    <col min="3" max="5" width="12.88671875" style="3137" customWidth="1"/>
    <col min="6" max="6" width="47.44140625" style="3137" customWidth="1"/>
    <col min="7" max="7" width="13" style="3310" customWidth="1"/>
    <col min="8" max="8" width="8.88671875" style="3230"/>
    <col min="9" max="9" width="8.88671875" style="3231"/>
    <col min="10" max="10" width="5.77734375" style="3311" customWidth="1"/>
    <col min="11" max="11" width="11.77734375" style="3311" customWidth="1"/>
    <col min="12" max="13" width="10.77734375" style="3311" customWidth="1"/>
    <col min="14" max="14" width="10" style="3311" customWidth="1"/>
    <col min="15" max="16" width="10.44140625" style="3311" bestFit="1" customWidth="1"/>
    <col min="17" max="17" width="10" style="3311" customWidth="1"/>
    <col min="18" max="18" width="10.109375" style="3311" customWidth="1"/>
    <col min="19" max="19" width="10" style="3311" customWidth="1"/>
    <col min="20" max="20" width="26.109375" style="3311" customWidth="1"/>
    <col min="21" max="21" width="8.88671875" style="3311"/>
    <col min="22" max="22" width="8.88671875" style="3231"/>
    <col min="23" max="23" width="8.88671875" style="3230"/>
    <col min="24" max="256" width="8.88671875" style="3137"/>
    <col min="257" max="257" width="9.44140625" style="3137" customWidth="1"/>
    <col min="258" max="258" width="8.88671875" style="3137"/>
    <col min="259" max="261" width="12.88671875" style="3137" customWidth="1"/>
    <col min="262" max="262" width="47.44140625" style="3137" customWidth="1"/>
    <col min="263" max="263" width="13" style="3137" customWidth="1"/>
    <col min="264" max="265" width="8.88671875" style="3137"/>
    <col min="266" max="266" width="5.77734375" style="3137" customWidth="1"/>
    <col min="267" max="267" width="11.77734375" style="3137" customWidth="1"/>
    <col min="268" max="269" width="10.77734375" style="3137" customWidth="1"/>
    <col min="270" max="270" width="10" style="3137" customWidth="1"/>
    <col min="271" max="272" width="10.44140625" style="3137" bestFit="1" customWidth="1"/>
    <col min="273" max="273" width="10" style="3137" customWidth="1"/>
    <col min="274" max="274" width="10.109375" style="3137" customWidth="1"/>
    <col min="275" max="275" width="10" style="3137" customWidth="1"/>
    <col min="276" max="276" width="26.109375" style="3137" customWidth="1"/>
    <col min="277" max="512" width="8.88671875" style="3137"/>
    <col min="513" max="513" width="9.44140625" style="3137" customWidth="1"/>
    <col min="514" max="514" width="8.88671875" style="3137"/>
    <col min="515" max="517" width="12.88671875" style="3137" customWidth="1"/>
    <col min="518" max="518" width="47.44140625" style="3137" customWidth="1"/>
    <col min="519" max="519" width="13" style="3137" customWidth="1"/>
    <col min="520" max="521" width="8.88671875" style="3137"/>
    <col min="522" max="522" width="5.77734375" style="3137" customWidth="1"/>
    <col min="523" max="523" width="11.77734375" style="3137" customWidth="1"/>
    <col min="524" max="525" width="10.77734375" style="3137" customWidth="1"/>
    <col min="526" max="526" width="10" style="3137" customWidth="1"/>
    <col min="527" max="528" width="10.44140625" style="3137" bestFit="1" customWidth="1"/>
    <col min="529" max="529" width="10" style="3137" customWidth="1"/>
    <col min="530" max="530" width="10.109375" style="3137" customWidth="1"/>
    <col min="531" max="531" width="10" style="3137" customWidth="1"/>
    <col min="532" max="532" width="26.109375" style="3137" customWidth="1"/>
    <col min="533" max="768" width="8.88671875" style="3137"/>
    <col min="769" max="769" width="9.44140625" style="3137" customWidth="1"/>
    <col min="770" max="770" width="8.88671875" style="3137"/>
    <col min="771" max="773" width="12.88671875" style="3137" customWidth="1"/>
    <col min="774" max="774" width="47.44140625" style="3137" customWidth="1"/>
    <col min="775" max="775" width="13" style="3137" customWidth="1"/>
    <col min="776" max="777" width="8.88671875" style="3137"/>
    <col min="778" max="778" width="5.77734375" style="3137" customWidth="1"/>
    <col min="779" max="779" width="11.77734375" style="3137" customWidth="1"/>
    <col min="780" max="781" width="10.77734375" style="3137" customWidth="1"/>
    <col min="782" max="782" width="10" style="3137" customWidth="1"/>
    <col min="783" max="784" width="10.44140625" style="3137" bestFit="1" customWidth="1"/>
    <col min="785" max="785" width="10" style="3137" customWidth="1"/>
    <col min="786" max="786" width="10.109375" style="3137" customWidth="1"/>
    <col min="787" max="787" width="10" style="3137" customWidth="1"/>
    <col min="788" max="788" width="26.109375" style="3137" customWidth="1"/>
    <col min="789" max="1024" width="8.88671875" style="3137"/>
    <col min="1025" max="1025" width="9.44140625" style="3137" customWidth="1"/>
    <col min="1026" max="1026" width="8.88671875" style="3137"/>
    <col min="1027" max="1029" width="12.88671875" style="3137" customWidth="1"/>
    <col min="1030" max="1030" width="47.44140625" style="3137" customWidth="1"/>
    <col min="1031" max="1031" width="13" style="3137" customWidth="1"/>
    <col min="1032" max="1033" width="8.88671875" style="3137"/>
    <col min="1034" max="1034" width="5.77734375" style="3137" customWidth="1"/>
    <col min="1035" max="1035" width="11.77734375" style="3137" customWidth="1"/>
    <col min="1036" max="1037" width="10.77734375" style="3137" customWidth="1"/>
    <col min="1038" max="1038" width="10" style="3137" customWidth="1"/>
    <col min="1039" max="1040" width="10.44140625" style="3137" bestFit="1" customWidth="1"/>
    <col min="1041" max="1041" width="10" style="3137" customWidth="1"/>
    <col min="1042" max="1042" width="10.109375" style="3137" customWidth="1"/>
    <col min="1043" max="1043" width="10" style="3137" customWidth="1"/>
    <col min="1044" max="1044" width="26.109375" style="3137" customWidth="1"/>
    <col min="1045" max="1280" width="8.88671875" style="3137"/>
    <col min="1281" max="1281" width="9.44140625" style="3137" customWidth="1"/>
    <col min="1282" max="1282" width="8.88671875" style="3137"/>
    <col min="1283" max="1285" width="12.88671875" style="3137" customWidth="1"/>
    <col min="1286" max="1286" width="47.44140625" style="3137" customWidth="1"/>
    <col min="1287" max="1287" width="13" style="3137" customWidth="1"/>
    <col min="1288" max="1289" width="8.88671875" style="3137"/>
    <col min="1290" max="1290" width="5.77734375" style="3137" customWidth="1"/>
    <col min="1291" max="1291" width="11.77734375" style="3137" customWidth="1"/>
    <col min="1292" max="1293" width="10.77734375" style="3137" customWidth="1"/>
    <col min="1294" max="1294" width="10" style="3137" customWidth="1"/>
    <col min="1295" max="1296" width="10.44140625" style="3137" bestFit="1" customWidth="1"/>
    <col min="1297" max="1297" width="10" style="3137" customWidth="1"/>
    <col min="1298" max="1298" width="10.109375" style="3137" customWidth="1"/>
    <col min="1299" max="1299" width="10" style="3137" customWidth="1"/>
    <col min="1300" max="1300" width="26.109375" style="3137" customWidth="1"/>
    <col min="1301" max="1536" width="8.88671875" style="3137"/>
    <col min="1537" max="1537" width="9.44140625" style="3137" customWidth="1"/>
    <col min="1538" max="1538" width="8.88671875" style="3137"/>
    <col min="1539" max="1541" width="12.88671875" style="3137" customWidth="1"/>
    <col min="1542" max="1542" width="47.44140625" style="3137" customWidth="1"/>
    <col min="1543" max="1543" width="13" style="3137" customWidth="1"/>
    <col min="1544" max="1545" width="8.88671875" style="3137"/>
    <col min="1546" max="1546" width="5.77734375" style="3137" customWidth="1"/>
    <col min="1547" max="1547" width="11.77734375" style="3137" customWidth="1"/>
    <col min="1548" max="1549" width="10.77734375" style="3137" customWidth="1"/>
    <col min="1550" max="1550" width="10" style="3137" customWidth="1"/>
    <col min="1551" max="1552" width="10.44140625" style="3137" bestFit="1" customWidth="1"/>
    <col min="1553" max="1553" width="10" style="3137" customWidth="1"/>
    <col min="1554" max="1554" width="10.109375" style="3137" customWidth="1"/>
    <col min="1555" max="1555" width="10" style="3137" customWidth="1"/>
    <col min="1556" max="1556" width="26.109375" style="3137" customWidth="1"/>
    <col min="1557" max="1792" width="8.88671875" style="3137"/>
    <col min="1793" max="1793" width="9.44140625" style="3137" customWidth="1"/>
    <col min="1794" max="1794" width="8.88671875" style="3137"/>
    <col min="1795" max="1797" width="12.88671875" style="3137" customWidth="1"/>
    <col min="1798" max="1798" width="47.44140625" style="3137" customWidth="1"/>
    <col min="1799" max="1799" width="13" style="3137" customWidth="1"/>
    <col min="1800" max="1801" width="8.88671875" style="3137"/>
    <col min="1802" max="1802" width="5.77734375" style="3137" customWidth="1"/>
    <col min="1803" max="1803" width="11.77734375" style="3137" customWidth="1"/>
    <col min="1804" max="1805" width="10.77734375" style="3137" customWidth="1"/>
    <col min="1806" max="1806" width="10" style="3137" customWidth="1"/>
    <col min="1807" max="1808" width="10.44140625" style="3137" bestFit="1" customWidth="1"/>
    <col min="1809" max="1809" width="10" style="3137" customWidth="1"/>
    <col min="1810" max="1810" width="10.109375" style="3137" customWidth="1"/>
    <col min="1811" max="1811" width="10" style="3137" customWidth="1"/>
    <col min="1812" max="1812" width="26.109375" style="3137" customWidth="1"/>
    <col min="1813" max="2048" width="8.88671875" style="3137"/>
    <col min="2049" max="2049" width="9.44140625" style="3137" customWidth="1"/>
    <col min="2050" max="2050" width="8.88671875" style="3137"/>
    <col min="2051" max="2053" width="12.88671875" style="3137" customWidth="1"/>
    <col min="2054" max="2054" width="47.44140625" style="3137" customWidth="1"/>
    <col min="2055" max="2055" width="13" style="3137" customWidth="1"/>
    <col min="2056" max="2057" width="8.88671875" style="3137"/>
    <col min="2058" max="2058" width="5.77734375" style="3137" customWidth="1"/>
    <col min="2059" max="2059" width="11.77734375" style="3137" customWidth="1"/>
    <col min="2060" max="2061" width="10.77734375" style="3137" customWidth="1"/>
    <col min="2062" max="2062" width="10" style="3137" customWidth="1"/>
    <col min="2063" max="2064" width="10.44140625" style="3137" bestFit="1" customWidth="1"/>
    <col min="2065" max="2065" width="10" style="3137" customWidth="1"/>
    <col min="2066" max="2066" width="10.109375" style="3137" customWidth="1"/>
    <col min="2067" max="2067" width="10" style="3137" customWidth="1"/>
    <col min="2068" max="2068" width="26.109375" style="3137" customWidth="1"/>
    <col min="2069" max="2304" width="8.88671875" style="3137"/>
    <col min="2305" max="2305" width="9.44140625" style="3137" customWidth="1"/>
    <col min="2306" max="2306" width="8.88671875" style="3137"/>
    <col min="2307" max="2309" width="12.88671875" style="3137" customWidth="1"/>
    <col min="2310" max="2310" width="47.44140625" style="3137" customWidth="1"/>
    <col min="2311" max="2311" width="13" style="3137" customWidth="1"/>
    <col min="2312" max="2313" width="8.88671875" style="3137"/>
    <col min="2314" max="2314" width="5.77734375" style="3137" customWidth="1"/>
    <col min="2315" max="2315" width="11.77734375" style="3137" customWidth="1"/>
    <col min="2316" max="2317" width="10.77734375" style="3137" customWidth="1"/>
    <col min="2318" max="2318" width="10" style="3137" customWidth="1"/>
    <col min="2319" max="2320" width="10.44140625" style="3137" bestFit="1" customWidth="1"/>
    <col min="2321" max="2321" width="10" style="3137" customWidth="1"/>
    <col min="2322" max="2322" width="10.109375" style="3137" customWidth="1"/>
    <col min="2323" max="2323" width="10" style="3137" customWidth="1"/>
    <col min="2324" max="2324" width="26.109375" style="3137" customWidth="1"/>
    <col min="2325" max="2560" width="8.88671875" style="3137"/>
    <col min="2561" max="2561" width="9.44140625" style="3137" customWidth="1"/>
    <col min="2562" max="2562" width="8.88671875" style="3137"/>
    <col min="2563" max="2565" width="12.88671875" style="3137" customWidth="1"/>
    <col min="2566" max="2566" width="47.44140625" style="3137" customWidth="1"/>
    <col min="2567" max="2567" width="13" style="3137" customWidth="1"/>
    <col min="2568" max="2569" width="8.88671875" style="3137"/>
    <col min="2570" max="2570" width="5.77734375" style="3137" customWidth="1"/>
    <col min="2571" max="2571" width="11.77734375" style="3137" customWidth="1"/>
    <col min="2572" max="2573" width="10.77734375" style="3137" customWidth="1"/>
    <col min="2574" max="2574" width="10" style="3137" customWidth="1"/>
    <col min="2575" max="2576" width="10.44140625" style="3137" bestFit="1" customWidth="1"/>
    <col min="2577" max="2577" width="10" style="3137" customWidth="1"/>
    <col min="2578" max="2578" width="10.109375" style="3137" customWidth="1"/>
    <col min="2579" max="2579" width="10" style="3137" customWidth="1"/>
    <col min="2580" max="2580" width="26.109375" style="3137" customWidth="1"/>
    <col min="2581" max="2816" width="8.88671875" style="3137"/>
    <col min="2817" max="2817" width="9.44140625" style="3137" customWidth="1"/>
    <col min="2818" max="2818" width="8.88671875" style="3137"/>
    <col min="2819" max="2821" width="12.88671875" style="3137" customWidth="1"/>
    <col min="2822" max="2822" width="47.44140625" style="3137" customWidth="1"/>
    <col min="2823" max="2823" width="13" style="3137" customWidth="1"/>
    <col min="2824" max="2825" width="8.88671875" style="3137"/>
    <col min="2826" max="2826" width="5.77734375" style="3137" customWidth="1"/>
    <col min="2827" max="2827" width="11.77734375" style="3137" customWidth="1"/>
    <col min="2828" max="2829" width="10.77734375" style="3137" customWidth="1"/>
    <col min="2830" max="2830" width="10" style="3137" customWidth="1"/>
    <col min="2831" max="2832" width="10.44140625" style="3137" bestFit="1" customWidth="1"/>
    <col min="2833" max="2833" width="10" style="3137" customWidth="1"/>
    <col min="2834" max="2834" width="10.109375" style="3137" customWidth="1"/>
    <col min="2835" max="2835" width="10" style="3137" customWidth="1"/>
    <col min="2836" max="2836" width="26.109375" style="3137" customWidth="1"/>
    <col min="2837" max="3072" width="8.88671875" style="3137"/>
    <col min="3073" max="3073" width="9.44140625" style="3137" customWidth="1"/>
    <col min="3074" max="3074" width="8.88671875" style="3137"/>
    <col min="3075" max="3077" width="12.88671875" style="3137" customWidth="1"/>
    <col min="3078" max="3078" width="47.44140625" style="3137" customWidth="1"/>
    <col min="3079" max="3079" width="13" style="3137" customWidth="1"/>
    <col min="3080" max="3081" width="8.88671875" style="3137"/>
    <col min="3082" max="3082" width="5.77734375" style="3137" customWidth="1"/>
    <col min="3083" max="3083" width="11.77734375" style="3137" customWidth="1"/>
    <col min="3084" max="3085" width="10.77734375" style="3137" customWidth="1"/>
    <col min="3086" max="3086" width="10" style="3137" customWidth="1"/>
    <col min="3087" max="3088" width="10.44140625" style="3137" bestFit="1" customWidth="1"/>
    <col min="3089" max="3089" width="10" style="3137" customWidth="1"/>
    <col min="3090" max="3090" width="10.109375" style="3137" customWidth="1"/>
    <col min="3091" max="3091" width="10" style="3137" customWidth="1"/>
    <col min="3092" max="3092" width="26.109375" style="3137" customWidth="1"/>
    <col min="3093" max="3328" width="8.88671875" style="3137"/>
    <col min="3329" max="3329" width="9.44140625" style="3137" customWidth="1"/>
    <col min="3330" max="3330" width="8.88671875" style="3137"/>
    <col min="3331" max="3333" width="12.88671875" style="3137" customWidth="1"/>
    <col min="3334" max="3334" width="47.44140625" style="3137" customWidth="1"/>
    <col min="3335" max="3335" width="13" style="3137" customWidth="1"/>
    <col min="3336" max="3337" width="8.88671875" style="3137"/>
    <col min="3338" max="3338" width="5.77734375" style="3137" customWidth="1"/>
    <col min="3339" max="3339" width="11.77734375" style="3137" customWidth="1"/>
    <col min="3340" max="3341" width="10.77734375" style="3137" customWidth="1"/>
    <col min="3342" max="3342" width="10" style="3137" customWidth="1"/>
    <col min="3343" max="3344" width="10.44140625" style="3137" bestFit="1" customWidth="1"/>
    <col min="3345" max="3345" width="10" style="3137" customWidth="1"/>
    <col min="3346" max="3346" width="10.109375" style="3137" customWidth="1"/>
    <col min="3347" max="3347" width="10" style="3137" customWidth="1"/>
    <col min="3348" max="3348" width="26.109375" style="3137" customWidth="1"/>
    <col min="3349" max="3584" width="8.88671875" style="3137"/>
    <col min="3585" max="3585" width="9.44140625" style="3137" customWidth="1"/>
    <col min="3586" max="3586" width="8.88671875" style="3137"/>
    <col min="3587" max="3589" width="12.88671875" style="3137" customWidth="1"/>
    <col min="3590" max="3590" width="47.44140625" style="3137" customWidth="1"/>
    <col min="3591" max="3591" width="13" style="3137" customWidth="1"/>
    <col min="3592" max="3593" width="8.88671875" style="3137"/>
    <col min="3594" max="3594" width="5.77734375" style="3137" customWidth="1"/>
    <col min="3595" max="3595" width="11.77734375" style="3137" customWidth="1"/>
    <col min="3596" max="3597" width="10.77734375" style="3137" customWidth="1"/>
    <col min="3598" max="3598" width="10" style="3137" customWidth="1"/>
    <col min="3599" max="3600" width="10.44140625" style="3137" bestFit="1" customWidth="1"/>
    <col min="3601" max="3601" width="10" style="3137" customWidth="1"/>
    <col min="3602" max="3602" width="10.109375" style="3137" customWidth="1"/>
    <col min="3603" max="3603" width="10" style="3137" customWidth="1"/>
    <col min="3604" max="3604" width="26.109375" style="3137" customWidth="1"/>
    <col min="3605" max="3840" width="8.88671875" style="3137"/>
    <col min="3841" max="3841" width="9.44140625" style="3137" customWidth="1"/>
    <col min="3842" max="3842" width="8.88671875" style="3137"/>
    <col min="3843" max="3845" width="12.88671875" style="3137" customWidth="1"/>
    <col min="3846" max="3846" width="47.44140625" style="3137" customWidth="1"/>
    <col min="3847" max="3847" width="13" style="3137" customWidth="1"/>
    <col min="3848" max="3849" width="8.88671875" style="3137"/>
    <col min="3850" max="3850" width="5.77734375" style="3137" customWidth="1"/>
    <col min="3851" max="3851" width="11.77734375" style="3137" customWidth="1"/>
    <col min="3852" max="3853" width="10.77734375" style="3137" customWidth="1"/>
    <col min="3854" max="3854" width="10" style="3137" customWidth="1"/>
    <col min="3855" max="3856" width="10.44140625" style="3137" bestFit="1" customWidth="1"/>
    <col min="3857" max="3857" width="10" style="3137" customWidth="1"/>
    <col min="3858" max="3858" width="10.109375" style="3137" customWidth="1"/>
    <col min="3859" max="3859" width="10" style="3137" customWidth="1"/>
    <col min="3860" max="3860" width="26.109375" style="3137" customWidth="1"/>
    <col min="3861" max="4096" width="8.88671875" style="3137"/>
    <col min="4097" max="4097" width="9.44140625" style="3137" customWidth="1"/>
    <col min="4098" max="4098" width="8.88671875" style="3137"/>
    <col min="4099" max="4101" width="12.88671875" style="3137" customWidth="1"/>
    <col min="4102" max="4102" width="47.44140625" style="3137" customWidth="1"/>
    <col min="4103" max="4103" width="13" style="3137" customWidth="1"/>
    <col min="4104" max="4105" width="8.88671875" style="3137"/>
    <col min="4106" max="4106" width="5.77734375" style="3137" customWidth="1"/>
    <col min="4107" max="4107" width="11.77734375" style="3137" customWidth="1"/>
    <col min="4108" max="4109" width="10.77734375" style="3137" customWidth="1"/>
    <col min="4110" max="4110" width="10" style="3137" customWidth="1"/>
    <col min="4111" max="4112" width="10.44140625" style="3137" bestFit="1" customWidth="1"/>
    <col min="4113" max="4113" width="10" style="3137" customWidth="1"/>
    <col min="4114" max="4114" width="10.109375" style="3137" customWidth="1"/>
    <col min="4115" max="4115" width="10" style="3137" customWidth="1"/>
    <col min="4116" max="4116" width="26.109375" style="3137" customWidth="1"/>
    <col min="4117" max="4352" width="8.88671875" style="3137"/>
    <col min="4353" max="4353" width="9.44140625" style="3137" customWidth="1"/>
    <col min="4354" max="4354" width="8.88671875" style="3137"/>
    <col min="4355" max="4357" width="12.88671875" style="3137" customWidth="1"/>
    <col min="4358" max="4358" width="47.44140625" style="3137" customWidth="1"/>
    <col min="4359" max="4359" width="13" style="3137" customWidth="1"/>
    <col min="4360" max="4361" width="8.88671875" style="3137"/>
    <col min="4362" max="4362" width="5.77734375" style="3137" customWidth="1"/>
    <col min="4363" max="4363" width="11.77734375" style="3137" customWidth="1"/>
    <col min="4364" max="4365" width="10.77734375" style="3137" customWidth="1"/>
    <col min="4366" max="4366" width="10" style="3137" customWidth="1"/>
    <col min="4367" max="4368" width="10.44140625" style="3137" bestFit="1" customWidth="1"/>
    <col min="4369" max="4369" width="10" style="3137" customWidth="1"/>
    <col min="4370" max="4370" width="10.109375" style="3137" customWidth="1"/>
    <col min="4371" max="4371" width="10" style="3137" customWidth="1"/>
    <col min="4372" max="4372" width="26.109375" style="3137" customWidth="1"/>
    <col min="4373" max="4608" width="8.88671875" style="3137"/>
    <col min="4609" max="4609" width="9.44140625" style="3137" customWidth="1"/>
    <col min="4610" max="4610" width="8.88671875" style="3137"/>
    <col min="4611" max="4613" width="12.88671875" style="3137" customWidth="1"/>
    <col min="4614" max="4614" width="47.44140625" style="3137" customWidth="1"/>
    <col min="4615" max="4615" width="13" style="3137" customWidth="1"/>
    <col min="4616" max="4617" width="8.88671875" style="3137"/>
    <col min="4618" max="4618" width="5.77734375" style="3137" customWidth="1"/>
    <col min="4619" max="4619" width="11.77734375" style="3137" customWidth="1"/>
    <col min="4620" max="4621" width="10.77734375" style="3137" customWidth="1"/>
    <col min="4622" max="4622" width="10" style="3137" customWidth="1"/>
    <col min="4623" max="4624" width="10.44140625" style="3137" bestFit="1" customWidth="1"/>
    <col min="4625" max="4625" width="10" style="3137" customWidth="1"/>
    <col min="4626" max="4626" width="10.109375" style="3137" customWidth="1"/>
    <col min="4627" max="4627" width="10" style="3137" customWidth="1"/>
    <col min="4628" max="4628" width="26.109375" style="3137" customWidth="1"/>
    <col min="4629" max="4864" width="8.88671875" style="3137"/>
    <col min="4865" max="4865" width="9.44140625" style="3137" customWidth="1"/>
    <col min="4866" max="4866" width="8.88671875" style="3137"/>
    <col min="4867" max="4869" width="12.88671875" style="3137" customWidth="1"/>
    <col min="4870" max="4870" width="47.44140625" style="3137" customWidth="1"/>
    <col min="4871" max="4871" width="13" style="3137" customWidth="1"/>
    <col min="4872" max="4873" width="8.88671875" style="3137"/>
    <col min="4874" max="4874" width="5.77734375" style="3137" customWidth="1"/>
    <col min="4875" max="4875" width="11.77734375" style="3137" customWidth="1"/>
    <col min="4876" max="4877" width="10.77734375" style="3137" customWidth="1"/>
    <col min="4878" max="4878" width="10" style="3137" customWidth="1"/>
    <col min="4879" max="4880" width="10.44140625" style="3137" bestFit="1" customWidth="1"/>
    <col min="4881" max="4881" width="10" style="3137" customWidth="1"/>
    <col min="4882" max="4882" width="10.109375" style="3137" customWidth="1"/>
    <col min="4883" max="4883" width="10" style="3137" customWidth="1"/>
    <col min="4884" max="4884" width="26.109375" style="3137" customWidth="1"/>
    <col min="4885" max="5120" width="8.88671875" style="3137"/>
    <col min="5121" max="5121" width="9.44140625" style="3137" customWidth="1"/>
    <col min="5122" max="5122" width="8.88671875" style="3137"/>
    <col min="5123" max="5125" width="12.88671875" style="3137" customWidth="1"/>
    <col min="5126" max="5126" width="47.44140625" style="3137" customWidth="1"/>
    <col min="5127" max="5127" width="13" style="3137" customWidth="1"/>
    <col min="5128" max="5129" width="8.88671875" style="3137"/>
    <col min="5130" max="5130" width="5.77734375" style="3137" customWidth="1"/>
    <col min="5131" max="5131" width="11.77734375" style="3137" customWidth="1"/>
    <col min="5132" max="5133" width="10.77734375" style="3137" customWidth="1"/>
    <col min="5134" max="5134" width="10" style="3137" customWidth="1"/>
    <col min="5135" max="5136" width="10.44140625" style="3137" bestFit="1" customWidth="1"/>
    <col min="5137" max="5137" width="10" style="3137" customWidth="1"/>
    <col min="5138" max="5138" width="10.109375" style="3137" customWidth="1"/>
    <col min="5139" max="5139" width="10" style="3137" customWidth="1"/>
    <col min="5140" max="5140" width="26.109375" style="3137" customWidth="1"/>
    <col min="5141" max="5376" width="8.88671875" style="3137"/>
    <col min="5377" max="5377" width="9.44140625" style="3137" customWidth="1"/>
    <col min="5378" max="5378" width="8.88671875" style="3137"/>
    <col min="5379" max="5381" width="12.88671875" style="3137" customWidth="1"/>
    <col min="5382" max="5382" width="47.44140625" style="3137" customWidth="1"/>
    <col min="5383" max="5383" width="13" style="3137" customWidth="1"/>
    <col min="5384" max="5385" width="8.88671875" style="3137"/>
    <col min="5386" max="5386" width="5.77734375" style="3137" customWidth="1"/>
    <col min="5387" max="5387" width="11.77734375" style="3137" customWidth="1"/>
    <col min="5388" max="5389" width="10.77734375" style="3137" customWidth="1"/>
    <col min="5390" max="5390" width="10" style="3137" customWidth="1"/>
    <col min="5391" max="5392" width="10.44140625" style="3137" bestFit="1" customWidth="1"/>
    <col min="5393" max="5393" width="10" style="3137" customWidth="1"/>
    <col min="5394" max="5394" width="10.109375" style="3137" customWidth="1"/>
    <col min="5395" max="5395" width="10" style="3137" customWidth="1"/>
    <col min="5396" max="5396" width="26.109375" style="3137" customWidth="1"/>
    <col min="5397" max="5632" width="8.88671875" style="3137"/>
    <col min="5633" max="5633" width="9.44140625" style="3137" customWidth="1"/>
    <col min="5634" max="5634" width="8.88671875" style="3137"/>
    <col min="5635" max="5637" width="12.88671875" style="3137" customWidth="1"/>
    <col min="5638" max="5638" width="47.44140625" style="3137" customWidth="1"/>
    <col min="5639" max="5639" width="13" style="3137" customWidth="1"/>
    <col min="5640" max="5641" width="8.88671875" style="3137"/>
    <col min="5642" max="5642" width="5.77734375" style="3137" customWidth="1"/>
    <col min="5643" max="5643" width="11.77734375" style="3137" customWidth="1"/>
    <col min="5644" max="5645" width="10.77734375" style="3137" customWidth="1"/>
    <col min="5646" max="5646" width="10" style="3137" customWidth="1"/>
    <col min="5647" max="5648" width="10.44140625" style="3137" bestFit="1" customWidth="1"/>
    <col min="5649" max="5649" width="10" style="3137" customWidth="1"/>
    <col min="5650" max="5650" width="10.109375" style="3137" customWidth="1"/>
    <col min="5651" max="5651" width="10" style="3137" customWidth="1"/>
    <col min="5652" max="5652" width="26.109375" style="3137" customWidth="1"/>
    <col min="5653" max="5888" width="8.88671875" style="3137"/>
    <col min="5889" max="5889" width="9.44140625" style="3137" customWidth="1"/>
    <col min="5890" max="5890" width="8.88671875" style="3137"/>
    <col min="5891" max="5893" width="12.88671875" style="3137" customWidth="1"/>
    <col min="5894" max="5894" width="47.44140625" style="3137" customWidth="1"/>
    <col min="5895" max="5895" width="13" style="3137" customWidth="1"/>
    <col min="5896" max="5897" width="8.88671875" style="3137"/>
    <col min="5898" max="5898" width="5.77734375" style="3137" customWidth="1"/>
    <col min="5899" max="5899" width="11.77734375" style="3137" customWidth="1"/>
    <col min="5900" max="5901" width="10.77734375" style="3137" customWidth="1"/>
    <col min="5902" max="5902" width="10" style="3137" customWidth="1"/>
    <col min="5903" max="5904" width="10.44140625" style="3137" bestFit="1" customWidth="1"/>
    <col min="5905" max="5905" width="10" style="3137" customWidth="1"/>
    <col min="5906" max="5906" width="10.109375" style="3137" customWidth="1"/>
    <col min="5907" max="5907" width="10" style="3137" customWidth="1"/>
    <col min="5908" max="5908" width="26.109375" style="3137" customWidth="1"/>
    <col min="5909" max="6144" width="8.88671875" style="3137"/>
    <col min="6145" max="6145" width="9.44140625" style="3137" customWidth="1"/>
    <col min="6146" max="6146" width="8.88671875" style="3137"/>
    <col min="6147" max="6149" width="12.88671875" style="3137" customWidth="1"/>
    <col min="6150" max="6150" width="47.44140625" style="3137" customWidth="1"/>
    <col min="6151" max="6151" width="13" style="3137" customWidth="1"/>
    <col min="6152" max="6153" width="8.88671875" style="3137"/>
    <col min="6154" max="6154" width="5.77734375" style="3137" customWidth="1"/>
    <col min="6155" max="6155" width="11.77734375" style="3137" customWidth="1"/>
    <col min="6156" max="6157" width="10.77734375" style="3137" customWidth="1"/>
    <col min="6158" max="6158" width="10" style="3137" customWidth="1"/>
    <col min="6159" max="6160" width="10.44140625" style="3137" bestFit="1" customWidth="1"/>
    <col min="6161" max="6161" width="10" style="3137" customWidth="1"/>
    <col min="6162" max="6162" width="10.109375" style="3137" customWidth="1"/>
    <col min="6163" max="6163" width="10" style="3137" customWidth="1"/>
    <col min="6164" max="6164" width="26.109375" style="3137" customWidth="1"/>
    <col min="6165" max="6400" width="8.88671875" style="3137"/>
    <col min="6401" max="6401" width="9.44140625" style="3137" customWidth="1"/>
    <col min="6402" max="6402" width="8.88671875" style="3137"/>
    <col min="6403" max="6405" width="12.88671875" style="3137" customWidth="1"/>
    <col min="6406" max="6406" width="47.44140625" style="3137" customWidth="1"/>
    <col min="6407" max="6407" width="13" style="3137" customWidth="1"/>
    <col min="6408" max="6409" width="8.88671875" style="3137"/>
    <col min="6410" max="6410" width="5.77734375" style="3137" customWidth="1"/>
    <col min="6411" max="6411" width="11.77734375" style="3137" customWidth="1"/>
    <col min="6412" max="6413" width="10.77734375" style="3137" customWidth="1"/>
    <col min="6414" max="6414" width="10" style="3137" customWidth="1"/>
    <col min="6415" max="6416" width="10.44140625" style="3137" bestFit="1" customWidth="1"/>
    <col min="6417" max="6417" width="10" style="3137" customWidth="1"/>
    <col min="6418" max="6418" width="10.109375" style="3137" customWidth="1"/>
    <col min="6419" max="6419" width="10" style="3137" customWidth="1"/>
    <col min="6420" max="6420" width="26.109375" style="3137" customWidth="1"/>
    <col min="6421" max="6656" width="8.88671875" style="3137"/>
    <col min="6657" max="6657" width="9.44140625" style="3137" customWidth="1"/>
    <col min="6658" max="6658" width="8.88671875" style="3137"/>
    <col min="6659" max="6661" width="12.88671875" style="3137" customWidth="1"/>
    <col min="6662" max="6662" width="47.44140625" style="3137" customWidth="1"/>
    <col min="6663" max="6663" width="13" style="3137" customWidth="1"/>
    <col min="6664" max="6665" width="8.88671875" style="3137"/>
    <col min="6666" max="6666" width="5.77734375" style="3137" customWidth="1"/>
    <col min="6667" max="6667" width="11.77734375" style="3137" customWidth="1"/>
    <col min="6668" max="6669" width="10.77734375" style="3137" customWidth="1"/>
    <col min="6670" max="6670" width="10" style="3137" customWidth="1"/>
    <col min="6671" max="6672" width="10.44140625" style="3137" bestFit="1" customWidth="1"/>
    <col min="6673" max="6673" width="10" style="3137" customWidth="1"/>
    <col min="6674" max="6674" width="10.109375" style="3137" customWidth="1"/>
    <col min="6675" max="6675" width="10" style="3137" customWidth="1"/>
    <col min="6676" max="6676" width="26.109375" style="3137" customWidth="1"/>
    <col min="6677" max="6912" width="8.88671875" style="3137"/>
    <col min="6913" max="6913" width="9.44140625" style="3137" customWidth="1"/>
    <col min="6914" max="6914" width="8.88671875" style="3137"/>
    <col min="6915" max="6917" width="12.88671875" style="3137" customWidth="1"/>
    <col min="6918" max="6918" width="47.44140625" style="3137" customWidth="1"/>
    <col min="6919" max="6919" width="13" style="3137" customWidth="1"/>
    <col min="6920" max="6921" width="8.88671875" style="3137"/>
    <col min="6922" max="6922" width="5.77734375" style="3137" customWidth="1"/>
    <col min="6923" max="6923" width="11.77734375" style="3137" customWidth="1"/>
    <col min="6924" max="6925" width="10.77734375" style="3137" customWidth="1"/>
    <col min="6926" max="6926" width="10" style="3137" customWidth="1"/>
    <col min="6927" max="6928" width="10.44140625" style="3137" bestFit="1" customWidth="1"/>
    <col min="6929" max="6929" width="10" style="3137" customWidth="1"/>
    <col min="6930" max="6930" width="10.109375" style="3137" customWidth="1"/>
    <col min="6931" max="6931" width="10" style="3137" customWidth="1"/>
    <col min="6932" max="6932" width="26.109375" style="3137" customWidth="1"/>
    <col min="6933" max="7168" width="8.88671875" style="3137"/>
    <col min="7169" max="7169" width="9.44140625" style="3137" customWidth="1"/>
    <col min="7170" max="7170" width="8.88671875" style="3137"/>
    <col min="7171" max="7173" width="12.88671875" style="3137" customWidth="1"/>
    <col min="7174" max="7174" width="47.44140625" style="3137" customWidth="1"/>
    <col min="7175" max="7175" width="13" style="3137" customWidth="1"/>
    <col min="7176" max="7177" width="8.88671875" style="3137"/>
    <col min="7178" max="7178" width="5.77734375" style="3137" customWidth="1"/>
    <col min="7179" max="7179" width="11.77734375" style="3137" customWidth="1"/>
    <col min="7180" max="7181" width="10.77734375" style="3137" customWidth="1"/>
    <col min="7182" max="7182" width="10" style="3137" customWidth="1"/>
    <col min="7183" max="7184" width="10.44140625" style="3137" bestFit="1" customWidth="1"/>
    <col min="7185" max="7185" width="10" style="3137" customWidth="1"/>
    <col min="7186" max="7186" width="10.109375" style="3137" customWidth="1"/>
    <col min="7187" max="7187" width="10" style="3137" customWidth="1"/>
    <col min="7188" max="7188" width="26.109375" style="3137" customWidth="1"/>
    <col min="7189" max="7424" width="8.88671875" style="3137"/>
    <col min="7425" max="7425" width="9.44140625" style="3137" customWidth="1"/>
    <col min="7426" max="7426" width="8.88671875" style="3137"/>
    <col min="7427" max="7429" width="12.88671875" style="3137" customWidth="1"/>
    <col min="7430" max="7430" width="47.44140625" style="3137" customWidth="1"/>
    <col min="7431" max="7431" width="13" style="3137" customWidth="1"/>
    <col min="7432" max="7433" width="8.88671875" style="3137"/>
    <col min="7434" max="7434" width="5.77734375" style="3137" customWidth="1"/>
    <col min="7435" max="7435" width="11.77734375" style="3137" customWidth="1"/>
    <col min="7436" max="7437" width="10.77734375" style="3137" customWidth="1"/>
    <col min="7438" max="7438" width="10" style="3137" customWidth="1"/>
    <col min="7439" max="7440" width="10.44140625" style="3137" bestFit="1" customWidth="1"/>
    <col min="7441" max="7441" width="10" style="3137" customWidth="1"/>
    <col min="7442" max="7442" width="10.109375" style="3137" customWidth="1"/>
    <col min="7443" max="7443" width="10" style="3137" customWidth="1"/>
    <col min="7444" max="7444" width="26.109375" style="3137" customWidth="1"/>
    <col min="7445" max="7680" width="8.88671875" style="3137"/>
    <col min="7681" max="7681" width="9.44140625" style="3137" customWidth="1"/>
    <col min="7682" max="7682" width="8.88671875" style="3137"/>
    <col min="7683" max="7685" width="12.88671875" style="3137" customWidth="1"/>
    <col min="7686" max="7686" width="47.44140625" style="3137" customWidth="1"/>
    <col min="7687" max="7687" width="13" style="3137" customWidth="1"/>
    <col min="7688" max="7689" width="8.88671875" style="3137"/>
    <col min="7690" max="7690" width="5.77734375" style="3137" customWidth="1"/>
    <col min="7691" max="7691" width="11.77734375" style="3137" customWidth="1"/>
    <col min="7692" max="7693" width="10.77734375" style="3137" customWidth="1"/>
    <col min="7694" max="7694" width="10" style="3137" customWidth="1"/>
    <col min="7695" max="7696" width="10.44140625" style="3137" bestFit="1" customWidth="1"/>
    <col min="7697" max="7697" width="10" style="3137" customWidth="1"/>
    <col min="7698" max="7698" width="10.109375" style="3137" customWidth="1"/>
    <col min="7699" max="7699" width="10" style="3137" customWidth="1"/>
    <col min="7700" max="7700" width="26.109375" style="3137" customWidth="1"/>
    <col min="7701" max="7936" width="8.88671875" style="3137"/>
    <col min="7937" max="7937" width="9.44140625" style="3137" customWidth="1"/>
    <col min="7938" max="7938" width="8.88671875" style="3137"/>
    <col min="7939" max="7941" width="12.88671875" style="3137" customWidth="1"/>
    <col min="7942" max="7942" width="47.44140625" style="3137" customWidth="1"/>
    <col min="7943" max="7943" width="13" style="3137" customWidth="1"/>
    <col min="7944" max="7945" width="8.88671875" style="3137"/>
    <col min="7946" max="7946" width="5.77734375" style="3137" customWidth="1"/>
    <col min="7947" max="7947" width="11.77734375" style="3137" customWidth="1"/>
    <col min="7948" max="7949" width="10.77734375" style="3137" customWidth="1"/>
    <col min="7950" max="7950" width="10" style="3137" customWidth="1"/>
    <col min="7951" max="7952" width="10.44140625" style="3137" bestFit="1" customWidth="1"/>
    <col min="7953" max="7953" width="10" style="3137" customWidth="1"/>
    <col min="7954" max="7954" width="10.109375" style="3137" customWidth="1"/>
    <col min="7955" max="7955" width="10" style="3137" customWidth="1"/>
    <col min="7956" max="7956" width="26.109375" style="3137" customWidth="1"/>
    <col min="7957" max="8192" width="8.88671875" style="3137"/>
    <col min="8193" max="8193" width="9.44140625" style="3137" customWidth="1"/>
    <col min="8194" max="8194" width="8.88671875" style="3137"/>
    <col min="8195" max="8197" width="12.88671875" style="3137" customWidth="1"/>
    <col min="8198" max="8198" width="47.44140625" style="3137" customWidth="1"/>
    <col min="8199" max="8199" width="13" style="3137" customWidth="1"/>
    <col min="8200" max="8201" width="8.88671875" style="3137"/>
    <col min="8202" max="8202" width="5.77734375" style="3137" customWidth="1"/>
    <col min="8203" max="8203" width="11.77734375" style="3137" customWidth="1"/>
    <col min="8204" max="8205" width="10.77734375" style="3137" customWidth="1"/>
    <col min="8206" max="8206" width="10" style="3137" customWidth="1"/>
    <col min="8207" max="8208" width="10.44140625" style="3137" bestFit="1" customWidth="1"/>
    <col min="8209" max="8209" width="10" style="3137" customWidth="1"/>
    <col min="8210" max="8210" width="10.109375" style="3137" customWidth="1"/>
    <col min="8211" max="8211" width="10" style="3137" customWidth="1"/>
    <col min="8212" max="8212" width="26.109375" style="3137" customWidth="1"/>
    <col min="8213" max="8448" width="8.88671875" style="3137"/>
    <col min="8449" max="8449" width="9.44140625" style="3137" customWidth="1"/>
    <col min="8450" max="8450" width="8.88671875" style="3137"/>
    <col min="8451" max="8453" width="12.88671875" style="3137" customWidth="1"/>
    <col min="8454" max="8454" width="47.44140625" style="3137" customWidth="1"/>
    <col min="8455" max="8455" width="13" style="3137" customWidth="1"/>
    <col min="8456" max="8457" width="8.88671875" style="3137"/>
    <col min="8458" max="8458" width="5.77734375" style="3137" customWidth="1"/>
    <col min="8459" max="8459" width="11.77734375" style="3137" customWidth="1"/>
    <col min="8460" max="8461" width="10.77734375" style="3137" customWidth="1"/>
    <col min="8462" max="8462" width="10" style="3137" customWidth="1"/>
    <col min="8463" max="8464" width="10.44140625" style="3137" bestFit="1" customWidth="1"/>
    <col min="8465" max="8465" width="10" style="3137" customWidth="1"/>
    <col min="8466" max="8466" width="10.109375" style="3137" customWidth="1"/>
    <col min="8467" max="8467" width="10" style="3137" customWidth="1"/>
    <col min="8468" max="8468" width="26.109375" style="3137" customWidth="1"/>
    <col min="8469" max="8704" width="8.88671875" style="3137"/>
    <col min="8705" max="8705" width="9.44140625" style="3137" customWidth="1"/>
    <col min="8706" max="8706" width="8.88671875" style="3137"/>
    <col min="8707" max="8709" width="12.88671875" style="3137" customWidth="1"/>
    <col min="8710" max="8710" width="47.44140625" style="3137" customWidth="1"/>
    <col min="8711" max="8711" width="13" style="3137" customWidth="1"/>
    <col min="8712" max="8713" width="8.88671875" style="3137"/>
    <col min="8714" max="8714" width="5.77734375" style="3137" customWidth="1"/>
    <col min="8715" max="8715" width="11.77734375" style="3137" customWidth="1"/>
    <col min="8716" max="8717" width="10.77734375" style="3137" customWidth="1"/>
    <col min="8718" max="8718" width="10" style="3137" customWidth="1"/>
    <col min="8719" max="8720" width="10.44140625" style="3137" bestFit="1" customWidth="1"/>
    <col min="8721" max="8721" width="10" style="3137" customWidth="1"/>
    <col min="8722" max="8722" width="10.109375" style="3137" customWidth="1"/>
    <col min="8723" max="8723" width="10" style="3137" customWidth="1"/>
    <col min="8724" max="8724" width="26.109375" style="3137" customWidth="1"/>
    <col min="8725" max="8960" width="8.88671875" style="3137"/>
    <col min="8961" max="8961" width="9.44140625" style="3137" customWidth="1"/>
    <col min="8962" max="8962" width="8.88671875" style="3137"/>
    <col min="8963" max="8965" width="12.88671875" style="3137" customWidth="1"/>
    <col min="8966" max="8966" width="47.44140625" style="3137" customWidth="1"/>
    <col min="8967" max="8967" width="13" style="3137" customWidth="1"/>
    <col min="8968" max="8969" width="8.88671875" style="3137"/>
    <col min="8970" max="8970" width="5.77734375" style="3137" customWidth="1"/>
    <col min="8971" max="8971" width="11.77734375" style="3137" customWidth="1"/>
    <col min="8972" max="8973" width="10.77734375" style="3137" customWidth="1"/>
    <col min="8974" max="8974" width="10" style="3137" customWidth="1"/>
    <col min="8975" max="8976" width="10.44140625" style="3137" bestFit="1" customWidth="1"/>
    <col min="8977" max="8977" width="10" style="3137" customWidth="1"/>
    <col min="8978" max="8978" width="10.109375" style="3137" customWidth="1"/>
    <col min="8979" max="8979" width="10" style="3137" customWidth="1"/>
    <col min="8980" max="8980" width="26.109375" style="3137" customWidth="1"/>
    <col min="8981" max="9216" width="8.88671875" style="3137"/>
    <col min="9217" max="9217" width="9.44140625" style="3137" customWidth="1"/>
    <col min="9218" max="9218" width="8.88671875" style="3137"/>
    <col min="9219" max="9221" width="12.88671875" style="3137" customWidth="1"/>
    <col min="9222" max="9222" width="47.44140625" style="3137" customWidth="1"/>
    <col min="9223" max="9223" width="13" style="3137" customWidth="1"/>
    <col min="9224" max="9225" width="8.88671875" style="3137"/>
    <col min="9226" max="9226" width="5.77734375" style="3137" customWidth="1"/>
    <col min="9227" max="9227" width="11.77734375" style="3137" customWidth="1"/>
    <col min="9228" max="9229" width="10.77734375" style="3137" customWidth="1"/>
    <col min="9230" max="9230" width="10" style="3137" customWidth="1"/>
    <col min="9231" max="9232" width="10.44140625" style="3137" bestFit="1" customWidth="1"/>
    <col min="9233" max="9233" width="10" style="3137" customWidth="1"/>
    <col min="9234" max="9234" width="10.109375" style="3137" customWidth="1"/>
    <col min="9235" max="9235" width="10" style="3137" customWidth="1"/>
    <col min="9236" max="9236" width="26.109375" style="3137" customWidth="1"/>
    <col min="9237" max="9472" width="8.88671875" style="3137"/>
    <col min="9473" max="9473" width="9.44140625" style="3137" customWidth="1"/>
    <col min="9474" max="9474" width="8.88671875" style="3137"/>
    <col min="9475" max="9477" width="12.88671875" style="3137" customWidth="1"/>
    <col min="9478" max="9478" width="47.44140625" style="3137" customWidth="1"/>
    <col min="9479" max="9479" width="13" style="3137" customWidth="1"/>
    <col min="9480" max="9481" width="8.88671875" style="3137"/>
    <col min="9482" max="9482" width="5.77734375" style="3137" customWidth="1"/>
    <col min="9483" max="9483" width="11.77734375" style="3137" customWidth="1"/>
    <col min="9484" max="9485" width="10.77734375" style="3137" customWidth="1"/>
    <col min="9486" max="9486" width="10" style="3137" customWidth="1"/>
    <col min="9487" max="9488" width="10.44140625" style="3137" bestFit="1" customWidth="1"/>
    <col min="9489" max="9489" width="10" style="3137" customWidth="1"/>
    <col min="9490" max="9490" width="10.109375" style="3137" customWidth="1"/>
    <col min="9491" max="9491" width="10" style="3137" customWidth="1"/>
    <col min="9492" max="9492" width="26.109375" style="3137" customWidth="1"/>
    <col min="9493" max="9728" width="8.88671875" style="3137"/>
    <col min="9729" max="9729" width="9.44140625" style="3137" customWidth="1"/>
    <col min="9730" max="9730" width="8.88671875" style="3137"/>
    <col min="9731" max="9733" width="12.88671875" style="3137" customWidth="1"/>
    <col min="9734" max="9734" width="47.44140625" style="3137" customWidth="1"/>
    <col min="9735" max="9735" width="13" style="3137" customWidth="1"/>
    <col min="9736" max="9737" width="8.88671875" style="3137"/>
    <col min="9738" max="9738" width="5.77734375" style="3137" customWidth="1"/>
    <col min="9739" max="9739" width="11.77734375" style="3137" customWidth="1"/>
    <col min="9740" max="9741" width="10.77734375" style="3137" customWidth="1"/>
    <col min="9742" max="9742" width="10" style="3137" customWidth="1"/>
    <col min="9743" max="9744" width="10.44140625" style="3137" bestFit="1" customWidth="1"/>
    <col min="9745" max="9745" width="10" style="3137" customWidth="1"/>
    <col min="9746" max="9746" width="10.109375" style="3137" customWidth="1"/>
    <col min="9747" max="9747" width="10" style="3137" customWidth="1"/>
    <col min="9748" max="9748" width="26.109375" style="3137" customWidth="1"/>
    <col min="9749" max="9984" width="8.88671875" style="3137"/>
    <col min="9985" max="9985" width="9.44140625" style="3137" customWidth="1"/>
    <col min="9986" max="9986" width="8.88671875" style="3137"/>
    <col min="9987" max="9989" width="12.88671875" style="3137" customWidth="1"/>
    <col min="9990" max="9990" width="47.44140625" style="3137" customWidth="1"/>
    <col min="9991" max="9991" width="13" style="3137" customWidth="1"/>
    <col min="9992" max="9993" width="8.88671875" style="3137"/>
    <col min="9994" max="9994" width="5.77734375" style="3137" customWidth="1"/>
    <col min="9995" max="9995" width="11.77734375" style="3137" customWidth="1"/>
    <col min="9996" max="9997" width="10.77734375" style="3137" customWidth="1"/>
    <col min="9998" max="9998" width="10" style="3137" customWidth="1"/>
    <col min="9999" max="10000" width="10.44140625" style="3137" bestFit="1" customWidth="1"/>
    <col min="10001" max="10001" width="10" style="3137" customWidth="1"/>
    <col min="10002" max="10002" width="10.109375" style="3137" customWidth="1"/>
    <col min="10003" max="10003" width="10" style="3137" customWidth="1"/>
    <col min="10004" max="10004" width="26.109375" style="3137" customWidth="1"/>
    <col min="10005" max="10240" width="8.88671875" style="3137"/>
    <col min="10241" max="10241" width="9.44140625" style="3137" customWidth="1"/>
    <col min="10242" max="10242" width="8.88671875" style="3137"/>
    <col min="10243" max="10245" width="12.88671875" style="3137" customWidth="1"/>
    <col min="10246" max="10246" width="47.44140625" style="3137" customWidth="1"/>
    <col min="10247" max="10247" width="13" style="3137" customWidth="1"/>
    <col min="10248" max="10249" width="8.88671875" style="3137"/>
    <col min="10250" max="10250" width="5.77734375" style="3137" customWidth="1"/>
    <col min="10251" max="10251" width="11.77734375" style="3137" customWidth="1"/>
    <col min="10252" max="10253" width="10.77734375" style="3137" customWidth="1"/>
    <col min="10254" max="10254" width="10" style="3137" customWidth="1"/>
    <col min="10255" max="10256" width="10.44140625" style="3137" bestFit="1" customWidth="1"/>
    <col min="10257" max="10257" width="10" style="3137" customWidth="1"/>
    <col min="10258" max="10258" width="10.109375" style="3137" customWidth="1"/>
    <col min="10259" max="10259" width="10" style="3137" customWidth="1"/>
    <col min="10260" max="10260" width="26.109375" style="3137" customWidth="1"/>
    <col min="10261" max="10496" width="8.88671875" style="3137"/>
    <col min="10497" max="10497" width="9.44140625" style="3137" customWidth="1"/>
    <col min="10498" max="10498" width="8.88671875" style="3137"/>
    <col min="10499" max="10501" width="12.88671875" style="3137" customWidth="1"/>
    <col min="10502" max="10502" width="47.44140625" style="3137" customWidth="1"/>
    <col min="10503" max="10503" width="13" style="3137" customWidth="1"/>
    <col min="10504" max="10505" width="8.88671875" style="3137"/>
    <col min="10506" max="10506" width="5.77734375" style="3137" customWidth="1"/>
    <col min="10507" max="10507" width="11.77734375" style="3137" customWidth="1"/>
    <col min="10508" max="10509" width="10.77734375" style="3137" customWidth="1"/>
    <col min="10510" max="10510" width="10" style="3137" customWidth="1"/>
    <col min="10511" max="10512" width="10.44140625" style="3137" bestFit="1" customWidth="1"/>
    <col min="10513" max="10513" width="10" style="3137" customWidth="1"/>
    <col min="10514" max="10514" width="10.109375" style="3137" customWidth="1"/>
    <col min="10515" max="10515" width="10" style="3137" customWidth="1"/>
    <col min="10516" max="10516" width="26.109375" style="3137" customWidth="1"/>
    <col min="10517" max="10752" width="8.88671875" style="3137"/>
    <col min="10753" max="10753" width="9.44140625" style="3137" customWidth="1"/>
    <col min="10754" max="10754" width="8.88671875" style="3137"/>
    <col min="10755" max="10757" width="12.88671875" style="3137" customWidth="1"/>
    <col min="10758" max="10758" width="47.44140625" style="3137" customWidth="1"/>
    <col min="10759" max="10759" width="13" style="3137" customWidth="1"/>
    <col min="10760" max="10761" width="8.88671875" style="3137"/>
    <col min="10762" max="10762" width="5.77734375" style="3137" customWidth="1"/>
    <col min="10763" max="10763" width="11.77734375" style="3137" customWidth="1"/>
    <col min="10764" max="10765" width="10.77734375" style="3137" customWidth="1"/>
    <col min="10766" max="10766" width="10" style="3137" customWidth="1"/>
    <col min="10767" max="10768" width="10.44140625" style="3137" bestFit="1" customWidth="1"/>
    <col min="10769" max="10769" width="10" style="3137" customWidth="1"/>
    <col min="10770" max="10770" width="10.109375" style="3137" customWidth="1"/>
    <col min="10771" max="10771" width="10" style="3137" customWidth="1"/>
    <col min="10772" max="10772" width="26.109375" style="3137" customWidth="1"/>
    <col min="10773" max="11008" width="8.88671875" style="3137"/>
    <col min="11009" max="11009" width="9.44140625" style="3137" customWidth="1"/>
    <col min="11010" max="11010" width="8.88671875" style="3137"/>
    <col min="11011" max="11013" width="12.88671875" style="3137" customWidth="1"/>
    <col min="11014" max="11014" width="47.44140625" style="3137" customWidth="1"/>
    <col min="11015" max="11015" width="13" style="3137" customWidth="1"/>
    <col min="11016" max="11017" width="8.88671875" style="3137"/>
    <col min="11018" max="11018" width="5.77734375" style="3137" customWidth="1"/>
    <col min="11019" max="11019" width="11.77734375" style="3137" customWidth="1"/>
    <col min="11020" max="11021" width="10.77734375" style="3137" customWidth="1"/>
    <col min="11022" max="11022" width="10" style="3137" customWidth="1"/>
    <col min="11023" max="11024" width="10.44140625" style="3137" bestFit="1" customWidth="1"/>
    <col min="11025" max="11025" width="10" style="3137" customWidth="1"/>
    <col min="11026" max="11026" width="10.109375" style="3137" customWidth="1"/>
    <col min="11027" max="11027" width="10" style="3137" customWidth="1"/>
    <col min="11028" max="11028" width="26.109375" style="3137" customWidth="1"/>
    <col min="11029" max="11264" width="8.88671875" style="3137"/>
    <col min="11265" max="11265" width="9.44140625" style="3137" customWidth="1"/>
    <col min="11266" max="11266" width="8.88671875" style="3137"/>
    <col min="11267" max="11269" width="12.88671875" style="3137" customWidth="1"/>
    <col min="11270" max="11270" width="47.44140625" style="3137" customWidth="1"/>
    <col min="11271" max="11271" width="13" style="3137" customWidth="1"/>
    <col min="11272" max="11273" width="8.88671875" style="3137"/>
    <col min="11274" max="11274" width="5.77734375" style="3137" customWidth="1"/>
    <col min="11275" max="11275" width="11.77734375" style="3137" customWidth="1"/>
    <col min="11276" max="11277" width="10.77734375" style="3137" customWidth="1"/>
    <col min="11278" max="11278" width="10" style="3137" customWidth="1"/>
    <col min="11279" max="11280" width="10.44140625" style="3137" bestFit="1" customWidth="1"/>
    <col min="11281" max="11281" width="10" style="3137" customWidth="1"/>
    <col min="11282" max="11282" width="10.109375" style="3137" customWidth="1"/>
    <col min="11283" max="11283" width="10" style="3137" customWidth="1"/>
    <col min="11284" max="11284" width="26.109375" style="3137" customWidth="1"/>
    <col min="11285" max="11520" width="8.88671875" style="3137"/>
    <col min="11521" max="11521" width="9.44140625" style="3137" customWidth="1"/>
    <col min="11522" max="11522" width="8.88671875" style="3137"/>
    <col min="11523" max="11525" width="12.88671875" style="3137" customWidth="1"/>
    <col min="11526" max="11526" width="47.44140625" style="3137" customWidth="1"/>
    <col min="11527" max="11527" width="13" style="3137" customWidth="1"/>
    <col min="11528" max="11529" width="8.88671875" style="3137"/>
    <col min="11530" max="11530" width="5.77734375" style="3137" customWidth="1"/>
    <col min="11531" max="11531" width="11.77734375" style="3137" customWidth="1"/>
    <col min="11532" max="11533" width="10.77734375" style="3137" customWidth="1"/>
    <col min="11534" max="11534" width="10" style="3137" customWidth="1"/>
    <col min="11535" max="11536" width="10.44140625" style="3137" bestFit="1" customWidth="1"/>
    <col min="11537" max="11537" width="10" style="3137" customWidth="1"/>
    <col min="11538" max="11538" width="10.109375" style="3137" customWidth="1"/>
    <col min="11539" max="11539" width="10" style="3137" customWidth="1"/>
    <col min="11540" max="11540" width="26.109375" style="3137" customWidth="1"/>
    <col min="11541" max="11776" width="8.88671875" style="3137"/>
    <col min="11777" max="11777" width="9.44140625" style="3137" customWidth="1"/>
    <col min="11778" max="11778" width="8.88671875" style="3137"/>
    <col min="11779" max="11781" width="12.88671875" style="3137" customWidth="1"/>
    <col min="11782" max="11782" width="47.44140625" style="3137" customWidth="1"/>
    <col min="11783" max="11783" width="13" style="3137" customWidth="1"/>
    <col min="11784" max="11785" width="8.88671875" style="3137"/>
    <col min="11786" max="11786" width="5.77734375" style="3137" customWidth="1"/>
    <col min="11787" max="11787" width="11.77734375" style="3137" customWidth="1"/>
    <col min="11788" max="11789" width="10.77734375" style="3137" customWidth="1"/>
    <col min="11790" max="11790" width="10" style="3137" customWidth="1"/>
    <col min="11791" max="11792" width="10.44140625" style="3137" bestFit="1" customWidth="1"/>
    <col min="11793" max="11793" width="10" style="3137" customWidth="1"/>
    <col min="11794" max="11794" width="10.109375" style="3137" customWidth="1"/>
    <col min="11795" max="11795" width="10" style="3137" customWidth="1"/>
    <col min="11796" max="11796" width="26.109375" style="3137" customWidth="1"/>
    <col min="11797" max="12032" width="8.88671875" style="3137"/>
    <col min="12033" max="12033" width="9.44140625" style="3137" customWidth="1"/>
    <col min="12034" max="12034" width="8.88671875" style="3137"/>
    <col min="12035" max="12037" width="12.88671875" style="3137" customWidth="1"/>
    <col min="12038" max="12038" width="47.44140625" style="3137" customWidth="1"/>
    <col min="12039" max="12039" width="13" style="3137" customWidth="1"/>
    <col min="12040" max="12041" width="8.88671875" style="3137"/>
    <col min="12042" max="12042" width="5.77734375" style="3137" customWidth="1"/>
    <col min="12043" max="12043" width="11.77734375" style="3137" customWidth="1"/>
    <col min="12044" max="12045" width="10.77734375" style="3137" customWidth="1"/>
    <col min="12046" max="12046" width="10" style="3137" customWidth="1"/>
    <col min="12047" max="12048" width="10.44140625" style="3137" bestFit="1" customWidth="1"/>
    <col min="12049" max="12049" width="10" style="3137" customWidth="1"/>
    <col min="12050" max="12050" width="10.109375" style="3137" customWidth="1"/>
    <col min="12051" max="12051" width="10" style="3137" customWidth="1"/>
    <col min="12052" max="12052" width="26.109375" style="3137" customWidth="1"/>
    <col min="12053" max="12288" width="8.88671875" style="3137"/>
    <col min="12289" max="12289" width="9.44140625" style="3137" customWidth="1"/>
    <col min="12290" max="12290" width="8.88671875" style="3137"/>
    <col min="12291" max="12293" width="12.88671875" style="3137" customWidth="1"/>
    <col min="12294" max="12294" width="47.44140625" style="3137" customWidth="1"/>
    <col min="12295" max="12295" width="13" style="3137" customWidth="1"/>
    <col min="12296" max="12297" width="8.88671875" style="3137"/>
    <col min="12298" max="12298" width="5.77734375" style="3137" customWidth="1"/>
    <col min="12299" max="12299" width="11.77734375" style="3137" customWidth="1"/>
    <col min="12300" max="12301" width="10.77734375" style="3137" customWidth="1"/>
    <col min="12302" max="12302" width="10" style="3137" customWidth="1"/>
    <col min="12303" max="12304" width="10.44140625" style="3137" bestFit="1" customWidth="1"/>
    <col min="12305" max="12305" width="10" style="3137" customWidth="1"/>
    <col min="12306" max="12306" width="10.109375" style="3137" customWidth="1"/>
    <col min="12307" max="12307" width="10" style="3137" customWidth="1"/>
    <col min="12308" max="12308" width="26.109375" style="3137" customWidth="1"/>
    <col min="12309" max="12544" width="8.88671875" style="3137"/>
    <col min="12545" max="12545" width="9.44140625" style="3137" customWidth="1"/>
    <col min="12546" max="12546" width="8.88671875" style="3137"/>
    <col min="12547" max="12549" width="12.88671875" style="3137" customWidth="1"/>
    <col min="12550" max="12550" width="47.44140625" style="3137" customWidth="1"/>
    <col min="12551" max="12551" width="13" style="3137" customWidth="1"/>
    <col min="12552" max="12553" width="8.88671875" style="3137"/>
    <col min="12554" max="12554" width="5.77734375" style="3137" customWidth="1"/>
    <col min="12555" max="12555" width="11.77734375" style="3137" customWidth="1"/>
    <col min="12556" max="12557" width="10.77734375" style="3137" customWidth="1"/>
    <col min="12558" max="12558" width="10" style="3137" customWidth="1"/>
    <col min="12559" max="12560" width="10.44140625" style="3137" bestFit="1" customWidth="1"/>
    <col min="12561" max="12561" width="10" style="3137" customWidth="1"/>
    <col min="12562" max="12562" width="10.109375" style="3137" customWidth="1"/>
    <col min="12563" max="12563" width="10" style="3137" customWidth="1"/>
    <col min="12564" max="12564" width="26.109375" style="3137" customWidth="1"/>
    <col min="12565" max="12800" width="8.88671875" style="3137"/>
    <col min="12801" max="12801" width="9.44140625" style="3137" customWidth="1"/>
    <col min="12802" max="12802" width="8.88671875" style="3137"/>
    <col min="12803" max="12805" width="12.88671875" style="3137" customWidth="1"/>
    <col min="12806" max="12806" width="47.44140625" style="3137" customWidth="1"/>
    <col min="12807" max="12807" width="13" style="3137" customWidth="1"/>
    <col min="12808" max="12809" width="8.88671875" style="3137"/>
    <col min="12810" max="12810" width="5.77734375" style="3137" customWidth="1"/>
    <col min="12811" max="12811" width="11.77734375" style="3137" customWidth="1"/>
    <col min="12812" max="12813" width="10.77734375" style="3137" customWidth="1"/>
    <col min="12814" max="12814" width="10" style="3137" customWidth="1"/>
    <col min="12815" max="12816" width="10.44140625" style="3137" bestFit="1" customWidth="1"/>
    <col min="12817" max="12817" width="10" style="3137" customWidth="1"/>
    <col min="12818" max="12818" width="10.109375" style="3137" customWidth="1"/>
    <col min="12819" max="12819" width="10" style="3137" customWidth="1"/>
    <col min="12820" max="12820" width="26.109375" style="3137" customWidth="1"/>
    <col min="12821" max="13056" width="8.88671875" style="3137"/>
    <col min="13057" max="13057" width="9.44140625" style="3137" customWidth="1"/>
    <col min="13058" max="13058" width="8.88671875" style="3137"/>
    <col min="13059" max="13061" width="12.88671875" style="3137" customWidth="1"/>
    <col min="13062" max="13062" width="47.44140625" style="3137" customWidth="1"/>
    <col min="13063" max="13063" width="13" style="3137" customWidth="1"/>
    <col min="13064" max="13065" width="8.88671875" style="3137"/>
    <col min="13066" max="13066" width="5.77734375" style="3137" customWidth="1"/>
    <col min="13067" max="13067" width="11.77734375" style="3137" customWidth="1"/>
    <col min="13068" max="13069" width="10.77734375" style="3137" customWidth="1"/>
    <col min="13070" max="13070" width="10" style="3137" customWidth="1"/>
    <col min="13071" max="13072" width="10.44140625" style="3137" bestFit="1" customWidth="1"/>
    <col min="13073" max="13073" width="10" style="3137" customWidth="1"/>
    <col min="13074" max="13074" width="10.109375" style="3137" customWidth="1"/>
    <col min="13075" max="13075" width="10" style="3137" customWidth="1"/>
    <col min="13076" max="13076" width="26.109375" style="3137" customWidth="1"/>
    <col min="13077" max="13312" width="8.88671875" style="3137"/>
    <col min="13313" max="13313" width="9.44140625" style="3137" customWidth="1"/>
    <col min="13314" max="13314" width="8.88671875" style="3137"/>
    <col min="13315" max="13317" width="12.88671875" style="3137" customWidth="1"/>
    <col min="13318" max="13318" width="47.44140625" style="3137" customWidth="1"/>
    <col min="13319" max="13319" width="13" style="3137" customWidth="1"/>
    <col min="13320" max="13321" width="8.88671875" style="3137"/>
    <col min="13322" max="13322" width="5.77734375" style="3137" customWidth="1"/>
    <col min="13323" max="13323" width="11.77734375" style="3137" customWidth="1"/>
    <col min="13324" max="13325" width="10.77734375" style="3137" customWidth="1"/>
    <col min="13326" max="13326" width="10" style="3137" customWidth="1"/>
    <col min="13327" max="13328" width="10.44140625" style="3137" bestFit="1" customWidth="1"/>
    <col min="13329" max="13329" width="10" style="3137" customWidth="1"/>
    <col min="13330" max="13330" width="10.109375" style="3137" customWidth="1"/>
    <col min="13331" max="13331" width="10" style="3137" customWidth="1"/>
    <col min="13332" max="13332" width="26.109375" style="3137" customWidth="1"/>
    <col min="13333" max="13568" width="8.88671875" style="3137"/>
    <col min="13569" max="13569" width="9.44140625" style="3137" customWidth="1"/>
    <col min="13570" max="13570" width="8.88671875" style="3137"/>
    <col min="13571" max="13573" width="12.88671875" style="3137" customWidth="1"/>
    <col min="13574" max="13574" width="47.44140625" style="3137" customWidth="1"/>
    <col min="13575" max="13575" width="13" style="3137" customWidth="1"/>
    <col min="13576" max="13577" width="8.88671875" style="3137"/>
    <col min="13578" max="13578" width="5.77734375" style="3137" customWidth="1"/>
    <col min="13579" max="13579" width="11.77734375" style="3137" customWidth="1"/>
    <col min="13580" max="13581" width="10.77734375" style="3137" customWidth="1"/>
    <col min="13582" max="13582" width="10" style="3137" customWidth="1"/>
    <col min="13583" max="13584" width="10.44140625" style="3137" bestFit="1" customWidth="1"/>
    <col min="13585" max="13585" width="10" style="3137" customWidth="1"/>
    <col min="13586" max="13586" width="10.109375" style="3137" customWidth="1"/>
    <col min="13587" max="13587" width="10" style="3137" customWidth="1"/>
    <col min="13588" max="13588" width="26.109375" style="3137" customWidth="1"/>
    <col min="13589" max="13824" width="8.88671875" style="3137"/>
    <col min="13825" max="13825" width="9.44140625" style="3137" customWidth="1"/>
    <col min="13826" max="13826" width="8.88671875" style="3137"/>
    <col min="13827" max="13829" width="12.88671875" style="3137" customWidth="1"/>
    <col min="13830" max="13830" width="47.44140625" style="3137" customWidth="1"/>
    <col min="13831" max="13831" width="13" style="3137" customWidth="1"/>
    <col min="13832" max="13833" width="8.88671875" style="3137"/>
    <col min="13834" max="13834" width="5.77734375" style="3137" customWidth="1"/>
    <col min="13835" max="13835" width="11.77734375" style="3137" customWidth="1"/>
    <col min="13836" max="13837" width="10.77734375" style="3137" customWidth="1"/>
    <col min="13838" max="13838" width="10" style="3137" customWidth="1"/>
    <col min="13839" max="13840" width="10.44140625" style="3137" bestFit="1" customWidth="1"/>
    <col min="13841" max="13841" width="10" style="3137" customWidth="1"/>
    <col min="13842" max="13842" width="10.109375" style="3137" customWidth="1"/>
    <col min="13843" max="13843" width="10" style="3137" customWidth="1"/>
    <col min="13844" max="13844" width="26.109375" style="3137" customWidth="1"/>
    <col min="13845" max="14080" width="8.88671875" style="3137"/>
    <col min="14081" max="14081" width="9.44140625" style="3137" customWidth="1"/>
    <col min="14082" max="14082" width="8.88671875" style="3137"/>
    <col min="14083" max="14085" width="12.88671875" style="3137" customWidth="1"/>
    <col min="14086" max="14086" width="47.44140625" style="3137" customWidth="1"/>
    <col min="14087" max="14087" width="13" style="3137" customWidth="1"/>
    <col min="14088" max="14089" width="8.88671875" style="3137"/>
    <col min="14090" max="14090" width="5.77734375" style="3137" customWidth="1"/>
    <col min="14091" max="14091" width="11.77734375" style="3137" customWidth="1"/>
    <col min="14092" max="14093" width="10.77734375" style="3137" customWidth="1"/>
    <col min="14094" max="14094" width="10" style="3137" customWidth="1"/>
    <col min="14095" max="14096" width="10.44140625" style="3137" bestFit="1" customWidth="1"/>
    <col min="14097" max="14097" width="10" style="3137" customWidth="1"/>
    <col min="14098" max="14098" width="10.109375" style="3137" customWidth="1"/>
    <col min="14099" max="14099" width="10" style="3137" customWidth="1"/>
    <col min="14100" max="14100" width="26.109375" style="3137" customWidth="1"/>
    <col min="14101" max="14336" width="8.88671875" style="3137"/>
    <col min="14337" max="14337" width="9.44140625" style="3137" customWidth="1"/>
    <col min="14338" max="14338" width="8.88671875" style="3137"/>
    <col min="14339" max="14341" width="12.88671875" style="3137" customWidth="1"/>
    <col min="14342" max="14342" width="47.44140625" style="3137" customWidth="1"/>
    <col min="14343" max="14343" width="13" style="3137" customWidth="1"/>
    <col min="14344" max="14345" width="8.88671875" style="3137"/>
    <col min="14346" max="14346" width="5.77734375" style="3137" customWidth="1"/>
    <col min="14347" max="14347" width="11.77734375" style="3137" customWidth="1"/>
    <col min="14348" max="14349" width="10.77734375" style="3137" customWidth="1"/>
    <col min="14350" max="14350" width="10" style="3137" customWidth="1"/>
    <col min="14351" max="14352" width="10.44140625" style="3137" bestFit="1" customWidth="1"/>
    <col min="14353" max="14353" width="10" style="3137" customWidth="1"/>
    <col min="14354" max="14354" width="10.109375" style="3137" customWidth="1"/>
    <col min="14355" max="14355" width="10" style="3137" customWidth="1"/>
    <col min="14356" max="14356" width="26.109375" style="3137" customWidth="1"/>
    <col min="14357" max="14592" width="8.88671875" style="3137"/>
    <col min="14593" max="14593" width="9.44140625" style="3137" customWidth="1"/>
    <col min="14594" max="14594" width="8.88671875" style="3137"/>
    <col min="14595" max="14597" width="12.88671875" style="3137" customWidth="1"/>
    <col min="14598" max="14598" width="47.44140625" style="3137" customWidth="1"/>
    <col min="14599" max="14599" width="13" style="3137" customWidth="1"/>
    <col min="14600" max="14601" width="8.88671875" style="3137"/>
    <col min="14602" max="14602" width="5.77734375" style="3137" customWidth="1"/>
    <col min="14603" max="14603" width="11.77734375" style="3137" customWidth="1"/>
    <col min="14604" max="14605" width="10.77734375" style="3137" customWidth="1"/>
    <col min="14606" max="14606" width="10" style="3137" customWidth="1"/>
    <col min="14607" max="14608" width="10.44140625" style="3137" bestFit="1" customWidth="1"/>
    <col min="14609" max="14609" width="10" style="3137" customWidth="1"/>
    <col min="14610" max="14610" width="10.109375" style="3137" customWidth="1"/>
    <col min="14611" max="14611" width="10" style="3137" customWidth="1"/>
    <col min="14612" max="14612" width="26.109375" style="3137" customWidth="1"/>
    <col min="14613" max="14848" width="8.88671875" style="3137"/>
    <col min="14849" max="14849" width="9.44140625" style="3137" customWidth="1"/>
    <col min="14850" max="14850" width="8.88671875" style="3137"/>
    <col min="14851" max="14853" width="12.88671875" style="3137" customWidth="1"/>
    <col min="14854" max="14854" width="47.44140625" style="3137" customWidth="1"/>
    <col min="14855" max="14855" width="13" style="3137" customWidth="1"/>
    <col min="14856" max="14857" width="8.88671875" style="3137"/>
    <col min="14858" max="14858" width="5.77734375" style="3137" customWidth="1"/>
    <col min="14859" max="14859" width="11.77734375" style="3137" customWidth="1"/>
    <col min="14860" max="14861" width="10.77734375" style="3137" customWidth="1"/>
    <col min="14862" max="14862" width="10" style="3137" customWidth="1"/>
    <col min="14863" max="14864" width="10.44140625" style="3137" bestFit="1" customWidth="1"/>
    <col min="14865" max="14865" width="10" style="3137" customWidth="1"/>
    <col min="14866" max="14866" width="10.109375" style="3137" customWidth="1"/>
    <col min="14867" max="14867" width="10" style="3137" customWidth="1"/>
    <col min="14868" max="14868" width="26.109375" style="3137" customWidth="1"/>
    <col min="14869" max="15104" width="8.88671875" style="3137"/>
    <col min="15105" max="15105" width="9.44140625" style="3137" customWidth="1"/>
    <col min="15106" max="15106" width="8.88671875" style="3137"/>
    <col min="15107" max="15109" width="12.88671875" style="3137" customWidth="1"/>
    <col min="15110" max="15110" width="47.44140625" style="3137" customWidth="1"/>
    <col min="15111" max="15111" width="13" style="3137" customWidth="1"/>
    <col min="15112" max="15113" width="8.88671875" style="3137"/>
    <col min="15114" max="15114" width="5.77734375" style="3137" customWidth="1"/>
    <col min="15115" max="15115" width="11.77734375" style="3137" customWidth="1"/>
    <col min="15116" max="15117" width="10.77734375" style="3137" customWidth="1"/>
    <col min="15118" max="15118" width="10" style="3137" customWidth="1"/>
    <col min="15119" max="15120" width="10.44140625" style="3137" bestFit="1" customWidth="1"/>
    <col min="15121" max="15121" width="10" style="3137" customWidth="1"/>
    <col min="15122" max="15122" width="10.109375" style="3137" customWidth="1"/>
    <col min="15123" max="15123" width="10" style="3137" customWidth="1"/>
    <col min="15124" max="15124" width="26.109375" style="3137" customWidth="1"/>
    <col min="15125" max="15360" width="8.88671875" style="3137"/>
    <col min="15361" max="15361" width="9.44140625" style="3137" customWidth="1"/>
    <col min="15362" max="15362" width="8.88671875" style="3137"/>
    <col min="15363" max="15365" width="12.88671875" style="3137" customWidth="1"/>
    <col min="15366" max="15366" width="47.44140625" style="3137" customWidth="1"/>
    <col min="15367" max="15367" width="13" style="3137" customWidth="1"/>
    <col min="15368" max="15369" width="8.88671875" style="3137"/>
    <col min="15370" max="15370" width="5.77734375" style="3137" customWidth="1"/>
    <col min="15371" max="15371" width="11.77734375" style="3137" customWidth="1"/>
    <col min="15372" max="15373" width="10.77734375" style="3137" customWidth="1"/>
    <col min="15374" max="15374" width="10" style="3137" customWidth="1"/>
    <col min="15375" max="15376" width="10.44140625" style="3137" bestFit="1" customWidth="1"/>
    <col min="15377" max="15377" width="10" style="3137" customWidth="1"/>
    <col min="15378" max="15378" width="10.109375" style="3137" customWidth="1"/>
    <col min="15379" max="15379" width="10" style="3137" customWidth="1"/>
    <col min="15380" max="15380" width="26.109375" style="3137" customWidth="1"/>
    <col min="15381" max="15616" width="8.88671875" style="3137"/>
    <col min="15617" max="15617" width="9.44140625" style="3137" customWidth="1"/>
    <col min="15618" max="15618" width="8.88671875" style="3137"/>
    <col min="15619" max="15621" width="12.88671875" style="3137" customWidth="1"/>
    <col min="15622" max="15622" width="47.44140625" style="3137" customWidth="1"/>
    <col min="15623" max="15623" width="13" style="3137" customWidth="1"/>
    <col min="15624" max="15625" width="8.88671875" style="3137"/>
    <col min="15626" max="15626" width="5.77734375" style="3137" customWidth="1"/>
    <col min="15627" max="15627" width="11.77734375" style="3137" customWidth="1"/>
    <col min="15628" max="15629" width="10.77734375" style="3137" customWidth="1"/>
    <col min="15630" max="15630" width="10" style="3137" customWidth="1"/>
    <col min="15631" max="15632" width="10.44140625" style="3137" bestFit="1" customWidth="1"/>
    <col min="15633" max="15633" width="10" style="3137" customWidth="1"/>
    <col min="15634" max="15634" width="10.109375" style="3137" customWidth="1"/>
    <col min="15635" max="15635" width="10" style="3137" customWidth="1"/>
    <col min="15636" max="15636" width="26.109375" style="3137" customWidth="1"/>
    <col min="15637" max="15872" width="8.88671875" style="3137"/>
    <col min="15873" max="15873" width="9.44140625" style="3137" customWidth="1"/>
    <col min="15874" max="15874" width="8.88671875" style="3137"/>
    <col min="15875" max="15877" width="12.88671875" style="3137" customWidth="1"/>
    <col min="15878" max="15878" width="47.44140625" style="3137" customWidth="1"/>
    <col min="15879" max="15879" width="13" style="3137" customWidth="1"/>
    <col min="15880" max="15881" width="8.88671875" style="3137"/>
    <col min="15882" max="15882" width="5.77734375" style="3137" customWidth="1"/>
    <col min="15883" max="15883" width="11.77734375" style="3137" customWidth="1"/>
    <col min="15884" max="15885" width="10.77734375" style="3137" customWidth="1"/>
    <col min="15886" max="15886" width="10" style="3137" customWidth="1"/>
    <col min="15887" max="15888" width="10.44140625" style="3137" bestFit="1" customWidth="1"/>
    <col min="15889" max="15889" width="10" style="3137" customWidth="1"/>
    <col min="15890" max="15890" width="10.109375" style="3137" customWidth="1"/>
    <col min="15891" max="15891" width="10" style="3137" customWidth="1"/>
    <col min="15892" max="15892" width="26.109375" style="3137" customWidth="1"/>
    <col min="15893" max="16128" width="8.88671875" style="3137"/>
    <col min="16129" max="16129" width="9.44140625" style="3137" customWidth="1"/>
    <col min="16130" max="16130" width="8.88671875" style="3137"/>
    <col min="16131" max="16133" width="12.88671875" style="3137" customWidth="1"/>
    <col min="16134" max="16134" width="47.44140625" style="3137" customWidth="1"/>
    <col min="16135" max="16135" width="13" style="3137" customWidth="1"/>
    <col min="16136" max="16137" width="8.88671875" style="3137"/>
    <col min="16138" max="16138" width="5.77734375" style="3137" customWidth="1"/>
    <col min="16139" max="16139" width="11.77734375" style="3137" customWidth="1"/>
    <col min="16140" max="16141" width="10.77734375" style="3137" customWidth="1"/>
    <col min="16142" max="16142" width="10" style="3137" customWidth="1"/>
    <col min="16143" max="16144" width="10.44140625" style="3137" bestFit="1" customWidth="1"/>
    <col min="16145" max="16145" width="10" style="3137" customWidth="1"/>
    <col min="16146" max="16146" width="10.109375" style="3137" customWidth="1"/>
    <col min="16147" max="16147" width="10" style="3137" customWidth="1"/>
    <col min="16148" max="16148" width="26.109375" style="3137" customWidth="1"/>
    <col min="16149" max="16384" width="8.88671875" style="3137"/>
  </cols>
  <sheetData>
    <row r="1" spans="1:23" ht="21" customHeight="1">
      <c r="A1" s="3133" t="s">
        <v>2978</v>
      </c>
      <c r="B1" s="3134"/>
      <c r="C1" s="3140"/>
      <c r="D1" s="3140"/>
      <c r="E1" s="3135"/>
      <c r="F1" s="3136"/>
      <c r="G1" s="3229"/>
      <c r="J1" s="3232" t="s">
        <v>2834</v>
      </c>
      <c r="K1" s="3233"/>
      <c r="L1" s="3233"/>
      <c r="M1" s="3233"/>
      <c r="N1" s="3233"/>
      <c r="O1" s="3233"/>
      <c r="P1" s="3233"/>
      <c r="Q1" s="3233"/>
      <c r="R1" s="3234"/>
      <c r="S1" s="3235"/>
      <c r="T1" s="3235"/>
      <c r="U1" s="3235"/>
    </row>
    <row r="2" spans="1:23" s="3143" customFormat="1" ht="13.2" customHeight="1">
      <c r="A2" s="3138" t="s">
        <v>2835</v>
      </c>
      <c r="B2" s="3139" t="e">
        <f>C40</f>
        <v>#DIV/0!</v>
      </c>
      <c r="C2" s="3140" t="s">
        <v>2836</v>
      </c>
      <c r="D2" s="3140"/>
      <c r="E2" s="3141"/>
      <c r="F2" s="3142"/>
      <c r="G2" s="3236"/>
      <c r="H2" s="3237"/>
      <c r="I2" s="3238"/>
      <c r="J2" s="3557" t="s">
        <v>2837</v>
      </c>
      <c r="K2" s="3558"/>
      <c r="L2" s="3239" t="s">
        <v>2838</v>
      </c>
      <c r="M2" s="3239" t="s">
        <v>2839</v>
      </c>
      <c r="N2" s="3239" t="s">
        <v>2840</v>
      </c>
      <c r="O2" s="3239" t="s">
        <v>2841</v>
      </c>
      <c r="P2" s="3239" t="s">
        <v>2842</v>
      </c>
      <c r="Q2" s="3240" t="s">
        <v>2843</v>
      </c>
      <c r="R2" s="3241" t="s">
        <v>2844</v>
      </c>
      <c r="S2" s="3235"/>
      <c r="T2" s="3235"/>
      <c r="U2" s="3235"/>
      <c r="V2" s="3238"/>
      <c r="W2" s="3237"/>
    </row>
    <row r="3" spans="1:23" s="3143" customFormat="1" ht="13.2" customHeight="1">
      <c r="A3" s="3145" t="s">
        <v>2845</v>
      </c>
      <c r="B3" s="3146" t="e">
        <f>ROUND(B2*10000/B4,0)</f>
        <v>#DIV/0!</v>
      </c>
      <c r="C3" s="3140" t="s">
        <v>2846</v>
      </c>
      <c r="D3" s="3140"/>
      <c r="E3" s="3141"/>
      <c r="F3" s="3142"/>
      <c r="G3" s="3236"/>
      <c r="H3" s="3237"/>
      <c r="I3" s="3238"/>
      <c r="J3" s="3559" t="s">
        <v>2847</v>
      </c>
      <c r="K3" s="3560"/>
      <c r="L3" s="3242"/>
      <c r="M3" s="3242"/>
      <c r="N3" s="3242"/>
      <c r="O3" s="3242"/>
      <c r="P3" s="3242"/>
      <c r="Q3" s="3243"/>
      <c r="R3" s="3244">
        <f>SUM(L3:Q3)</f>
        <v>0</v>
      </c>
      <c r="S3" s="3235"/>
      <c r="T3" s="3235"/>
      <c r="U3" s="3235"/>
      <c r="V3" s="3238"/>
      <c r="W3" s="3237"/>
    </row>
    <row r="4" spans="1:23" s="3143" customFormat="1" ht="13.2" customHeight="1">
      <c r="A4" s="3147" t="s">
        <v>2848</v>
      </c>
      <c r="B4" s="3204"/>
      <c r="C4" s="3140"/>
      <c r="D4" s="3140"/>
      <c r="E4" s="3141"/>
      <c r="F4" s="3142"/>
      <c r="G4" s="3236"/>
      <c r="H4" s="3237"/>
      <c r="I4" s="3238"/>
      <c r="J4" s="3559" t="s">
        <v>2849</v>
      </c>
      <c r="K4" s="3560"/>
      <c r="L4" s="3245"/>
      <c r="M4" s="3245"/>
      <c r="N4" s="3245"/>
      <c r="O4" s="3245"/>
      <c r="P4" s="3245"/>
      <c r="Q4" s="3246"/>
      <c r="R4" s="3247">
        <f>SUM(L4:Q4)</f>
        <v>0</v>
      </c>
      <c r="S4" s="3235"/>
      <c r="T4" s="3235"/>
      <c r="U4" s="3235"/>
      <c r="V4" s="3238"/>
      <c r="W4" s="3237"/>
    </row>
    <row r="5" spans="1:23" s="3143" customFormat="1" ht="13.2" customHeight="1" thickBot="1">
      <c r="A5" s="3148" t="s">
        <v>2850</v>
      </c>
      <c r="B5" s="3205"/>
      <c r="C5" s="3140"/>
      <c r="D5" s="3149"/>
      <c r="E5" s="3142"/>
      <c r="F5" s="3142"/>
      <c r="G5" s="3236"/>
      <c r="H5" s="3237"/>
      <c r="I5" s="3238"/>
      <c r="J5" s="3248" t="s">
        <v>2851</v>
      </c>
      <c r="K5" s="3249"/>
      <c r="L5" s="3249"/>
      <c r="M5" s="3250"/>
      <c r="N5" s="3250"/>
      <c r="O5" s="3250"/>
      <c r="P5" s="3250"/>
      <c r="Q5" s="3250"/>
      <c r="R5" s="3241">
        <f>SUM(R14,R19,R24,R25,R27,R28)</f>
        <v>0</v>
      </c>
      <c r="S5" s="3235"/>
      <c r="T5" s="3235" t="s">
        <v>2852</v>
      </c>
      <c r="U5" s="3235" t="e">
        <f>ROUND(R5*10000/365/R3,1)</f>
        <v>#DIV/0!</v>
      </c>
      <c r="V5" s="3238"/>
      <c r="W5" s="3237"/>
    </row>
    <row r="6" spans="1:23" s="3143" customFormat="1" ht="13.2" customHeight="1" thickBot="1">
      <c r="A6" s="3561" t="s">
        <v>2853</v>
      </c>
      <c r="B6" s="3562"/>
      <c r="C6" s="3563"/>
      <c r="D6" s="3206"/>
      <c r="E6" s="3150"/>
      <c r="F6" s="3151"/>
      <c r="G6" s="3251"/>
      <c r="H6" s="3237"/>
      <c r="I6" s="3238"/>
      <c r="J6" s="3564">
        <v>1</v>
      </c>
      <c r="K6" s="3565" t="s">
        <v>2854</v>
      </c>
      <c r="L6" s="3252" t="s">
        <v>2855</v>
      </c>
      <c r="M6" s="3253" t="s">
        <v>2856</v>
      </c>
      <c r="N6" s="3253" t="s">
        <v>2857</v>
      </c>
      <c r="O6" s="3253" t="s">
        <v>2858</v>
      </c>
      <c r="P6" s="3253" t="s">
        <v>2859</v>
      </c>
      <c r="Q6" s="3253" t="s">
        <v>2860</v>
      </c>
      <c r="R6" s="3244" t="s">
        <v>2861</v>
      </c>
      <c r="S6" s="3235"/>
      <c r="T6" s="3235" t="s">
        <v>2862</v>
      </c>
      <c r="U6" s="3235"/>
      <c r="V6" s="3238"/>
      <c r="W6" s="3237"/>
    </row>
    <row r="7" spans="1:23" s="3143" customFormat="1" ht="13.2" customHeight="1">
      <c r="A7" s="3153" t="s">
        <v>2863</v>
      </c>
      <c r="B7" s="3154"/>
      <c r="C7" s="3155"/>
      <c r="D7" s="3156">
        <f>SUM(D9,D10,D11,D17,0)</f>
        <v>0</v>
      </c>
      <c r="E7" s="3157" t="e">
        <f>E9+E10+E11+E17</f>
        <v>#DIV/0!</v>
      </c>
      <c r="F7" s="3158"/>
      <c r="G7" s="3254"/>
      <c r="H7" s="3237"/>
      <c r="I7" s="3238"/>
      <c r="J7" s="3564"/>
      <c r="K7" s="3566"/>
      <c r="L7" s="3255" t="s">
        <v>2963</v>
      </c>
      <c r="M7" s="3256"/>
      <c r="N7" s="3256"/>
      <c r="O7" s="3257"/>
      <c r="P7" s="3257"/>
      <c r="Q7" s="3258">
        <v>365</v>
      </c>
      <c r="R7" s="3259">
        <f>ROUND(M7*N7*O7*P7*Q7/10000,0)</f>
        <v>0</v>
      </c>
      <c r="S7" s="3235"/>
      <c r="T7" s="3235" t="s">
        <v>2864</v>
      </c>
      <c r="U7" s="3235"/>
      <c r="V7" s="3238"/>
      <c r="W7" s="3237"/>
    </row>
    <row r="8" spans="1:23" s="3143" customFormat="1" ht="13.2" customHeight="1">
      <c r="A8" s="3159" t="s">
        <v>2865</v>
      </c>
      <c r="B8" s="3568" t="s">
        <v>2866</v>
      </c>
      <c r="C8" s="3569"/>
      <c r="D8" s="3160" t="s">
        <v>2867</v>
      </c>
      <c r="E8" s="3161" t="s">
        <v>2868</v>
      </c>
      <c r="F8" s="3144" t="s">
        <v>2869</v>
      </c>
      <c r="G8" s="3314" t="s">
        <v>2977</v>
      </c>
      <c r="H8" s="3237"/>
      <c r="I8" s="3238"/>
      <c r="J8" s="3564"/>
      <c r="K8" s="3566"/>
      <c r="L8" s="3255" t="s">
        <v>2964</v>
      </c>
      <c r="M8" s="3256"/>
      <c r="N8" s="3256"/>
      <c r="O8" s="3257"/>
      <c r="P8" s="3257"/>
      <c r="Q8" s="3258">
        <v>365</v>
      </c>
      <c r="R8" s="3259">
        <f t="shared" ref="R8:R13" si="0">ROUND(M8*N8*O8*P8*Q8/10000,0)</f>
        <v>0</v>
      </c>
      <c r="S8" s="3235"/>
      <c r="T8" s="3235" t="s">
        <v>2870</v>
      </c>
      <c r="U8" s="3235"/>
      <c r="V8" s="3238"/>
      <c r="W8" s="3237"/>
    </row>
    <row r="9" spans="1:23" s="3143" customFormat="1" ht="13.2" customHeight="1">
      <c r="A9" s="3159">
        <v>1</v>
      </c>
      <c r="B9" s="3568" t="s">
        <v>2871</v>
      </c>
      <c r="C9" s="3569"/>
      <c r="D9" s="3160">
        <f>ROUND(D6*E9,0)</f>
        <v>0</v>
      </c>
      <c r="E9" s="3207"/>
      <c r="F9" s="3162" t="s">
        <v>2872</v>
      </c>
      <c r="G9" s="3260" t="s">
        <v>2975</v>
      </c>
      <c r="H9" s="3237"/>
      <c r="I9" s="3238"/>
      <c r="J9" s="3564"/>
      <c r="K9" s="3566"/>
      <c r="L9" s="3255" t="s">
        <v>2965</v>
      </c>
      <c r="M9" s="3256"/>
      <c r="N9" s="3256"/>
      <c r="O9" s="3257"/>
      <c r="P9" s="3257"/>
      <c r="Q9" s="3258">
        <v>365</v>
      </c>
      <c r="R9" s="3259">
        <f t="shared" si="0"/>
        <v>0</v>
      </c>
      <c r="S9" s="3235"/>
      <c r="T9" s="3235"/>
      <c r="U9" s="3235"/>
      <c r="V9" s="3238"/>
      <c r="W9" s="3237"/>
    </row>
    <row r="10" spans="1:23" s="3143" customFormat="1" ht="13.2" customHeight="1">
      <c r="A10" s="3159">
        <v>2</v>
      </c>
      <c r="B10" s="3568" t="s">
        <v>2873</v>
      </c>
      <c r="C10" s="3569"/>
      <c r="D10" s="3160">
        <f>ROUND(D6*E10,0)</f>
        <v>0</v>
      </c>
      <c r="E10" s="3207"/>
      <c r="F10" s="3162" t="s">
        <v>2874</v>
      </c>
      <c r="G10" s="3260" t="s">
        <v>2976</v>
      </c>
      <c r="H10" s="3237"/>
      <c r="I10" s="3238"/>
      <c r="J10" s="3564"/>
      <c r="K10" s="3566"/>
      <c r="L10" s="3255" t="s">
        <v>2966</v>
      </c>
      <c r="M10" s="3256"/>
      <c r="N10" s="3256"/>
      <c r="O10" s="3257"/>
      <c r="P10" s="3257"/>
      <c r="Q10" s="3258">
        <v>365</v>
      </c>
      <c r="R10" s="3259">
        <f t="shared" si="0"/>
        <v>0</v>
      </c>
      <c r="S10" s="3235"/>
      <c r="T10" s="3235"/>
      <c r="U10" s="3235"/>
      <c r="V10" s="3238"/>
      <c r="W10" s="3237"/>
    </row>
    <row r="11" spans="1:23" s="3143" customFormat="1" ht="13.2" customHeight="1">
      <c r="A11" s="3159">
        <v>3</v>
      </c>
      <c r="B11" s="3568" t="s">
        <v>2875</v>
      </c>
      <c r="C11" s="3569"/>
      <c r="D11" s="3160">
        <f>D12+D14+D15+D16</f>
        <v>0</v>
      </c>
      <c r="E11" s="3163" t="e">
        <f>D11/D6</f>
        <v>#DIV/0!</v>
      </c>
      <c r="F11" s="3144"/>
      <c r="G11" s="3260"/>
      <c r="H11" s="3237"/>
      <c r="I11" s="3238"/>
      <c r="J11" s="3564"/>
      <c r="K11" s="3566"/>
      <c r="L11" s="3255" t="s">
        <v>2967</v>
      </c>
      <c r="M11" s="3256"/>
      <c r="N11" s="3256"/>
      <c r="O11" s="3257"/>
      <c r="P11" s="3257"/>
      <c r="Q11" s="3258">
        <v>365</v>
      </c>
      <c r="R11" s="3259">
        <f t="shared" si="0"/>
        <v>0</v>
      </c>
      <c r="S11" s="3235"/>
      <c r="T11" s="3235"/>
      <c r="U11" s="3235"/>
      <c r="V11" s="3238"/>
      <c r="W11" s="3237"/>
    </row>
    <row r="12" spans="1:23" s="3143" customFormat="1" ht="13.2" customHeight="1">
      <c r="A12" s="3164" t="s">
        <v>2876</v>
      </c>
      <c r="B12" s="3570" t="s">
        <v>2877</v>
      </c>
      <c r="C12" s="3571"/>
      <c r="D12" s="3165">
        <f>ROUND(D13*1.2%*(1-30%),0)</f>
        <v>0</v>
      </c>
      <c r="E12" s="3166">
        <v>1.2E-2</v>
      </c>
      <c r="F12" s="3144" t="s">
        <v>2878</v>
      </c>
      <c r="G12" s="3260"/>
      <c r="H12" s="3237"/>
      <c r="I12" s="3238"/>
      <c r="J12" s="3564"/>
      <c r="K12" s="3566"/>
      <c r="L12" s="3255" t="s">
        <v>2968</v>
      </c>
      <c r="M12" s="3256"/>
      <c r="N12" s="3256"/>
      <c r="O12" s="3257"/>
      <c r="P12" s="3257"/>
      <c r="Q12" s="3258">
        <v>365</v>
      </c>
      <c r="R12" s="3259">
        <f t="shared" si="0"/>
        <v>0</v>
      </c>
      <c r="S12" s="3235"/>
      <c r="T12" s="3235"/>
      <c r="U12" s="3235"/>
      <c r="V12" s="3238"/>
      <c r="W12" s="3237"/>
    </row>
    <row r="13" spans="1:23" s="3143" customFormat="1" ht="13.2" customHeight="1">
      <c r="A13" s="3164"/>
      <c r="B13" s="3167"/>
      <c r="C13" s="3168" t="s">
        <v>2879</v>
      </c>
      <c r="D13" s="3208"/>
      <c r="E13" s="3169"/>
      <c r="F13" s="3144"/>
      <c r="G13" s="3260"/>
      <c r="H13" s="3237"/>
      <c r="I13" s="3238"/>
      <c r="J13" s="3564"/>
      <c r="K13" s="3566"/>
      <c r="L13" s="3255" t="s">
        <v>2969</v>
      </c>
      <c r="M13" s="3256"/>
      <c r="N13" s="3256"/>
      <c r="O13" s="3257"/>
      <c r="P13" s="3257"/>
      <c r="Q13" s="3258">
        <v>365</v>
      </c>
      <c r="R13" s="3259">
        <f t="shared" si="0"/>
        <v>0</v>
      </c>
      <c r="S13" s="3235"/>
      <c r="T13" s="3235"/>
      <c r="U13" s="3235"/>
      <c r="V13" s="3238"/>
      <c r="W13" s="3237"/>
    </row>
    <row r="14" spans="1:23" s="3143" customFormat="1" ht="13.2" customHeight="1">
      <c r="A14" s="3164" t="s">
        <v>2880</v>
      </c>
      <c r="B14" s="3570" t="s">
        <v>2881</v>
      </c>
      <c r="C14" s="3571"/>
      <c r="D14" s="3165">
        <f>ROUND(E14*B5/10000,0)</f>
        <v>0</v>
      </c>
      <c r="E14" s="3209"/>
      <c r="F14" s="3144" t="s">
        <v>2882</v>
      </c>
      <c r="G14" s="3260"/>
      <c r="H14" s="3237"/>
      <c r="I14" s="3238"/>
      <c r="J14" s="3564"/>
      <c r="K14" s="3567"/>
      <c r="L14" s="3261" t="s">
        <v>2883</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2" customHeight="1">
      <c r="A15" s="3164" t="s">
        <v>2884</v>
      </c>
      <c r="B15" s="3570" t="s">
        <v>2885</v>
      </c>
      <c r="C15" s="3571"/>
      <c r="D15" s="3165">
        <f>ROUND(D6*E15,0)</f>
        <v>0</v>
      </c>
      <c r="E15" s="3166">
        <v>5.5E-2</v>
      </c>
      <c r="F15" s="3144" t="s">
        <v>2886</v>
      </c>
      <c r="G15" s="3260"/>
      <c r="H15" s="3237"/>
      <c r="I15" s="3238"/>
      <c r="J15" s="3564">
        <v>2</v>
      </c>
      <c r="K15" s="3565" t="s">
        <v>2887</v>
      </c>
      <c r="L15" s="3265" t="s">
        <v>2888</v>
      </c>
      <c r="M15" s="3266" t="s">
        <v>2889</v>
      </c>
      <c r="N15" s="3266" t="s">
        <v>2890</v>
      </c>
      <c r="O15" s="3267" t="s">
        <v>2891</v>
      </c>
      <c r="P15" s="3267" t="s">
        <v>2892</v>
      </c>
      <c r="Q15" s="3204" t="s">
        <v>2893</v>
      </c>
      <c r="R15" s="3268" t="s">
        <v>2894</v>
      </c>
      <c r="S15" s="3235"/>
      <c r="T15" s="3235"/>
      <c r="U15" s="3235"/>
      <c r="V15" s="3238"/>
      <c r="W15" s="3237"/>
    </row>
    <row r="16" spans="1:23" s="3143" customFormat="1" ht="13.2" customHeight="1">
      <c r="A16" s="3164" t="s">
        <v>2895</v>
      </c>
      <c r="B16" s="3570" t="s">
        <v>2896</v>
      </c>
      <c r="C16" s="3571"/>
      <c r="D16" s="3210">
        <f>D6*E16</f>
        <v>0</v>
      </c>
      <c r="E16" s="3211"/>
      <c r="F16" s="3162" t="s">
        <v>2897</v>
      </c>
      <c r="G16" s="3260"/>
      <c r="H16" s="3237"/>
      <c r="I16" s="3238"/>
      <c r="J16" s="3564"/>
      <c r="K16" s="3566"/>
      <c r="L16" s="3255" t="s">
        <v>2970</v>
      </c>
      <c r="M16" s="3256"/>
      <c r="N16" s="3256"/>
      <c r="O16" s="3257"/>
      <c r="P16" s="3258">
        <v>365</v>
      </c>
      <c r="Q16" s="3256"/>
      <c r="R16" s="3269">
        <f>ROUND(M16*N16*O16*P16/10000,0)</f>
        <v>0</v>
      </c>
      <c r="S16" s="3235"/>
      <c r="T16" s="3235"/>
      <c r="U16" s="3235"/>
      <c r="V16" s="3238"/>
      <c r="W16" s="3237"/>
    </row>
    <row r="17" spans="1:23" s="3143" customFormat="1" ht="13.2" customHeight="1" thickBot="1">
      <c r="A17" s="3170">
        <v>4</v>
      </c>
      <c r="B17" s="3572" t="s">
        <v>2898</v>
      </c>
      <c r="C17" s="3573"/>
      <c r="D17" s="3171">
        <f>ROUND(D6*E17,0)</f>
        <v>0</v>
      </c>
      <c r="E17" s="3212"/>
      <c r="F17" s="3172" t="s">
        <v>2899</v>
      </c>
      <c r="G17" s="3313">
        <v>0.1</v>
      </c>
      <c r="H17" s="3237"/>
      <c r="I17" s="3238"/>
      <c r="J17" s="3564"/>
      <c r="K17" s="3566"/>
      <c r="L17" s="3255" t="s">
        <v>2971</v>
      </c>
      <c r="M17" s="3256"/>
      <c r="N17" s="3256"/>
      <c r="O17" s="3257"/>
      <c r="P17" s="3258">
        <v>365</v>
      </c>
      <c r="Q17" s="3256"/>
      <c r="R17" s="3269">
        <f>ROUND(M17*N17*O17*P17/10000,0)</f>
        <v>0</v>
      </c>
      <c r="S17" s="3235"/>
      <c r="T17" s="3235"/>
      <c r="U17" s="3235"/>
      <c r="V17" s="3238"/>
      <c r="W17" s="3237"/>
    </row>
    <row r="18" spans="1:23" s="3143" customFormat="1" ht="13.2" customHeight="1" thickBot="1">
      <c r="A18" s="3153" t="s">
        <v>2900</v>
      </c>
      <c r="B18" s="3154"/>
      <c r="C18" s="3154"/>
      <c r="D18" s="3173">
        <f>ROUND(D6*E18,0)</f>
        <v>0</v>
      </c>
      <c r="E18" s="3213"/>
      <c r="F18" s="3174" t="s">
        <v>2901</v>
      </c>
      <c r="G18" s="3313">
        <v>0.05</v>
      </c>
      <c r="H18" s="3237"/>
      <c r="I18" s="3238"/>
      <c r="J18" s="3564"/>
      <c r="K18" s="3566"/>
      <c r="L18" s="3255" t="s">
        <v>2972</v>
      </c>
      <c r="M18" s="3256"/>
      <c r="N18" s="3256"/>
      <c r="O18" s="3257"/>
      <c r="P18" s="3258">
        <v>365</v>
      </c>
      <c r="Q18" s="3256"/>
      <c r="R18" s="3269">
        <f>ROUND(M18*N18*O18*P18/10000,0)</f>
        <v>0</v>
      </c>
      <c r="S18" s="3235"/>
      <c r="T18" s="3235"/>
      <c r="U18" s="3235"/>
      <c r="V18" s="3238"/>
      <c r="W18" s="3237"/>
    </row>
    <row r="19" spans="1:23" s="3143" customFormat="1" ht="13.2" customHeight="1" thickBot="1">
      <c r="A19" s="3175" t="s">
        <v>2902</v>
      </c>
      <c r="B19" s="3150"/>
      <c r="C19" s="3150"/>
      <c r="D19" s="3150"/>
      <c r="E19" s="3150"/>
      <c r="F19" s="3151"/>
      <c r="G19" s="3260"/>
      <c r="H19" s="3237"/>
      <c r="I19" s="3238"/>
      <c r="J19" s="3564"/>
      <c r="K19" s="3567"/>
      <c r="L19" s="3261" t="s">
        <v>2883</v>
      </c>
      <c r="M19" s="3262"/>
      <c r="N19" s="3262">
        <f>SUM(N16:N18)</f>
        <v>0</v>
      </c>
      <c r="O19" s="3263"/>
      <c r="P19" s="3270" t="s">
        <v>2973</v>
      </c>
      <c r="Q19" s="3267">
        <v>0.5</v>
      </c>
      <c r="R19" s="3271">
        <f>ROUND(IF(P19="按比例",R14*Q19,SUM(R16:R18)),0)</f>
        <v>0</v>
      </c>
      <c r="S19" s="3235"/>
      <c r="T19" s="3235"/>
      <c r="U19" s="3235"/>
      <c r="V19" s="3238"/>
      <c r="W19" s="3237"/>
    </row>
    <row r="20" spans="1:23" s="3143" customFormat="1" ht="13.2" customHeight="1">
      <c r="A20" s="3153"/>
      <c r="B20" s="3154"/>
      <c r="C20" s="3154"/>
      <c r="D20" s="3154"/>
      <c r="E20" s="3154"/>
      <c r="F20" s="3176"/>
      <c r="G20" s="3260"/>
      <c r="H20" s="3237"/>
      <c r="I20" s="3238"/>
      <c r="J20" s="3564">
        <v>3</v>
      </c>
      <c r="K20" s="3565" t="s">
        <v>2903</v>
      </c>
      <c r="L20" s="3265" t="s">
        <v>2904</v>
      </c>
      <c r="M20" s="3266" t="s">
        <v>2905</v>
      </c>
      <c r="N20" s="3272" t="s">
        <v>2906</v>
      </c>
      <c r="O20" s="3267" t="s">
        <v>2907</v>
      </c>
      <c r="P20" s="3209" t="s">
        <v>2892</v>
      </c>
      <c r="Q20" s="3204" t="s">
        <v>2893</v>
      </c>
      <c r="R20" s="3268" t="s">
        <v>2894</v>
      </c>
      <c r="S20" s="3273"/>
      <c r="T20" s="3273"/>
      <c r="U20" s="3273"/>
      <c r="V20" s="3238"/>
      <c r="W20" s="3237"/>
    </row>
    <row r="21" spans="1:23" s="3143" customFormat="1" ht="13.2" customHeight="1">
      <c r="A21" s="3153"/>
      <c r="B21" s="3154"/>
      <c r="C21" s="3177" t="s">
        <v>2908</v>
      </c>
      <c r="D21" s="3178" t="s">
        <v>2909</v>
      </c>
      <c r="E21" s="3179" t="s">
        <v>2910</v>
      </c>
      <c r="F21" s="3176"/>
      <c r="G21" s="3260"/>
      <c r="H21" s="3237"/>
      <c r="I21" s="3238"/>
      <c r="J21" s="3564"/>
      <c r="K21" s="3566"/>
      <c r="L21" s="3265" t="s">
        <v>2911</v>
      </c>
      <c r="M21" s="3266"/>
      <c r="N21" s="3266"/>
      <c r="O21" s="3267"/>
      <c r="P21" s="3209">
        <v>365</v>
      </c>
      <c r="Q21" s="3204"/>
      <c r="R21" s="3274">
        <f>ROUND(M21*N21*O21*P21/10000,0)</f>
        <v>0</v>
      </c>
      <c r="S21" s="3273"/>
      <c r="T21" s="3273"/>
      <c r="U21" s="3273"/>
      <c r="V21" s="3238"/>
      <c r="W21" s="3237"/>
    </row>
    <row r="22" spans="1:23" s="3143" customFormat="1" ht="13.2" customHeight="1">
      <c r="A22" s="3153"/>
      <c r="B22" s="3154"/>
      <c r="C22" s="3214" t="s">
        <v>2912</v>
      </c>
      <c r="D22" s="3215" t="s">
        <v>2913</v>
      </c>
      <c r="E22" s="3216" t="s">
        <v>2914</v>
      </c>
      <c r="F22" s="3176"/>
      <c r="G22" s="3275"/>
      <c r="H22" s="3237"/>
      <c r="I22" s="3238"/>
      <c r="J22" s="3564"/>
      <c r="K22" s="3566"/>
      <c r="L22" s="3265" t="s">
        <v>2915</v>
      </c>
      <c r="M22" s="3266"/>
      <c r="N22" s="3266"/>
      <c r="O22" s="3267"/>
      <c r="P22" s="3209">
        <v>365</v>
      </c>
      <c r="Q22" s="3204"/>
      <c r="R22" s="3274">
        <f>ROUND(M22*N22*O22*P22/10000,0)</f>
        <v>0</v>
      </c>
      <c r="S22" s="3273"/>
      <c r="T22" s="3273"/>
      <c r="U22" s="3273"/>
      <c r="V22" s="3238"/>
      <c r="W22" s="3237"/>
    </row>
    <row r="23" spans="1:23" s="3143" customFormat="1" ht="13.2" customHeight="1">
      <c r="A23" s="3180">
        <v>1</v>
      </c>
      <c r="B23" s="3152" t="s">
        <v>2916</v>
      </c>
      <c r="C23" s="3181">
        <f>D6</f>
        <v>0</v>
      </c>
      <c r="D23" s="3182">
        <f>C23*(1+D24)</f>
        <v>0</v>
      </c>
      <c r="E23" s="3183">
        <f>D23*(1+E24)</f>
        <v>0</v>
      </c>
      <c r="F23" s="3184"/>
      <c r="G23" s="3276"/>
      <c r="H23" s="3237"/>
      <c r="I23" s="3238"/>
      <c r="J23" s="3564"/>
      <c r="K23" s="3566"/>
      <c r="L23" s="3265" t="s">
        <v>2917</v>
      </c>
      <c r="M23" s="3266"/>
      <c r="N23" s="3266"/>
      <c r="O23" s="3267"/>
      <c r="P23" s="3209">
        <v>365</v>
      </c>
      <c r="Q23" s="3204"/>
      <c r="R23" s="3274">
        <f>ROUND(M23*N23*O23*P23/10000,0)</f>
        <v>0</v>
      </c>
      <c r="S23" s="3235"/>
      <c r="T23" s="3235"/>
      <c r="U23" s="3235"/>
      <c r="V23" s="3238"/>
      <c r="W23" s="3237"/>
    </row>
    <row r="24" spans="1:23" s="3143" customFormat="1" ht="13.2" customHeight="1">
      <c r="A24" s="3185"/>
      <c r="B24" s="3186" t="s">
        <v>2918</v>
      </c>
      <c r="C24" s="3187"/>
      <c r="D24" s="3217"/>
      <c r="E24" s="3218"/>
      <c r="F24" s="3188"/>
      <c r="G24" s="3276"/>
      <c r="H24" s="3237"/>
      <c r="I24" s="3238"/>
      <c r="J24" s="3564"/>
      <c r="K24" s="3567"/>
      <c r="L24" s="3261" t="s">
        <v>2883</v>
      </c>
      <c r="M24" s="3262">
        <f>SUM(M21:M23)</f>
        <v>0</v>
      </c>
      <c r="N24" s="3262"/>
      <c r="O24" s="3263"/>
      <c r="P24" s="3270" t="s">
        <v>2973</v>
      </c>
      <c r="Q24" s="3267">
        <v>0.1</v>
      </c>
      <c r="R24" s="3271">
        <f>ROUND(IF(P24="按比例",R14*Q24,SUM(R21:R23)),0)</f>
        <v>0</v>
      </c>
      <c r="S24" s="3235"/>
      <c r="T24" s="3235"/>
      <c r="U24" s="3235"/>
      <c r="V24" s="3238"/>
      <c r="W24" s="3237"/>
    </row>
    <row r="25" spans="1:23" s="3189" customFormat="1" ht="13.2" customHeight="1">
      <c r="A25" s="3185"/>
      <c r="B25" s="3186"/>
      <c r="C25" s="3187"/>
      <c r="D25" s="3217"/>
      <c r="E25" s="3218"/>
      <c r="F25" s="3188"/>
      <c r="G25" s="3275"/>
      <c r="H25" s="3237"/>
      <c r="I25" s="3238"/>
      <c r="J25" s="3277">
        <v>4</v>
      </c>
      <c r="K25" s="3278" t="s">
        <v>2919</v>
      </c>
      <c r="L25" s="3279"/>
      <c r="M25" s="3279"/>
      <c r="N25" s="3279"/>
      <c r="O25" s="3279"/>
      <c r="P25" s="3280"/>
      <c r="Q25" s="3281">
        <v>0</v>
      </c>
      <c r="R25" s="3271">
        <f>ROUND(R14*Q25,0)</f>
        <v>0</v>
      </c>
      <c r="S25" s="3235"/>
      <c r="T25" s="3235"/>
      <c r="U25" s="3235"/>
      <c r="V25" s="3282"/>
      <c r="W25" s="3283"/>
    </row>
    <row r="26" spans="1:23" s="3189" customFormat="1" ht="13.2" customHeight="1">
      <c r="A26" s="3180">
        <v>2</v>
      </c>
      <c r="B26" s="3152" t="s">
        <v>2920</v>
      </c>
      <c r="C26" s="3181">
        <f>D7</f>
        <v>0</v>
      </c>
      <c r="D26" s="3182">
        <f>D23*D27</f>
        <v>0</v>
      </c>
      <c r="E26" s="3183">
        <f>E23*E27</f>
        <v>0</v>
      </c>
      <c r="F26" s="3184"/>
      <c r="G26" s="3276"/>
      <c r="H26" s="3237"/>
      <c r="I26" s="3238"/>
      <c r="J26" s="3574">
        <v>5</v>
      </c>
      <c r="K26" s="3284" t="s">
        <v>2921</v>
      </c>
      <c r="L26" s="3285"/>
      <c r="M26" s="3286"/>
      <c r="N26" s="3287" t="s">
        <v>2922</v>
      </c>
      <c r="O26" s="3287" t="s">
        <v>2923</v>
      </c>
      <c r="P26" s="3288" t="s">
        <v>2924</v>
      </c>
      <c r="Q26" s="3288" t="s">
        <v>2925</v>
      </c>
      <c r="R26" s="3244" t="s">
        <v>2894</v>
      </c>
      <c r="S26" s="3289"/>
      <c r="T26" s="3289"/>
      <c r="U26" s="3289"/>
      <c r="V26" s="3282"/>
      <c r="W26" s="3283"/>
    </row>
    <row r="27" spans="1:23" s="3143" customFormat="1" ht="13.2" customHeight="1">
      <c r="A27" s="3185"/>
      <c r="B27" s="3186" t="s">
        <v>2926</v>
      </c>
      <c r="C27" s="3190" t="e">
        <f>E7</f>
        <v>#DIV/0!</v>
      </c>
      <c r="D27" s="3217"/>
      <c r="E27" s="3218"/>
      <c r="F27" s="3188"/>
      <c r="G27" s="3276"/>
      <c r="H27" s="3283"/>
      <c r="I27" s="3282"/>
      <c r="J27" s="3575"/>
      <c r="K27" s="3290"/>
      <c r="L27" s="3291"/>
      <c r="M27" s="3292"/>
      <c r="N27" s="3293"/>
      <c r="O27" s="3293"/>
      <c r="P27" s="3293"/>
      <c r="Q27" s="3294"/>
      <c r="R27" s="3271">
        <f>ROUND(O27*N27*P27*(1-Q27)/10000,0)</f>
        <v>0</v>
      </c>
      <c r="S27" s="3235"/>
      <c r="T27" s="3235"/>
      <c r="U27" s="3235"/>
      <c r="V27" s="3238"/>
      <c r="W27" s="3237"/>
    </row>
    <row r="28" spans="1:23" s="3189" customFormat="1" ht="13.2" customHeight="1" thickBot="1">
      <c r="A28" s="3185"/>
      <c r="B28" s="3186"/>
      <c r="C28" s="3190"/>
      <c r="D28" s="3217"/>
      <c r="E28" s="3218" t="s">
        <v>2927</v>
      </c>
      <c r="F28" s="3188"/>
      <c r="G28" s="3275"/>
      <c r="H28" s="3283"/>
      <c r="I28" s="3282"/>
      <c r="J28" s="3295">
        <v>6</v>
      </c>
      <c r="K28" s="3296" t="s">
        <v>2928</v>
      </c>
      <c r="L28" s="3297" t="s">
        <v>2929</v>
      </c>
      <c r="M28" s="3298"/>
      <c r="N28" s="3297" t="s">
        <v>2930</v>
      </c>
      <c r="O28" s="3299"/>
      <c r="P28" s="3297" t="s">
        <v>2931</v>
      </c>
      <c r="Q28" s="3300">
        <v>1.4999999999999999E-2</v>
      </c>
      <c r="R28" s="3301"/>
      <c r="S28" s="3273"/>
      <c r="T28" s="3273"/>
      <c r="U28" s="3273"/>
      <c r="V28" s="3282"/>
      <c r="W28" s="3283"/>
    </row>
    <row r="29" spans="1:23" s="3189" customFormat="1" ht="13.2" customHeight="1">
      <c r="A29" s="3180">
        <v>3</v>
      </c>
      <c r="B29" s="3152" t="s">
        <v>2932</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2" customHeight="1" thickBot="1">
      <c r="A30" s="3185"/>
      <c r="B30" s="3186" t="s">
        <v>2926</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2" customHeight="1">
      <c r="A31" s="3185"/>
      <c r="B31" s="3186"/>
      <c r="C31" s="3219"/>
      <c r="D31" s="3191"/>
      <c r="E31" s="3169"/>
      <c r="F31" s="3188"/>
      <c r="G31" s="3275"/>
      <c r="H31" s="3283"/>
      <c r="I31" s="3282"/>
      <c r="J31" s="3232" t="s">
        <v>2933</v>
      </c>
      <c r="K31" s="3233"/>
      <c r="L31" s="3233"/>
      <c r="M31" s="3233"/>
      <c r="N31" s="3233"/>
      <c r="O31" s="3233"/>
      <c r="P31" s="3233"/>
      <c r="Q31" s="3233"/>
      <c r="R31" s="3234"/>
      <c r="S31" s="3273"/>
      <c r="T31" s="3235"/>
      <c r="U31" s="3235"/>
      <c r="V31" s="3282"/>
      <c r="W31" s="3283"/>
    </row>
    <row r="32" spans="1:23" s="3189" customFormat="1" ht="13.2" customHeight="1">
      <c r="A32" s="3180">
        <v>4</v>
      </c>
      <c r="B32" s="3152" t="s">
        <v>2934</v>
      </c>
      <c r="C32" s="3181">
        <f>C23-C26-C29</f>
        <v>0</v>
      </c>
      <c r="D32" s="3182">
        <f>D23-D26-D29</f>
        <v>0</v>
      </c>
      <c r="E32" s="3183">
        <f>E23-E26-E29</f>
        <v>0</v>
      </c>
      <c r="F32" s="3184"/>
      <c r="G32" s="3275"/>
      <c r="H32" s="3237"/>
      <c r="I32" s="3238"/>
      <c r="J32" s="3557" t="s">
        <v>2935</v>
      </c>
      <c r="K32" s="3558"/>
      <c r="L32" s="3239" t="s">
        <v>2936</v>
      </c>
      <c r="M32" s="3239" t="s">
        <v>2839</v>
      </c>
      <c r="N32" s="3239" t="s">
        <v>2840</v>
      </c>
      <c r="O32" s="3239" t="s">
        <v>2841</v>
      </c>
      <c r="P32" s="3239" t="s">
        <v>2842</v>
      </c>
      <c r="Q32" s="3240" t="s">
        <v>2937</v>
      </c>
      <c r="R32" s="3302" t="s">
        <v>2938</v>
      </c>
      <c r="S32" s="3273"/>
      <c r="T32" s="3235"/>
      <c r="U32" s="3235"/>
      <c r="V32" s="3282"/>
      <c r="W32" s="3283"/>
    </row>
    <row r="33" spans="1:23" s="3143" customFormat="1" ht="13.2" customHeight="1">
      <c r="A33" s="3180"/>
      <c r="B33" s="3152"/>
      <c r="C33" s="3181"/>
      <c r="D33" s="3192"/>
      <c r="E33" s="3193"/>
      <c r="F33" s="3184"/>
      <c r="G33" s="3275"/>
      <c r="H33" s="3283"/>
      <c r="I33" s="3282"/>
      <c r="J33" s="3559" t="s">
        <v>2939</v>
      </c>
      <c r="K33" s="3560"/>
      <c r="L33" s="3242"/>
      <c r="M33" s="3242"/>
      <c r="N33" s="3242"/>
      <c r="O33" s="3242"/>
      <c r="P33" s="3242"/>
      <c r="Q33" s="3243"/>
      <c r="R33" s="3303">
        <f>SUM(L33:Q33)</f>
        <v>0</v>
      </c>
      <c r="S33" s="3273"/>
      <c r="T33" s="3235"/>
      <c r="U33" s="3235"/>
      <c r="V33" s="3238"/>
      <c r="W33" s="3237"/>
    </row>
    <row r="34" spans="1:23" s="3143" customFormat="1" ht="13.2" customHeight="1">
      <c r="A34" s="3180">
        <v>5</v>
      </c>
      <c r="B34" s="3152" t="s">
        <v>2940</v>
      </c>
      <c r="C34" s="3220"/>
      <c r="D34" s="3221"/>
      <c r="E34" s="3222"/>
      <c r="F34" s="3184"/>
      <c r="G34" s="3275"/>
      <c r="H34" s="3283"/>
      <c r="I34" s="3282"/>
      <c r="J34" s="3559" t="s">
        <v>2941</v>
      </c>
      <c r="K34" s="3560"/>
      <c r="L34" s="3245"/>
      <c r="M34" s="3245"/>
      <c r="N34" s="3245"/>
      <c r="O34" s="3245"/>
      <c r="P34" s="3245"/>
      <c r="Q34" s="3246"/>
      <c r="R34" s="3304">
        <f>SUM(L34:Q34)</f>
        <v>0</v>
      </c>
      <c r="S34" s="3273"/>
      <c r="T34" s="3235"/>
      <c r="U34" s="3235" t="e">
        <f>ROUND(R35*10000/365/R33,1)</f>
        <v>#DIV/0!</v>
      </c>
      <c r="V34" s="3238"/>
      <c r="W34" s="3237"/>
    </row>
    <row r="35" spans="1:23" s="3143" customFormat="1" ht="13.2" customHeight="1">
      <c r="A35" s="3180">
        <v>6</v>
      </c>
      <c r="B35" s="3152" t="s">
        <v>2942</v>
      </c>
      <c r="C35" s="3223"/>
      <c r="D35" s="3224"/>
      <c r="E35" s="3225"/>
      <c r="F35" s="3184"/>
      <c r="G35" s="3305"/>
      <c r="H35" s="3237"/>
      <c r="I35" s="3282"/>
      <c r="J35" s="3248" t="s">
        <v>2943</v>
      </c>
      <c r="K35" s="3249"/>
      <c r="L35" s="3249"/>
      <c r="M35" s="3250"/>
      <c r="N35" s="3250"/>
      <c r="O35" s="3250"/>
      <c r="P35" s="3250"/>
      <c r="Q35" s="3250"/>
      <c r="R35" s="3306">
        <f>R40+R41+R43</f>
        <v>0</v>
      </c>
      <c r="S35" s="3273"/>
      <c r="T35" s="3235" t="s">
        <v>2944</v>
      </c>
      <c r="U35" s="3235"/>
      <c r="V35" s="3238"/>
      <c r="W35" s="3237"/>
    </row>
    <row r="36" spans="1:23" s="3143" customFormat="1" ht="13.2" customHeight="1" thickBot="1">
      <c r="A36" s="3180">
        <v>7</v>
      </c>
      <c r="B36" s="3194" t="s">
        <v>2945</v>
      </c>
      <c r="C36" s="3226"/>
      <c r="D36" s="3227"/>
      <c r="E36" s="3228"/>
      <c r="F36" s="3195">
        <f>C36+D36+E36</f>
        <v>0</v>
      </c>
      <c r="G36" s="3275"/>
      <c r="H36" s="3237"/>
      <c r="I36" s="3238"/>
      <c r="J36" s="3564">
        <v>1</v>
      </c>
      <c r="K36" s="3565" t="s">
        <v>2946</v>
      </c>
      <c r="L36" s="3252"/>
      <c r="M36" s="3253"/>
      <c r="N36" s="3253"/>
      <c r="O36" s="3253"/>
      <c r="P36" s="3253"/>
      <c r="Q36" s="3253"/>
      <c r="R36" s="3244" t="s">
        <v>2894</v>
      </c>
      <c r="S36" s="3273"/>
      <c r="T36" s="3235" t="s">
        <v>2947</v>
      </c>
      <c r="U36" s="3235"/>
      <c r="V36" s="3238"/>
      <c r="W36" s="3237"/>
    </row>
    <row r="37" spans="1:23" s="3143" customFormat="1" ht="13.2" customHeight="1">
      <c r="A37" s="3180"/>
      <c r="B37" s="3152"/>
      <c r="C37" s="3152"/>
      <c r="D37" s="3152"/>
      <c r="E37" s="3152"/>
      <c r="F37" s="3184"/>
      <c r="G37" s="3275"/>
      <c r="H37" s="3237"/>
      <c r="I37" s="3238"/>
      <c r="J37" s="3564"/>
      <c r="K37" s="3566"/>
      <c r="L37" s="3265"/>
      <c r="M37" s="3266"/>
      <c r="N37" s="3204"/>
      <c r="O37" s="3267"/>
      <c r="P37" s="3267"/>
      <c r="Q37" s="3209"/>
      <c r="R37" s="3307"/>
      <c r="S37" s="3273"/>
      <c r="T37" s="3235" t="s">
        <v>2948</v>
      </c>
      <c r="U37" s="3235"/>
      <c r="V37" s="3238"/>
      <c r="W37" s="3237"/>
    </row>
    <row r="38" spans="1:23" s="3143" customFormat="1" ht="13.2" customHeight="1">
      <c r="A38" s="3180">
        <v>8</v>
      </c>
      <c r="B38" s="3152"/>
      <c r="C38" s="3160" t="e">
        <f>ROUND(C32*(1-((1+C35)/(1+C34))^C36)/(C34-C35),0)</f>
        <v>#DIV/0!</v>
      </c>
      <c r="D38" s="3160">
        <f>IF(D23=0,0,ROUND(D32*(1-((1+D35)/(1+D34))^D36)/(D34-D35),0))</f>
        <v>0</v>
      </c>
      <c r="E38" s="3160">
        <f>IF(E23=0,0,ROUND(E32*(1-((1+E35)/(1+E34))^E36)/(E34-E35),0))</f>
        <v>0</v>
      </c>
      <c r="F38" s="3184"/>
      <c r="G38" s="3275"/>
      <c r="H38" s="3237"/>
      <c r="I38" s="3238"/>
      <c r="J38" s="3564"/>
      <c r="K38" s="3566"/>
      <c r="L38" s="3265"/>
      <c r="M38" s="3266"/>
      <c r="N38" s="3204"/>
      <c r="O38" s="3267"/>
      <c r="P38" s="3267"/>
      <c r="Q38" s="3209"/>
      <c r="R38" s="3307"/>
      <c r="S38" s="3273"/>
      <c r="T38" s="3235" t="s">
        <v>2870</v>
      </c>
      <c r="U38" s="3235"/>
      <c r="V38" s="3238"/>
      <c r="W38" s="3237"/>
    </row>
    <row r="39" spans="1:23" s="3143" customFormat="1" ht="13.2" customHeight="1">
      <c r="A39" s="3180">
        <v>9</v>
      </c>
      <c r="B39" s="3152" t="s">
        <v>2949</v>
      </c>
      <c r="C39" s="3165" t="e">
        <f>C38</f>
        <v>#DIV/0!</v>
      </c>
      <c r="D39" s="3152">
        <f>D38/(1+D34)^C36</f>
        <v>0</v>
      </c>
      <c r="E39" s="3152">
        <f>E38/(1+E34)^(C36+D36)</f>
        <v>0</v>
      </c>
      <c r="F39" s="3184"/>
      <c r="G39" s="3308"/>
      <c r="H39" s="3237"/>
      <c r="I39" s="3238"/>
      <c r="J39" s="3564"/>
      <c r="K39" s="3566"/>
      <c r="L39" s="3265"/>
      <c r="M39" s="3266"/>
      <c r="N39" s="3204"/>
      <c r="O39" s="3267"/>
      <c r="P39" s="3267"/>
      <c r="Q39" s="3209"/>
      <c r="R39" s="3307"/>
      <c r="S39" s="3273"/>
      <c r="T39" s="3235"/>
      <c r="U39" s="3235"/>
      <c r="V39" s="3238"/>
      <c r="W39" s="3237"/>
    </row>
    <row r="40" spans="1:23" s="3143" customFormat="1" ht="13.2" customHeight="1">
      <c r="A40" s="3196">
        <v>10</v>
      </c>
      <c r="B40" s="3152" t="s">
        <v>2950</v>
      </c>
      <c r="C40" s="3197" t="e">
        <f>C39+D39+E39</f>
        <v>#DIV/0!</v>
      </c>
      <c r="D40" s="3198"/>
      <c r="E40" s="3198"/>
      <c r="F40" s="3199"/>
      <c r="G40" s="3275"/>
      <c r="H40" s="3237"/>
      <c r="I40" s="3238"/>
      <c r="J40" s="3564"/>
      <c r="K40" s="3567"/>
      <c r="L40" s="3261" t="s">
        <v>2951</v>
      </c>
      <c r="M40" s="3262"/>
      <c r="N40" s="3262"/>
      <c r="O40" s="3263"/>
      <c r="P40" s="3263"/>
      <c r="Q40" s="3264"/>
      <c r="R40" s="3241">
        <f>SUM(R37:R39)</f>
        <v>0</v>
      </c>
      <c r="S40" s="3273"/>
      <c r="T40" s="3235"/>
      <c r="U40" s="3235"/>
      <c r="V40" s="3238"/>
      <c r="W40" s="3237"/>
    </row>
    <row r="41" spans="1:23" s="3143" customFormat="1" ht="13.2" customHeight="1" thickBot="1">
      <c r="A41" s="3200">
        <v>11</v>
      </c>
      <c r="B41" s="3201" t="s">
        <v>2952</v>
      </c>
      <c r="C41" s="3201" t="e">
        <f>ROUND(C40*10000/B4,0)</f>
        <v>#DIV/0!</v>
      </c>
      <c r="D41" s="3202"/>
      <c r="E41" s="3202"/>
      <c r="F41" s="3203"/>
      <c r="G41" s="3309"/>
      <c r="H41" s="3237"/>
      <c r="I41" s="3238"/>
      <c r="J41" s="3277">
        <v>2</v>
      </c>
      <c r="K41" s="3278" t="s">
        <v>2953</v>
      </c>
      <c r="L41" s="3279"/>
      <c r="M41" s="3279"/>
      <c r="N41" s="3279"/>
      <c r="O41" s="3279"/>
      <c r="P41" s="3280"/>
      <c r="Q41" s="3281"/>
      <c r="R41" s="3271">
        <f>ROUND(R40*Q41,0)</f>
        <v>0</v>
      </c>
      <c r="S41" s="3273"/>
      <c r="T41" s="3235"/>
      <c r="U41" s="3289"/>
      <c r="V41" s="3238"/>
      <c r="W41" s="3237"/>
    </row>
    <row r="42" spans="1:23" s="3143" customFormat="1" ht="13.2" customHeight="1">
      <c r="G42" s="3309"/>
      <c r="H42" s="3237"/>
      <c r="I42" s="3238"/>
      <c r="J42" s="3574">
        <v>3</v>
      </c>
      <c r="K42" s="3284" t="s">
        <v>2954</v>
      </c>
      <c r="L42" s="3285"/>
      <c r="M42" s="3286"/>
      <c r="N42" s="3287" t="s">
        <v>2955</v>
      </c>
      <c r="O42" s="3287" t="s">
        <v>2956</v>
      </c>
      <c r="P42" s="3288" t="s">
        <v>2957</v>
      </c>
      <c r="Q42" s="3288" t="s">
        <v>2958</v>
      </c>
      <c r="R42" s="3244" t="s">
        <v>2861</v>
      </c>
      <c r="S42" s="3289"/>
      <c r="T42" s="3289"/>
      <c r="U42" s="3235"/>
      <c r="V42" s="3238"/>
      <c r="W42" s="3237"/>
    </row>
    <row r="43" spans="1:23" ht="13.2" customHeight="1">
      <c r="A43" s="3143"/>
      <c r="B43" s="3143"/>
      <c r="C43" s="3143"/>
      <c r="D43" s="3143"/>
      <c r="E43" s="3143"/>
      <c r="F43" s="3143"/>
      <c r="I43" s="3230"/>
      <c r="J43" s="3575"/>
      <c r="K43" s="3290"/>
      <c r="L43" s="3291"/>
      <c r="M43" s="3292"/>
      <c r="N43" s="3266"/>
      <c r="O43" s="3266"/>
      <c r="P43" s="3266"/>
      <c r="Q43" s="3281"/>
      <c r="R43" s="3271">
        <f>ROUND(O43*N43*P43*(1-Q43)/10000,0)</f>
        <v>0</v>
      </c>
      <c r="S43" s="3273"/>
      <c r="T43" s="3235"/>
      <c r="V43" s="3311"/>
      <c r="W43" s="3231"/>
    </row>
    <row r="44" spans="1:23" ht="13.2" customHeight="1" thickBot="1">
      <c r="J44" s="3295">
        <v>6</v>
      </c>
      <c r="K44" s="3296" t="s">
        <v>2959</v>
      </c>
      <c r="L44" s="3312" t="s">
        <v>2960</v>
      </c>
      <c r="M44" s="3298"/>
      <c r="N44" s="3312" t="s">
        <v>2961</v>
      </c>
      <c r="O44" s="3298"/>
      <c r="P44" s="3312" t="s">
        <v>2962</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K50" sqref="K50"/>
      <selection pane="bottomLeft" activeCell="K50" sqref="K50"/>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9" t="s">
        <v>2155</v>
      </c>
      <c r="D4" s="3580"/>
      <c r="E4" s="3580"/>
      <c r="F4" s="3580"/>
      <c r="G4" s="3580"/>
      <c r="H4" s="3580"/>
      <c r="I4" s="3580"/>
      <c r="J4" s="3580"/>
      <c r="K4" s="3580"/>
      <c r="L4" s="3580"/>
      <c r="M4" s="3580"/>
      <c r="N4" s="3580"/>
      <c r="O4" s="3580"/>
      <c r="P4" s="3580"/>
      <c r="Q4" s="3580"/>
      <c r="R4" s="3580"/>
      <c r="S4" s="3581"/>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76" t="s">
        <v>45</v>
      </c>
      <c r="D25" s="3577"/>
      <c r="E25" s="3577"/>
      <c r="F25" s="3577"/>
      <c r="G25" s="3577"/>
      <c r="H25" s="3577"/>
      <c r="I25" s="3577"/>
      <c r="J25" s="3577"/>
      <c r="K25" s="3577"/>
      <c r="L25" s="3577"/>
      <c r="M25" s="3577"/>
      <c r="N25" s="3577"/>
      <c r="O25" s="3577"/>
      <c r="P25" s="3577"/>
      <c r="Q25" s="3578"/>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215.26</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4.4">
      <c r="A4" s="1633" t="s">
        <v>2188</v>
      </c>
      <c r="B4" s="1634"/>
      <c r="C4" s="3615" t="s">
        <v>2189</v>
      </c>
      <c r="D4" s="3616"/>
      <c r="E4" s="3617" t="s">
        <v>2190</v>
      </c>
      <c r="F4" s="3618"/>
      <c r="G4" s="3615" t="s">
        <v>2191</v>
      </c>
      <c r="H4" s="3616"/>
      <c r="I4" s="3615" t="s">
        <v>2192</v>
      </c>
      <c r="J4" s="3616"/>
      <c r="K4" s="1635" t="s">
        <v>2193</v>
      </c>
      <c r="L4" s="2966"/>
      <c r="M4" s="2967"/>
      <c r="N4" s="2967"/>
      <c r="O4" s="2967"/>
      <c r="P4" s="3619" t="s">
        <v>2194</v>
      </c>
      <c r="Q4" s="3620"/>
      <c r="R4" s="3604" t="s">
        <v>2190</v>
      </c>
      <c r="S4" s="3605"/>
      <c r="T4" s="3604" t="s">
        <v>2191</v>
      </c>
      <c r="U4" s="3605"/>
      <c r="V4" s="3625" t="s">
        <v>2192</v>
      </c>
      <c r="W4" s="3625"/>
      <c r="X4" s="1636"/>
      <c r="Y4" s="3604" t="s">
        <v>2194</v>
      </c>
      <c r="Z4" s="3605"/>
      <c r="AA4" s="3612" t="s">
        <v>2190</v>
      </c>
      <c r="AB4" s="3612" t="s">
        <v>2191</v>
      </c>
      <c r="AC4" s="3612" t="s">
        <v>2192</v>
      </c>
    </row>
    <row r="5" spans="1:29">
      <c r="A5" s="1638"/>
      <c r="B5" s="1639"/>
      <c r="C5" s="3600" t="s">
        <v>2195</v>
      </c>
      <c r="D5" s="3601"/>
      <c r="E5" s="3626" t="s">
        <v>2196</v>
      </c>
      <c r="F5" s="3627"/>
      <c r="G5" s="3600" t="s">
        <v>2197</v>
      </c>
      <c r="H5" s="3601"/>
      <c r="I5" s="3600" t="s">
        <v>2198</v>
      </c>
      <c r="J5" s="3601"/>
      <c r="K5" s="1640"/>
      <c r="L5" s="2966"/>
      <c r="M5" s="2967"/>
      <c r="N5" s="2967"/>
      <c r="O5" s="2967"/>
      <c r="P5" s="3621"/>
      <c r="Q5" s="3622"/>
      <c r="R5" s="3606"/>
      <c r="S5" s="3607"/>
      <c r="T5" s="3606"/>
      <c r="U5" s="3607"/>
      <c r="V5" s="3625"/>
      <c r="W5" s="3625"/>
      <c r="X5" s="1636"/>
      <c r="Y5" s="3606"/>
      <c r="Z5" s="3607"/>
      <c r="AA5" s="3613"/>
      <c r="AB5" s="3613"/>
      <c r="AC5" s="3613"/>
    </row>
    <row r="6" spans="1:29" ht="15" thickBot="1">
      <c r="A6" s="1641"/>
      <c r="B6" s="1642"/>
      <c r="C6" s="3598" t="s">
        <v>2199</v>
      </c>
      <c r="D6" s="3599"/>
      <c r="E6" s="3628" t="s">
        <v>2199</v>
      </c>
      <c r="F6" s="3629"/>
      <c r="G6" s="3598" t="s">
        <v>2199</v>
      </c>
      <c r="H6" s="3599"/>
      <c r="I6" s="3598" t="s">
        <v>2199</v>
      </c>
      <c r="J6" s="3599"/>
      <c r="K6" s="1640" t="s">
        <v>2200</v>
      </c>
      <c r="L6" s="2966"/>
      <c r="M6" s="2967"/>
      <c r="N6" s="2967"/>
      <c r="O6" s="2967"/>
      <c r="P6" s="3623"/>
      <c r="Q6" s="3624"/>
      <c r="R6" s="3606"/>
      <c r="S6" s="3607"/>
      <c r="T6" s="3608"/>
      <c r="U6" s="3609"/>
      <c r="V6" s="3625"/>
      <c r="W6" s="3625"/>
      <c r="X6" s="1636"/>
      <c r="Y6" s="3608"/>
      <c r="Z6" s="3609"/>
      <c r="AA6" s="3614"/>
      <c r="AB6" s="3614"/>
      <c r="AC6" s="3614"/>
    </row>
    <row r="7" spans="1:29" s="1655" customFormat="1" ht="15" thickBot="1">
      <c r="A7" s="1643" t="s">
        <v>2201</v>
      </c>
      <c r="B7" s="1644"/>
      <c r="C7" s="1645">
        <f>'数据-取费表'!B2</f>
        <v>44624</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02" t="s">
        <v>2202</v>
      </c>
      <c r="Q7" s="3610"/>
      <c r="R7" s="1651" t="s">
        <v>34</v>
      </c>
      <c r="S7" s="1652">
        <f t="shared" ref="S7:S15" si="0">F7</f>
        <v>0</v>
      </c>
      <c r="T7" s="1651" t="s">
        <v>34</v>
      </c>
      <c r="U7" s="1652">
        <f t="shared" ref="U7:U15" si="1">H7</f>
        <v>0</v>
      </c>
      <c r="V7" s="1651" t="s">
        <v>34</v>
      </c>
      <c r="W7" s="1652">
        <f t="shared" ref="W7:W15" si="2">J7</f>
        <v>0</v>
      </c>
      <c r="X7" s="1653"/>
      <c r="Y7" s="3602" t="s">
        <v>2202</v>
      </c>
      <c r="Z7" s="3603"/>
      <c r="AA7" s="1654" t="e">
        <f>D7/F7</f>
        <v>#DIV/0!</v>
      </c>
      <c r="AB7" s="1654" t="e">
        <f>D7/H7</f>
        <v>#DIV/0!</v>
      </c>
      <c r="AC7" s="1654" t="e">
        <f>D7/J7</f>
        <v>#DIV/0!</v>
      </c>
    </row>
    <row r="8" spans="1:29" s="1655" customFormat="1" ht="1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02" t="s">
        <v>2205</v>
      </c>
      <c r="Q8" s="3603"/>
      <c r="R8" s="1651" t="s">
        <v>34</v>
      </c>
      <c r="S8" s="1652">
        <f t="shared" si="0"/>
        <v>0</v>
      </c>
      <c r="T8" s="1651" t="s">
        <v>34</v>
      </c>
      <c r="U8" s="1652">
        <f t="shared" si="1"/>
        <v>0</v>
      </c>
      <c r="V8" s="1651" t="s">
        <v>34</v>
      </c>
      <c r="W8" s="1652">
        <f t="shared" si="2"/>
        <v>0</v>
      </c>
      <c r="X8" s="1653"/>
      <c r="Y8" s="3602" t="s">
        <v>2205</v>
      </c>
      <c r="Z8" s="3603"/>
      <c r="AA8" s="1654" t="e">
        <f t="shared" ref="AA8:AA46" si="3">D8/F8</f>
        <v>#DIV/0!</v>
      </c>
      <c r="AB8" s="1654" t="e">
        <f t="shared" ref="AB8:AB46" si="4">D8/H8</f>
        <v>#DIV/0!</v>
      </c>
      <c r="AC8" s="1654" t="e">
        <f t="shared" ref="AC8:AC46" si="5">D8/J8</f>
        <v>#DIV/0!</v>
      </c>
    </row>
    <row r="9" spans="1:29" s="1655" customFormat="1" ht="14.4">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11"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11"/>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11"/>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11"/>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11"/>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11"/>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6.6">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589" t="s">
        <v>2213</v>
      </c>
      <c r="Q15" s="1586" t="str">
        <f t="shared" si="6"/>
        <v>居住社区成熟度</v>
      </c>
      <c r="R15" s="1696" t="s">
        <v>28</v>
      </c>
      <c r="S15" s="1697">
        <f t="shared" si="0"/>
        <v>100</v>
      </c>
      <c r="T15" s="1696" t="s">
        <v>28</v>
      </c>
      <c r="U15" s="1697">
        <f t="shared" si="1"/>
        <v>100</v>
      </c>
      <c r="V15" s="1696" t="s">
        <v>28</v>
      </c>
      <c r="W15" s="1697">
        <f t="shared" si="2"/>
        <v>100</v>
      </c>
      <c r="X15" s="1636"/>
      <c r="Y15" s="3591"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590"/>
      <c r="Q16" s="1586"/>
      <c r="R16" s="1696"/>
      <c r="S16" s="1697"/>
      <c r="T16" s="1696"/>
      <c r="U16" s="1697"/>
      <c r="V16" s="1696"/>
      <c r="W16" s="1697"/>
      <c r="X16" s="1636"/>
      <c r="Y16" s="3592"/>
      <c r="Z16" s="1698"/>
      <c r="AA16" s="1699">
        <v>1</v>
      </c>
      <c r="AB16" s="1699">
        <v>1</v>
      </c>
      <c r="AC16" s="1699">
        <v>1</v>
      </c>
    </row>
    <row r="17" spans="1:29" ht="82.8">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590"/>
      <c r="Q17" s="1586" t="str">
        <f>B17</f>
        <v>交通便捷度</v>
      </c>
      <c r="R17" s="1696" t="s">
        <v>28</v>
      </c>
      <c r="S17" s="1697">
        <f>F17</f>
        <v>100</v>
      </c>
      <c r="T17" s="1696" t="s">
        <v>28</v>
      </c>
      <c r="U17" s="1697">
        <f>H17</f>
        <v>100</v>
      </c>
      <c r="V17" s="1696" t="s">
        <v>28</v>
      </c>
      <c r="W17" s="1697">
        <f>J17</f>
        <v>100</v>
      </c>
      <c r="X17" s="1636"/>
      <c r="Y17" s="359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590"/>
      <c r="Q18" s="1586"/>
      <c r="R18" s="1696"/>
      <c r="S18" s="1697"/>
      <c r="T18" s="1696"/>
      <c r="U18" s="1697"/>
      <c r="V18" s="1696"/>
      <c r="W18" s="1697"/>
      <c r="X18" s="1636"/>
      <c r="Y18" s="3592"/>
      <c r="Z18" s="1698"/>
      <c r="AA18" s="1699">
        <v>1</v>
      </c>
      <c r="AB18" s="1699">
        <v>1</v>
      </c>
      <c r="AC18" s="1699">
        <v>1</v>
      </c>
    </row>
    <row r="19" spans="1:29" ht="41.4">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590"/>
      <c r="Q19" s="1586" t="str">
        <f>B19</f>
        <v>公共配套设施</v>
      </c>
      <c r="R19" s="1696" t="s">
        <v>28</v>
      </c>
      <c r="S19" s="1697">
        <f>F19</f>
        <v>100</v>
      </c>
      <c r="T19" s="1696" t="s">
        <v>28</v>
      </c>
      <c r="U19" s="1697">
        <f>H19</f>
        <v>100</v>
      </c>
      <c r="V19" s="1696" t="s">
        <v>28</v>
      </c>
      <c r="W19" s="1697">
        <f>J19</f>
        <v>100</v>
      </c>
      <c r="X19" s="1636"/>
      <c r="Y19" s="359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590"/>
      <c r="Q20" s="1586"/>
      <c r="R20" s="1696"/>
      <c r="S20" s="1697"/>
      <c r="T20" s="1696"/>
      <c r="U20" s="1697"/>
      <c r="V20" s="1696"/>
      <c r="W20" s="1697"/>
      <c r="X20" s="1636"/>
      <c r="Y20" s="3592"/>
      <c r="Z20" s="1698"/>
      <c r="AA20" s="1699">
        <v>1</v>
      </c>
      <c r="AB20" s="1699">
        <v>1</v>
      </c>
      <c r="AC20" s="1699">
        <v>1</v>
      </c>
    </row>
    <row r="21" spans="1:29" ht="27.6">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590"/>
      <c r="Q21" s="1586" t="str">
        <f>B21</f>
        <v>基础设施水平</v>
      </c>
      <c r="R21" s="1696" t="s">
        <v>28</v>
      </c>
      <c r="S21" s="1697">
        <f>F21</f>
        <v>100</v>
      </c>
      <c r="T21" s="1696" t="s">
        <v>28</v>
      </c>
      <c r="U21" s="1697">
        <f>H21</f>
        <v>100</v>
      </c>
      <c r="V21" s="1696" t="s">
        <v>28</v>
      </c>
      <c r="W21" s="1697">
        <f>J21</f>
        <v>100</v>
      </c>
      <c r="X21" s="1636"/>
      <c r="Y21" s="359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590"/>
      <c r="Q22" s="1586"/>
      <c r="R22" s="1696"/>
      <c r="S22" s="1697"/>
      <c r="T22" s="1696"/>
      <c r="U22" s="1697"/>
      <c r="V22" s="1696"/>
      <c r="W22" s="1697"/>
      <c r="X22" s="1636"/>
      <c r="Y22" s="3592"/>
      <c r="Z22" s="1698"/>
      <c r="AA22" s="1699">
        <v>1</v>
      </c>
      <c r="AB22" s="1699">
        <v>1</v>
      </c>
      <c r="AC22" s="1699">
        <v>1</v>
      </c>
    </row>
    <row r="23" spans="1:29" ht="55.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590"/>
      <c r="Q23" s="1586" t="str">
        <f>B23</f>
        <v>自然及人文环境</v>
      </c>
      <c r="R23" s="1696" t="s">
        <v>28</v>
      </c>
      <c r="S23" s="1697">
        <f>F23</f>
        <v>100</v>
      </c>
      <c r="T23" s="1696" t="s">
        <v>28</v>
      </c>
      <c r="U23" s="1697">
        <f>H23</f>
        <v>100</v>
      </c>
      <c r="V23" s="1696" t="s">
        <v>28</v>
      </c>
      <c r="W23" s="1697">
        <f>J23</f>
        <v>100</v>
      </c>
      <c r="X23" s="1636"/>
      <c r="Y23" s="359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590"/>
      <c r="Q24" s="1586"/>
      <c r="R24" s="1696"/>
      <c r="S24" s="1697"/>
      <c r="T24" s="1696"/>
      <c r="U24" s="1697"/>
      <c r="V24" s="1696"/>
      <c r="W24" s="1697"/>
      <c r="X24" s="1636"/>
      <c r="Y24" s="3592"/>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590"/>
      <c r="Q25" s="1586" t="str">
        <f t="shared" ref="Q25:Q46" si="11">B25</f>
        <v>楼层-1</v>
      </c>
      <c r="R25" s="1696" t="s">
        <v>28</v>
      </c>
      <c r="S25" s="1697">
        <f>F25</f>
        <v>100</v>
      </c>
      <c r="T25" s="1696" t="s">
        <v>28</v>
      </c>
      <c r="U25" s="1697">
        <f>H25</f>
        <v>100</v>
      </c>
      <c r="V25" s="1696" t="s">
        <v>28</v>
      </c>
      <c r="W25" s="1697">
        <f>J25</f>
        <v>100</v>
      </c>
      <c r="X25" s="1636"/>
      <c r="Y25" s="3592"/>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590"/>
      <c r="Q26" s="1586" t="str">
        <f t="shared" si="11"/>
        <v>朝向</v>
      </c>
      <c r="R26" s="1696" t="s">
        <v>28</v>
      </c>
      <c r="S26" s="1697">
        <f>F26</f>
        <v>100</v>
      </c>
      <c r="T26" s="1696" t="s">
        <v>28</v>
      </c>
      <c r="U26" s="1697">
        <f>H26</f>
        <v>100</v>
      </c>
      <c r="V26" s="1696" t="s">
        <v>28</v>
      </c>
      <c r="W26" s="1697">
        <f>J26</f>
        <v>100</v>
      </c>
      <c r="X26" s="1636"/>
      <c r="Y26" s="3592"/>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590"/>
      <c r="Q27" s="1605" t="str">
        <f t="shared" si="11"/>
        <v>道路级别</v>
      </c>
      <c r="R27" s="1651" t="s">
        <v>28</v>
      </c>
      <c r="S27" s="1652">
        <f>F27</f>
        <v>100</v>
      </c>
      <c r="T27" s="1651" t="s">
        <v>28</v>
      </c>
      <c r="U27" s="1652">
        <f>H27</f>
        <v>100</v>
      </c>
      <c r="V27" s="1651" t="s">
        <v>28</v>
      </c>
      <c r="W27" s="1652">
        <f>J27</f>
        <v>100</v>
      </c>
      <c r="X27" s="1653"/>
      <c r="Y27" s="359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590"/>
      <c r="Q28" s="1586">
        <f t="shared" si="11"/>
        <v>111</v>
      </c>
      <c r="R28" s="1696" t="s">
        <v>28</v>
      </c>
      <c r="S28" s="1697">
        <f t="shared" ref="S28:S46" si="12">F28</f>
        <v>100</v>
      </c>
      <c r="T28" s="1696" t="s">
        <v>28</v>
      </c>
      <c r="U28" s="1697">
        <f t="shared" ref="U28:U46" si="13">H28</f>
        <v>100</v>
      </c>
      <c r="V28" s="1696" t="s">
        <v>28</v>
      </c>
      <c r="W28" s="1697">
        <f t="shared" ref="W28:W46" si="14">J28</f>
        <v>100</v>
      </c>
      <c r="X28" s="1636"/>
      <c r="Y28" s="359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590"/>
      <c r="Q29" s="1586">
        <f t="shared" si="11"/>
        <v>111</v>
      </c>
      <c r="R29" s="1696" t="s">
        <v>28</v>
      </c>
      <c r="S29" s="1697">
        <f t="shared" si="12"/>
        <v>100</v>
      </c>
      <c r="T29" s="1696" t="s">
        <v>28</v>
      </c>
      <c r="U29" s="1697">
        <f t="shared" si="13"/>
        <v>100</v>
      </c>
      <c r="V29" s="1696" t="s">
        <v>28</v>
      </c>
      <c r="W29" s="1697">
        <f t="shared" si="14"/>
        <v>100</v>
      </c>
      <c r="X29" s="1636"/>
      <c r="Y29" s="359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590"/>
      <c r="Q30" s="1586">
        <f t="shared" si="11"/>
        <v>111</v>
      </c>
      <c r="R30" s="1696" t="s">
        <v>28</v>
      </c>
      <c r="S30" s="1697">
        <f t="shared" si="12"/>
        <v>100</v>
      </c>
      <c r="T30" s="1696" t="s">
        <v>28</v>
      </c>
      <c r="U30" s="1697">
        <f t="shared" si="13"/>
        <v>100</v>
      </c>
      <c r="V30" s="1696" t="s">
        <v>28</v>
      </c>
      <c r="W30" s="1697">
        <f t="shared" si="14"/>
        <v>100</v>
      </c>
      <c r="X30" s="1636"/>
      <c r="Y30" s="3592"/>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590"/>
      <c r="Q31" s="1586">
        <f t="shared" si="11"/>
        <v>111</v>
      </c>
      <c r="R31" s="1696" t="s">
        <v>28</v>
      </c>
      <c r="S31" s="1697">
        <f t="shared" si="12"/>
        <v>100</v>
      </c>
      <c r="T31" s="1696" t="s">
        <v>28</v>
      </c>
      <c r="U31" s="1697">
        <f t="shared" si="13"/>
        <v>100</v>
      </c>
      <c r="V31" s="1696" t="s">
        <v>28</v>
      </c>
      <c r="W31" s="1697">
        <f t="shared" si="14"/>
        <v>100</v>
      </c>
      <c r="X31" s="1636"/>
      <c r="Y31" s="3592"/>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593" t="s">
        <v>2219</v>
      </c>
      <c r="Q32" s="1586" t="str">
        <f t="shared" si="11"/>
        <v>建筑类型</v>
      </c>
      <c r="R32" s="1696" t="s">
        <v>28</v>
      </c>
      <c r="S32" s="1697">
        <f t="shared" si="12"/>
        <v>100</v>
      </c>
      <c r="T32" s="1696" t="s">
        <v>28</v>
      </c>
      <c r="U32" s="1697">
        <f t="shared" si="13"/>
        <v>100</v>
      </c>
      <c r="V32" s="1696" t="s">
        <v>28</v>
      </c>
      <c r="W32" s="1697">
        <f t="shared" si="14"/>
        <v>100</v>
      </c>
      <c r="X32" s="1636"/>
      <c r="Y32" s="3596"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594"/>
      <c r="Q33" s="1737" t="str">
        <f t="shared" si="11"/>
        <v>项目建筑规模</v>
      </c>
      <c r="R33" s="1738" t="s">
        <v>28</v>
      </c>
      <c r="S33" s="1739" t="e">
        <f t="shared" si="12"/>
        <v>#N/A</v>
      </c>
      <c r="T33" s="1738" t="s">
        <v>28</v>
      </c>
      <c r="U33" s="1739" t="e">
        <f t="shared" si="13"/>
        <v>#N/A</v>
      </c>
      <c r="V33" s="1738" t="s">
        <v>28</v>
      </c>
      <c r="W33" s="1739" t="e">
        <f t="shared" si="14"/>
        <v>#N/A</v>
      </c>
      <c r="X33" s="1740"/>
      <c r="Y33" s="3596"/>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594"/>
      <c r="Q34" s="1586" t="str">
        <f t="shared" si="11"/>
        <v>建筑结构</v>
      </c>
      <c r="R34" s="1696" t="s">
        <v>28</v>
      </c>
      <c r="S34" s="1697">
        <f t="shared" si="12"/>
        <v>100</v>
      </c>
      <c r="T34" s="1696" t="s">
        <v>28</v>
      </c>
      <c r="U34" s="1697">
        <f t="shared" si="13"/>
        <v>100</v>
      </c>
      <c r="V34" s="1696" t="s">
        <v>28</v>
      </c>
      <c r="W34" s="1697">
        <f t="shared" si="14"/>
        <v>100</v>
      </c>
      <c r="X34" s="1636"/>
      <c r="Y34" s="3596"/>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594"/>
      <c r="Q35" s="1586" t="str">
        <f t="shared" si="11"/>
        <v>建筑品质</v>
      </c>
      <c r="R35" s="1696" t="s">
        <v>28</v>
      </c>
      <c r="S35" s="1697">
        <f t="shared" si="12"/>
        <v>100</v>
      </c>
      <c r="T35" s="1696" t="s">
        <v>28</v>
      </c>
      <c r="U35" s="1697">
        <f t="shared" si="13"/>
        <v>100</v>
      </c>
      <c r="V35" s="1696" t="s">
        <v>28</v>
      </c>
      <c r="W35" s="1697">
        <f t="shared" si="14"/>
        <v>100</v>
      </c>
      <c r="X35" s="1636"/>
      <c r="Y35" s="3596"/>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594"/>
      <c r="Q36" s="1586" t="str">
        <f t="shared" si="11"/>
        <v>公共部分装修</v>
      </c>
      <c r="R36" s="1696" t="s">
        <v>28</v>
      </c>
      <c r="S36" s="1697">
        <f t="shared" si="12"/>
        <v>100</v>
      </c>
      <c r="T36" s="1696" t="s">
        <v>28</v>
      </c>
      <c r="U36" s="1697">
        <f t="shared" si="13"/>
        <v>100</v>
      </c>
      <c r="V36" s="1696" t="s">
        <v>28</v>
      </c>
      <c r="W36" s="1697">
        <f t="shared" si="14"/>
        <v>100</v>
      </c>
      <c r="X36" s="1636"/>
      <c r="Y36" s="3596"/>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594"/>
      <c r="Q37" s="1605" t="str">
        <f t="shared" si="11"/>
        <v>成新度</v>
      </c>
      <c r="R37" s="1651" t="s">
        <v>28</v>
      </c>
      <c r="S37" s="1652" t="e">
        <f t="shared" si="12"/>
        <v>#N/A</v>
      </c>
      <c r="T37" s="1651" t="s">
        <v>28</v>
      </c>
      <c r="U37" s="1652" t="e">
        <f t="shared" si="13"/>
        <v>#N/A</v>
      </c>
      <c r="V37" s="1651" t="s">
        <v>28</v>
      </c>
      <c r="W37" s="1652" t="e">
        <f t="shared" si="14"/>
        <v>#N/A</v>
      </c>
      <c r="X37" s="1653"/>
      <c r="Y37" s="3596"/>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594" t="s">
        <v>2219</v>
      </c>
      <c r="Q38" s="1586" t="str">
        <f t="shared" si="11"/>
        <v>物业管理</v>
      </c>
      <c r="R38" s="1696" t="s">
        <v>28</v>
      </c>
      <c r="S38" s="1697">
        <f t="shared" si="12"/>
        <v>100</v>
      </c>
      <c r="T38" s="1696" t="s">
        <v>28</v>
      </c>
      <c r="U38" s="1697">
        <f t="shared" si="13"/>
        <v>100</v>
      </c>
      <c r="V38" s="1696" t="s">
        <v>28</v>
      </c>
      <c r="W38" s="1697">
        <f t="shared" si="14"/>
        <v>100</v>
      </c>
      <c r="X38" s="1636"/>
      <c r="Y38" s="3596"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594"/>
      <c r="Q39" s="1586" t="str">
        <f t="shared" si="11"/>
        <v>市政基础设施</v>
      </c>
      <c r="R39" s="1696" t="s">
        <v>28</v>
      </c>
      <c r="S39" s="1697">
        <f t="shared" si="12"/>
        <v>100</v>
      </c>
      <c r="T39" s="1696" t="s">
        <v>28</v>
      </c>
      <c r="U39" s="1697">
        <f t="shared" si="13"/>
        <v>100</v>
      </c>
      <c r="V39" s="1696" t="s">
        <v>28</v>
      </c>
      <c r="W39" s="1697">
        <f t="shared" si="14"/>
        <v>100</v>
      </c>
      <c r="X39" s="1636"/>
      <c r="Y39" s="3596"/>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594"/>
      <c r="Q40" s="1586" t="str">
        <f t="shared" si="11"/>
        <v>房型</v>
      </c>
      <c r="R40" s="1696" t="s">
        <v>28</v>
      </c>
      <c r="S40" s="1697">
        <f t="shared" si="12"/>
        <v>100</v>
      </c>
      <c r="T40" s="1696" t="s">
        <v>28</v>
      </c>
      <c r="U40" s="1697">
        <f t="shared" si="13"/>
        <v>100</v>
      </c>
      <c r="V40" s="1696" t="s">
        <v>28</v>
      </c>
      <c r="W40" s="1697">
        <f t="shared" si="14"/>
        <v>100</v>
      </c>
      <c r="X40" s="1636"/>
      <c r="Y40" s="3596"/>
      <c r="Z40" s="1698" t="str">
        <f t="shared" si="15"/>
        <v>房型</v>
      </c>
      <c r="AA40" s="1699">
        <f t="shared" si="3"/>
        <v>1</v>
      </c>
      <c r="AB40" s="1699">
        <f t="shared" si="4"/>
        <v>1</v>
      </c>
      <c r="AC40" s="1699">
        <f t="shared" si="5"/>
        <v>1</v>
      </c>
    </row>
    <row r="41" spans="1:29" s="1742" customFormat="1" ht="28.8">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594"/>
      <c r="Q41" s="1737" t="str">
        <f t="shared" si="11"/>
        <v>单套/主力户型建筑面积</v>
      </c>
      <c r="R41" s="1738" t="s">
        <v>28</v>
      </c>
      <c r="S41" s="1739">
        <f t="shared" si="12"/>
        <v>100</v>
      </c>
      <c r="T41" s="1738" t="s">
        <v>28</v>
      </c>
      <c r="U41" s="1739">
        <f t="shared" si="13"/>
        <v>100</v>
      </c>
      <c r="V41" s="1738" t="s">
        <v>28</v>
      </c>
      <c r="W41" s="1739">
        <f t="shared" si="14"/>
        <v>100</v>
      </c>
      <c r="X41" s="1740"/>
      <c r="Y41" s="3596"/>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594"/>
      <c r="Q42" s="1586" t="str">
        <f t="shared" si="11"/>
        <v>内部装修</v>
      </c>
      <c r="R42" s="1696" t="s">
        <v>28</v>
      </c>
      <c r="S42" s="1697">
        <f t="shared" si="12"/>
        <v>100</v>
      </c>
      <c r="T42" s="1696" t="s">
        <v>28</v>
      </c>
      <c r="U42" s="1697">
        <f t="shared" si="13"/>
        <v>100</v>
      </c>
      <c r="V42" s="1696" t="s">
        <v>28</v>
      </c>
      <c r="W42" s="1697">
        <f t="shared" si="14"/>
        <v>100</v>
      </c>
      <c r="X42" s="1636"/>
      <c r="Y42" s="3596"/>
      <c r="Z42" s="1698" t="str">
        <f t="shared" si="15"/>
        <v>内部装修</v>
      </c>
      <c r="AA42" s="1699">
        <f t="shared" si="3"/>
        <v>1</v>
      </c>
      <c r="AB42" s="1699">
        <f t="shared" si="4"/>
        <v>1</v>
      </c>
      <c r="AC42" s="1699">
        <f t="shared" si="5"/>
        <v>1</v>
      </c>
    </row>
    <row r="43" spans="1:29" ht="28.8">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594"/>
      <c r="Q43" s="1586" t="str">
        <f t="shared" si="11"/>
        <v>内部装修维护情况</v>
      </c>
      <c r="R43" s="1696" t="s">
        <v>28</v>
      </c>
      <c r="S43" s="1697">
        <f t="shared" si="12"/>
        <v>100</v>
      </c>
      <c r="T43" s="1696" t="s">
        <v>28</v>
      </c>
      <c r="U43" s="1697">
        <f t="shared" si="13"/>
        <v>100</v>
      </c>
      <c r="V43" s="1696" t="s">
        <v>28</v>
      </c>
      <c r="W43" s="1697">
        <f t="shared" si="14"/>
        <v>100</v>
      </c>
      <c r="X43" s="1636"/>
      <c r="Y43" s="3596"/>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594"/>
      <c r="Q44" s="1605">
        <f t="shared" si="11"/>
        <v>111</v>
      </c>
      <c r="R44" s="1651" t="s">
        <v>28</v>
      </c>
      <c r="S44" s="1652">
        <f t="shared" si="12"/>
        <v>100</v>
      </c>
      <c r="T44" s="1651" t="s">
        <v>28</v>
      </c>
      <c r="U44" s="1652">
        <f t="shared" si="13"/>
        <v>100</v>
      </c>
      <c r="V44" s="1651" t="s">
        <v>28</v>
      </c>
      <c r="W44" s="1652">
        <f t="shared" si="14"/>
        <v>100</v>
      </c>
      <c r="X44" s="1653"/>
      <c r="Y44" s="359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4"/>
      <c r="Q45" s="1586">
        <f t="shared" si="11"/>
        <v>111</v>
      </c>
      <c r="R45" s="1696" t="s">
        <v>28</v>
      </c>
      <c r="S45" s="1697">
        <f t="shared" si="12"/>
        <v>100</v>
      </c>
      <c r="T45" s="1696" t="s">
        <v>28</v>
      </c>
      <c r="U45" s="1697">
        <f t="shared" si="13"/>
        <v>100</v>
      </c>
      <c r="V45" s="1696" t="s">
        <v>28</v>
      </c>
      <c r="W45" s="1697">
        <f t="shared" si="14"/>
        <v>100</v>
      </c>
      <c r="X45" s="1636"/>
      <c r="Y45" s="3596"/>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595"/>
      <c r="Q46" s="1586">
        <f t="shared" si="11"/>
        <v>111</v>
      </c>
      <c r="R46" s="1696" t="s">
        <v>27</v>
      </c>
      <c r="S46" s="1697">
        <f t="shared" si="12"/>
        <v>100</v>
      </c>
      <c r="T46" s="1696" t="s">
        <v>27</v>
      </c>
      <c r="U46" s="1697">
        <f t="shared" si="13"/>
        <v>100</v>
      </c>
      <c r="V46" s="1696" t="s">
        <v>27</v>
      </c>
      <c r="W46" s="1697">
        <f t="shared" si="14"/>
        <v>100</v>
      </c>
      <c r="X46" s="1636"/>
      <c r="Y46" s="3597"/>
      <c r="Z46" s="1698">
        <f t="shared" si="15"/>
        <v>111</v>
      </c>
      <c r="AA46" s="1699">
        <f t="shared" si="3"/>
        <v>1</v>
      </c>
      <c r="AB46" s="1699">
        <f t="shared" si="4"/>
        <v>1</v>
      </c>
      <c r="AC46" s="1699">
        <f t="shared" si="5"/>
        <v>1</v>
      </c>
    </row>
    <row r="47" spans="1:29" ht="14.4">
      <c r="A47" s="1752" t="s">
        <v>2231</v>
      </c>
      <c r="B47" s="1753"/>
      <c r="C47" s="1754" t="s">
        <v>26</v>
      </c>
      <c r="D47" s="1755"/>
      <c r="E47" s="1756"/>
      <c r="F47" s="1757"/>
      <c r="G47" s="1758"/>
      <c r="H47" s="1759"/>
      <c r="I47" s="1756"/>
      <c r="J47" s="1759"/>
      <c r="K47" s="1760"/>
      <c r="L47" s="2972"/>
      <c r="N47" s="2967"/>
      <c r="P47" s="3588" t="str">
        <f>A47</f>
        <v>成交单价（元/平方米）</v>
      </c>
      <c r="Q47" s="3588"/>
      <c r="R47" s="3584">
        <f>E47</f>
        <v>0</v>
      </c>
      <c r="S47" s="3584"/>
      <c r="T47" s="3584">
        <f>G47</f>
        <v>0</v>
      </c>
      <c r="U47" s="3584"/>
      <c r="V47" s="3584">
        <f>I47</f>
        <v>0</v>
      </c>
      <c r="W47" s="3584"/>
      <c r="X47" s="1762"/>
      <c r="Y47" s="1763"/>
      <c r="Z47" s="1762"/>
      <c r="AA47" s="1762"/>
      <c r="AB47" s="1762"/>
      <c r="AC47" s="1762"/>
    </row>
    <row r="48" spans="1:29" ht="15" thickBot="1">
      <c r="A48" s="1764" t="s">
        <v>2232</v>
      </c>
      <c r="B48" s="1765"/>
      <c r="C48" s="1766" t="e">
        <f>R49</f>
        <v>#DIV/0!</v>
      </c>
      <c r="D48" s="1767" t="s">
        <v>2687</v>
      </c>
      <c r="E48" s="1768" t="e">
        <f>R48</f>
        <v>#DIV/0!</v>
      </c>
      <c r="F48" s="1769"/>
      <c r="G48" s="1766" t="e">
        <f>T48</f>
        <v>#DIV/0!</v>
      </c>
      <c r="H48" s="1769"/>
      <c r="I48" s="1768" t="e">
        <f>V48</f>
        <v>#DIV/0!</v>
      </c>
      <c r="J48" s="1769"/>
      <c r="K48" s="2481">
        <f>F48+H48+J48</f>
        <v>0</v>
      </c>
      <c r="L48" s="2972"/>
      <c r="P48" s="3588" t="str">
        <f>A48</f>
        <v>比较价值（元/平方米）</v>
      </c>
      <c r="Q48" s="3588"/>
      <c r="R48" s="3584" t="e">
        <f>IF(E1="售价",ROUND(PRODUCT(R47,AA7:AA46),0),ROUND(PRODUCT(R47,AA7:AA46),1))</f>
        <v>#DIV/0!</v>
      </c>
      <c r="S48" s="3584"/>
      <c r="T48" s="3582" t="e">
        <f>IF(E1="售价",ROUND(PRODUCT(T47,AB7:AB46),0),ROUND(PRODUCT(T47,AB7:AB46),1))</f>
        <v>#DIV/0!</v>
      </c>
      <c r="U48" s="3583"/>
      <c r="V48" s="3584" t="e">
        <f>IF(E1="售价",ROUND(PRODUCT(V47,AC7:AC46),0),ROUND(PRODUCT(V47,AC7:AC46),1))</f>
        <v>#DIV/0!</v>
      </c>
      <c r="W48" s="3584"/>
      <c r="X48" s="1762"/>
      <c r="Y48" s="1762"/>
      <c r="Z48" s="1762"/>
      <c r="AA48" s="1762"/>
      <c r="AB48" s="1762"/>
      <c r="AC48" s="1762"/>
    </row>
    <row r="49" spans="1:29" ht="15" thickBot="1">
      <c r="A49" s="1770" t="s">
        <v>2233</v>
      </c>
      <c r="B49" s="1771"/>
      <c r="C49" s="1772" t="e">
        <f>R49</f>
        <v>#DIV/0!</v>
      </c>
      <c r="D49" s="1773"/>
      <c r="E49" s="1773"/>
      <c r="F49" s="1773"/>
      <c r="G49" s="1773"/>
      <c r="H49" s="1773"/>
      <c r="I49" s="1773"/>
      <c r="J49" s="1773"/>
      <c r="K49" s="1774"/>
      <c r="L49" s="2972"/>
      <c r="P49" s="3585" t="str">
        <f>A49</f>
        <v>估价对象XX用房的比较价值（楼面单价，元/平方米）</v>
      </c>
      <c r="Q49" s="3586"/>
      <c r="R49" s="3587" t="e">
        <f>IF(E1="售价",ROUND(IF(D48="简单平均",AVERAGE(R48:V48),R48*F48+T48*H48+V48*J48),0),ROUND(IF(D48="简单平均",AVERAGE(R48:V48),R48*F48+T48*H48+V48*J48),1))</f>
        <v>#DIV/0!</v>
      </c>
      <c r="S49" s="3587"/>
      <c r="T49" s="3587"/>
      <c r="U49" s="3587"/>
      <c r="V49" s="3587"/>
      <c r="W49" s="3587"/>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2.2"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4.4">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2242</v>
      </c>
      <c r="B63" s="1818" t="s">
        <v>2207</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2264</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6.2"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ht="14.4">
      <c r="B147" s="1543" t="s">
        <v>2295</v>
      </c>
    </row>
    <row r="148" spans="2:11" ht="14.4">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70" zoomScaleNormal="70" zoomScaleSheetLayoutView="70" workbookViewId="0">
      <selection activeCell="C33" sqref="C33:J33"/>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1102</v>
      </c>
      <c r="C2" s="1621" t="str">
        <f>'数据-取费表'!B3</f>
        <v>万元</v>
      </c>
      <c r="D2" s="1622" t="s">
        <v>1183</v>
      </c>
      <c r="E2" s="2441" t="e">
        <f ca="1">SUMIF(INDIRECT("'"&amp;G2&amp;"'"&amp;"!A:A"),"承租人权益价值",INDIRECT("'"&amp;G2&amp;"'"&amp;"!c:c"))</f>
        <v>#REF!</v>
      </c>
      <c r="F2" s="1624" t="str">
        <f>C2</f>
        <v>万元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51187</v>
      </c>
      <c r="C3" s="1630" t="s">
        <v>2187</v>
      </c>
      <c r="D3" s="1630">
        <f>IF(C1="仅计算典型户型",'数据-取费表'!E5,'数据-取费表'!B5)</f>
        <v>215.26</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4.4">
      <c r="A4" s="1633" t="s">
        <v>2188</v>
      </c>
      <c r="B4" s="1634"/>
      <c r="C4" s="3615" t="s">
        <v>2189</v>
      </c>
      <c r="D4" s="3616"/>
      <c r="E4" s="3617" t="s">
        <v>2190</v>
      </c>
      <c r="F4" s="3618"/>
      <c r="G4" s="3615" t="s">
        <v>2191</v>
      </c>
      <c r="H4" s="3616"/>
      <c r="I4" s="3615" t="s">
        <v>2192</v>
      </c>
      <c r="J4" s="3616"/>
      <c r="K4" s="1936" t="s">
        <v>2193</v>
      </c>
      <c r="L4" s="2966"/>
      <c r="M4" s="2967"/>
      <c r="N4" s="2967"/>
      <c r="O4" s="2967"/>
      <c r="P4" s="3619" t="s">
        <v>2194</v>
      </c>
      <c r="Q4" s="3620"/>
      <c r="R4" s="3604" t="s">
        <v>2190</v>
      </c>
      <c r="S4" s="3605"/>
      <c r="T4" s="3604" t="s">
        <v>2191</v>
      </c>
      <c r="U4" s="3605"/>
      <c r="V4" s="3625" t="s">
        <v>2192</v>
      </c>
      <c r="W4" s="3625"/>
      <c r="X4" s="2045"/>
      <c r="Y4" s="3604" t="s">
        <v>2194</v>
      </c>
      <c r="Z4" s="3605"/>
      <c r="AA4" s="3612" t="s">
        <v>2190</v>
      </c>
      <c r="AB4" s="3625" t="s">
        <v>2191</v>
      </c>
      <c r="AC4" s="3612" t="s">
        <v>2192</v>
      </c>
    </row>
    <row r="5" spans="1:29">
      <c r="A5" s="1638"/>
      <c r="B5" s="1639"/>
      <c r="C5" s="3630" t="s">
        <v>3009</v>
      </c>
      <c r="D5" s="3627"/>
      <c r="E5" s="3630" t="s">
        <v>3009</v>
      </c>
      <c r="F5" s="3627"/>
      <c r="G5" s="3630" t="s">
        <v>3009</v>
      </c>
      <c r="H5" s="3627"/>
      <c r="I5" s="3630" t="s">
        <v>3009</v>
      </c>
      <c r="J5" s="3627"/>
      <c r="K5" s="1936"/>
      <c r="L5" s="2966"/>
      <c r="M5" s="2967"/>
      <c r="N5" s="2967"/>
      <c r="O5" s="2967"/>
      <c r="P5" s="3621"/>
      <c r="Q5" s="3622"/>
      <c r="R5" s="3606"/>
      <c r="S5" s="3607"/>
      <c r="T5" s="3606"/>
      <c r="U5" s="3607"/>
      <c r="V5" s="3625"/>
      <c r="W5" s="3625"/>
      <c r="X5" s="2045"/>
      <c r="Y5" s="3606"/>
      <c r="Z5" s="3607"/>
      <c r="AA5" s="3613"/>
      <c r="AB5" s="3625"/>
      <c r="AC5" s="3613"/>
    </row>
    <row r="6" spans="1:29" ht="15" thickBot="1">
      <c r="A6" s="1641"/>
      <c r="B6" s="1642"/>
      <c r="C6" s="3598" t="s">
        <v>2199</v>
      </c>
      <c r="D6" s="3599"/>
      <c r="E6" s="3628" t="s">
        <v>2199</v>
      </c>
      <c r="F6" s="3629"/>
      <c r="G6" s="3598" t="s">
        <v>2199</v>
      </c>
      <c r="H6" s="3599"/>
      <c r="I6" s="3598" t="s">
        <v>2199</v>
      </c>
      <c r="J6" s="3599"/>
      <c r="K6" s="1936" t="s">
        <v>2200</v>
      </c>
      <c r="L6" s="2966"/>
      <c r="M6" s="2967"/>
      <c r="N6" s="2967"/>
      <c r="O6" s="2967"/>
      <c r="P6" s="3623"/>
      <c r="Q6" s="3624"/>
      <c r="R6" s="3606"/>
      <c r="S6" s="3607"/>
      <c r="T6" s="3608"/>
      <c r="U6" s="3609"/>
      <c r="V6" s="3625"/>
      <c r="W6" s="3625"/>
      <c r="X6" s="2045"/>
      <c r="Y6" s="3608"/>
      <c r="Z6" s="3609"/>
      <c r="AA6" s="3614"/>
      <c r="AB6" s="3625"/>
      <c r="AC6" s="3614"/>
    </row>
    <row r="7" spans="1:29" s="1655" customFormat="1" ht="15" thickBot="1">
      <c r="A7" s="1643" t="s">
        <v>2201</v>
      </c>
      <c r="B7" s="1644"/>
      <c r="C7" s="1645">
        <f>'数据-取费表'!B2</f>
        <v>44624</v>
      </c>
      <c r="D7" s="1646">
        <v>100</v>
      </c>
      <c r="E7" s="1647">
        <v>44593</v>
      </c>
      <c r="F7" s="1648">
        <f>SUMIF(58:58,YEAR(E7)&amp;"-"&amp;MONTH(E7),59:59)</f>
        <v>100</v>
      </c>
      <c r="G7" s="1647">
        <v>44593</v>
      </c>
      <c r="H7" s="1646">
        <f>SUMIF(58:58,YEAR(G7)&amp;"-"&amp;MONTH(G7),59:59)</f>
        <v>100</v>
      </c>
      <c r="I7" s="1647">
        <v>44593</v>
      </c>
      <c r="J7" s="1646">
        <f>SUMIF(58:58,YEAR(I7)&amp;"-"&amp;MONTH(I7),59:59)</f>
        <v>100</v>
      </c>
      <c r="K7" s="1938"/>
      <c r="L7" s="2966"/>
      <c r="M7" s="2939"/>
      <c r="N7" s="2939"/>
      <c r="O7" s="2939"/>
      <c r="P7" s="3602" t="s">
        <v>2202</v>
      </c>
      <c r="Q7" s="3610"/>
      <c r="R7" s="1651" t="s">
        <v>25</v>
      </c>
      <c r="S7" s="1652">
        <f t="shared" ref="S7:S15" si="0">F7</f>
        <v>100</v>
      </c>
      <c r="T7" s="1651" t="s">
        <v>25</v>
      </c>
      <c r="U7" s="1652">
        <f t="shared" ref="U7:U15" si="1">H7</f>
        <v>100</v>
      </c>
      <c r="V7" s="1651" t="s">
        <v>25</v>
      </c>
      <c r="W7" s="1652">
        <f t="shared" ref="W7:W15" si="2">J7</f>
        <v>100</v>
      </c>
      <c r="X7" s="1653"/>
      <c r="Y7" s="3602" t="s">
        <v>2202</v>
      </c>
      <c r="Z7" s="3603"/>
      <c r="AA7" s="1654">
        <f>D7/F7</f>
        <v>1</v>
      </c>
      <c r="AB7" s="1654">
        <f>D7/H7</f>
        <v>1</v>
      </c>
      <c r="AC7" s="1654">
        <f>D7/J7</f>
        <v>1</v>
      </c>
    </row>
    <row r="8" spans="1:29" s="1655" customFormat="1" ht="1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6"/>
      <c r="M8" s="2939"/>
      <c r="N8" s="2939"/>
      <c r="O8" s="2939"/>
      <c r="P8" s="3602" t="s">
        <v>2205</v>
      </c>
      <c r="Q8" s="3603"/>
      <c r="R8" s="1651" t="s">
        <v>25</v>
      </c>
      <c r="S8" s="1652">
        <f t="shared" si="0"/>
        <v>100</v>
      </c>
      <c r="T8" s="1651" t="s">
        <v>25</v>
      </c>
      <c r="U8" s="1652">
        <f t="shared" si="1"/>
        <v>100</v>
      </c>
      <c r="V8" s="1651" t="s">
        <v>25</v>
      </c>
      <c r="W8" s="1652">
        <f t="shared" si="2"/>
        <v>100</v>
      </c>
      <c r="X8" s="1653"/>
      <c r="Y8" s="3602" t="s">
        <v>2205</v>
      </c>
      <c r="Z8" s="3603"/>
      <c r="AA8" s="1654">
        <f t="shared" ref="AA8:AA46" si="3">D8/F8</f>
        <v>1</v>
      </c>
      <c r="AB8" s="1654">
        <f t="shared" ref="AB8:AB46" si="4">D8/H8</f>
        <v>1</v>
      </c>
      <c r="AC8" s="1654">
        <f t="shared" ref="AC8:AC46" si="5">D8/J8</f>
        <v>1</v>
      </c>
    </row>
    <row r="9" spans="1:29" s="1655" customFormat="1" ht="14.4">
      <c r="A9" s="2037" t="s">
        <v>2206</v>
      </c>
      <c r="B9" s="1658" t="s">
        <v>2207</v>
      </c>
      <c r="C9" s="3317" t="s">
        <v>3010</v>
      </c>
      <c r="D9" s="1660">
        <v>100</v>
      </c>
      <c r="E9" s="1661" t="s">
        <v>2985</v>
      </c>
      <c r="F9" s="1662">
        <f>SUMIF(63:63,E9,64:64)-SUMIF(63:63,C9,64:64)+100</f>
        <v>100</v>
      </c>
      <c r="G9" s="1661" t="s">
        <v>2985</v>
      </c>
      <c r="H9" s="1660">
        <f>SUMIF(63:63,G9,64:64)-SUMIF(63:63,C9,64:64)+100</f>
        <v>100</v>
      </c>
      <c r="I9" s="1661" t="s">
        <v>2985</v>
      </c>
      <c r="J9" s="1660">
        <f>SUMIF(63:63,I9,64:64)-SUMIF(63:63,C9,64:64)+100</f>
        <v>100</v>
      </c>
      <c r="K9" s="1938"/>
      <c r="L9" s="2966"/>
      <c r="M9" s="2939"/>
      <c r="N9" s="2939"/>
      <c r="O9" s="2939"/>
      <c r="P9" s="3611"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9.4" thickBot="1">
      <c r="A10" s="1665"/>
      <c r="B10" s="1666" t="s">
        <v>2210</v>
      </c>
      <c r="C10" s="1667" t="s">
        <v>3012</v>
      </c>
      <c r="D10" s="1668">
        <v>100</v>
      </c>
      <c r="E10" s="1667" t="s">
        <v>3012</v>
      </c>
      <c r="F10" s="1670">
        <f>SUMIF(65:65,E10,66:66)-SUMIF(65:65,C10,66:66)+100</f>
        <v>100</v>
      </c>
      <c r="G10" s="1667" t="s">
        <v>3012</v>
      </c>
      <c r="H10" s="1668">
        <f>SUMIF(65:65,G10,66:66)-SUMIF(65:65,C10,66:66)+100</f>
        <v>100</v>
      </c>
      <c r="I10" s="1667" t="s">
        <v>3012</v>
      </c>
      <c r="J10" s="1668">
        <f>SUMIF(65:65,I10,66:66)-SUMIF(65:65,C10,66:66)+100</f>
        <v>100</v>
      </c>
      <c r="K10" s="1963">
        <v>1</v>
      </c>
      <c r="L10" s="2968"/>
      <c r="M10" s="2969"/>
      <c r="N10" s="2969"/>
      <c r="O10" s="2969"/>
      <c r="P10" s="3611"/>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11"/>
      <c r="Q11" s="2036"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11"/>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11"/>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6"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11"/>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82.8">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589" t="s">
        <v>2213</v>
      </c>
      <c r="Q15" s="2042" t="str">
        <f t="shared" si="6"/>
        <v>商业繁华度</v>
      </c>
      <c r="R15" s="1696" t="s">
        <v>25</v>
      </c>
      <c r="S15" s="1697">
        <f t="shared" si="0"/>
        <v>100</v>
      </c>
      <c r="T15" s="1696" t="s">
        <v>25</v>
      </c>
      <c r="U15" s="1697">
        <f t="shared" si="1"/>
        <v>100</v>
      </c>
      <c r="V15" s="1696" t="s">
        <v>25</v>
      </c>
      <c r="W15" s="1697">
        <f t="shared" si="2"/>
        <v>100</v>
      </c>
      <c r="X15" s="2045"/>
      <c r="Y15" s="3591"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590"/>
      <c r="Q16" s="2042"/>
      <c r="R16" s="1696"/>
      <c r="S16" s="1697"/>
      <c r="T16" s="1696"/>
      <c r="U16" s="1697"/>
      <c r="V16" s="1696"/>
      <c r="W16" s="1697"/>
      <c r="X16" s="2045"/>
      <c r="Y16" s="3592"/>
      <c r="Z16" s="2049"/>
      <c r="AA16" s="2040">
        <v>1</v>
      </c>
      <c r="AB16" s="2040">
        <v>1</v>
      </c>
      <c r="AC16" s="2040">
        <v>1</v>
      </c>
    </row>
    <row r="17" spans="1:29" ht="96.6">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590"/>
      <c r="Q17" s="2042" t="str">
        <f>B17</f>
        <v>交通便捷度</v>
      </c>
      <c r="R17" s="1696" t="s">
        <v>25</v>
      </c>
      <c r="S17" s="1697">
        <f>F17</f>
        <v>100</v>
      </c>
      <c r="T17" s="1696" t="s">
        <v>25</v>
      </c>
      <c r="U17" s="1697">
        <f>H17</f>
        <v>100</v>
      </c>
      <c r="V17" s="1696" t="s">
        <v>25</v>
      </c>
      <c r="W17" s="1697">
        <f>J17</f>
        <v>100</v>
      </c>
      <c r="X17" s="2045"/>
      <c r="Y17" s="3592"/>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1"/>
      <c r="M18" s="2967"/>
      <c r="N18" s="2967"/>
      <c r="O18" s="2967"/>
      <c r="P18" s="3590"/>
      <c r="Q18" s="2042"/>
      <c r="R18" s="1696"/>
      <c r="S18" s="1697"/>
      <c r="T18" s="1696"/>
      <c r="U18" s="1697"/>
      <c r="V18" s="1696"/>
      <c r="W18" s="1697"/>
      <c r="X18" s="2045"/>
      <c r="Y18" s="3592"/>
      <c r="Z18" s="2049"/>
      <c r="AA18" s="2040">
        <v>1</v>
      </c>
      <c r="AB18" s="2040">
        <v>1</v>
      </c>
      <c r="AC18" s="2040">
        <v>1</v>
      </c>
    </row>
    <row r="19" spans="1:29" ht="41.4">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590"/>
      <c r="Q19" s="2042" t="str">
        <f>B19</f>
        <v>公共配套设施</v>
      </c>
      <c r="R19" s="1696" t="s">
        <v>25</v>
      </c>
      <c r="S19" s="1697">
        <f>F19</f>
        <v>100</v>
      </c>
      <c r="T19" s="1696" t="s">
        <v>25</v>
      </c>
      <c r="U19" s="1697">
        <f>H19</f>
        <v>100</v>
      </c>
      <c r="V19" s="1696" t="s">
        <v>25</v>
      </c>
      <c r="W19" s="1697">
        <f>J19</f>
        <v>100</v>
      </c>
      <c r="X19" s="2045"/>
      <c r="Y19" s="3592"/>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1"/>
      <c r="M20" s="2967"/>
      <c r="N20" s="2967"/>
      <c r="O20" s="2967"/>
      <c r="P20" s="3590"/>
      <c r="Q20" s="2042"/>
      <c r="R20" s="1696"/>
      <c r="S20" s="1697"/>
      <c r="T20" s="1696"/>
      <c r="U20" s="1697"/>
      <c r="V20" s="1696"/>
      <c r="W20" s="1697"/>
      <c r="X20" s="2045"/>
      <c r="Y20" s="3592"/>
      <c r="Z20" s="2049"/>
      <c r="AA20" s="2040">
        <v>1</v>
      </c>
      <c r="AB20" s="2040">
        <v>1</v>
      </c>
      <c r="AC20" s="2040">
        <v>1</v>
      </c>
    </row>
    <row r="21" spans="1:29" ht="41.4">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1</v>
      </c>
      <c r="L21" s="2971"/>
      <c r="M21" s="2967"/>
      <c r="N21" s="2967"/>
      <c r="O21" s="2967"/>
      <c r="P21" s="3590"/>
      <c r="Q21" s="2042" t="str">
        <f>B21</f>
        <v>基础设施水平</v>
      </c>
      <c r="R21" s="1696" t="s">
        <v>25</v>
      </c>
      <c r="S21" s="1697">
        <f>F21</f>
        <v>100</v>
      </c>
      <c r="T21" s="1696" t="s">
        <v>25</v>
      </c>
      <c r="U21" s="1697">
        <f>H21</f>
        <v>100</v>
      </c>
      <c r="V21" s="1696" t="s">
        <v>25</v>
      </c>
      <c r="W21" s="1697">
        <f>J21</f>
        <v>100</v>
      </c>
      <c r="X21" s="2045"/>
      <c r="Y21" s="3592"/>
      <c r="Z21" s="2049" t="str">
        <f>Q21</f>
        <v>基础设施水平</v>
      </c>
      <c r="AA21" s="2040">
        <f t="shared" ref="AA21" si="8">D21/F21</f>
        <v>1</v>
      </c>
      <c r="AB21" s="2040">
        <f t="shared" ref="AB21" si="9">D21/H21</f>
        <v>1</v>
      </c>
      <c r="AC21" s="2040">
        <f t="shared" ref="AC21" si="10">D21/J21</f>
        <v>1</v>
      </c>
    </row>
    <row r="22" spans="1:29" ht="15">
      <c r="A22" s="1673"/>
      <c r="B22" s="1721"/>
      <c r="C22" s="1715" t="s">
        <v>3031</v>
      </c>
      <c r="D22" s="1702"/>
      <c r="E22" s="1715" t="s">
        <v>3031</v>
      </c>
      <c r="F22" s="1704"/>
      <c r="G22" s="1715" t="s">
        <v>3031</v>
      </c>
      <c r="H22" s="1702"/>
      <c r="I22" s="1715" t="s">
        <v>3031</v>
      </c>
      <c r="J22" s="1702"/>
      <c r="K22" s="2445"/>
      <c r="L22" s="2971"/>
      <c r="M22" s="2967"/>
      <c r="N22" s="2967"/>
      <c r="O22" s="2967"/>
      <c r="P22" s="3590"/>
      <c r="Q22" s="2042"/>
      <c r="R22" s="1696"/>
      <c r="S22" s="1697"/>
      <c r="T22" s="1696"/>
      <c r="U22" s="1697"/>
      <c r="V22" s="1696"/>
      <c r="W22" s="1697"/>
      <c r="X22" s="2045"/>
      <c r="Y22" s="3592"/>
      <c r="Z22" s="2049"/>
      <c r="AA22" s="2040">
        <v>1</v>
      </c>
      <c r="AB22" s="2040">
        <v>1</v>
      </c>
      <c r="AC22" s="2040">
        <v>1</v>
      </c>
    </row>
    <row r="23" spans="1:29" ht="55.2">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590"/>
      <c r="Q23" s="2042" t="str">
        <f>B23</f>
        <v>自然及人文环境</v>
      </c>
      <c r="R23" s="1696" t="s">
        <v>25</v>
      </c>
      <c r="S23" s="1697">
        <f>F23</f>
        <v>100</v>
      </c>
      <c r="T23" s="1696" t="s">
        <v>25</v>
      </c>
      <c r="U23" s="1697">
        <f>H23</f>
        <v>100</v>
      </c>
      <c r="V23" s="1696" t="s">
        <v>25</v>
      </c>
      <c r="W23" s="1697">
        <f>J23</f>
        <v>100</v>
      </c>
      <c r="X23" s="2045"/>
      <c r="Y23" s="3592"/>
      <c r="Z23" s="2049" t="str">
        <f>Q23</f>
        <v>自然及人文环境</v>
      </c>
      <c r="AA23" s="2040">
        <f t="shared" si="3"/>
        <v>1</v>
      </c>
      <c r="AB23" s="2040">
        <f t="shared" si="4"/>
        <v>1</v>
      </c>
      <c r="AC23" s="2040">
        <f t="shared" si="5"/>
        <v>1</v>
      </c>
    </row>
    <row r="24" spans="1:29" ht="15">
      <c r="A24" s="1673"/>
      <c r="B24" s="1714"/>
      <c r="C24" s="1701" t="s">
        <v>30</v>
      </c>
      <c r="D24" s="1702"/>
      <c r="E24" s="1701" t="s">
        <v>30</v>
      </c>
      <c r="F24" s="1704"/>
      <c r="G24" s="1701" t="s">
        <v>30</v>
      </c>
      <c r="H24" s="1702"/>
      <c r="I24" s="1701" t="s">
        <v>30</v>
      </c>
      <c r="J24" s="1702"/>
      <c r="K24" s="2444"/>
      <c r="L24" s="2971"/>
      <c r="M24" s="2967"/>
      <c r="N24" s="2967"/>
      <c r="O24" s="2967"/>
      <c r="P24" s="3590"/>
      <c r="Q24" s="2042"/>
      <c r="R24" s="1696"/>
      <c r="S24" s="1697"/>
      <c r="T24" s="1696"/>
      <c r="U24" s="1697"/>
      <c r="V24" s="1696"/>
      <c r="W24" s="1697"/>
      <c r="X24" s="2045"/>
      <c r="Y24" s="3592"/>
      <c r="Z24" s="2049"/>
      <c r="AA24" s="2040">
        <v>1</v>
      </c>
      <c r="AB24" s="2040">
        <v>1</v>
      </c>
      <c r="AC24" s="2040">
        <v>1</v>
      </c>
    </row>
    <row r="25" spans="1:29" ht="15">
      <c r="A25" s="1673"/>
      <c r="B25" s="1666" t="s">
        <v>2301</v>
      </c>
      <c r="C25" s="1962" t="s">
        <v>3015</v>
      </c>
      <c r="D25" s="1682">
        <v>100</v>
      </c>
      <c r="E25" s="1962" t="s">
        <v>3015</v>
      </c>
      <c r="F25" s="1725">
        <f>SUMIF(86:86,E25,87:87)-SUMIF(86:86,C25,87:87)+100</f>
        <v>100</v>
      </c>
      <c r="G25" s="1962" t="s">
        <v>3015</v>
      </c>
      <c r="H25" s="1682">
        <f>SUMIF(86:86,G25,87:87)-SUMIF(86:86,C25,87:87)+100</f>
        <v>100</v>
      </c>
      <c r="I25" s="1962" t="s">
        <v>3015</v>
      </c>
      <c r="J25" s="1682">
        <f>SUMIF(86:86,I25,87:87)-SUMIF(86:86,C25,87:87)+100</f>
        <v>100</v>
      </c>
      <c r="K25" s="1963">
        <v>3</v>
      </c>
      <c r="L25" s="2971"/>
      <c r="M25" s="2967"/>
      <c r="N25" s="2967"/>
      <c r="O25" s="2967"/>
      <c r="P25" s="3590"/>
      <c r="Q25" s="2042" t="str">
        <f t="shared" ref="Q25:Q46" si="11">B25</f>
        <v>临街状况</v>
      </c>
      <c r="R25" s="1696" t="s">
        <v>25</v>
      </c>
      <c r="S25" s="1697">
        <f>F25</f>
        <v>100</v>
      </c>
      <c r="T25" s="1696" t="s">
        <v>25</v>
      </c>
      <c r="U25" s="1697">
        <f>H25</f>
        <v>100</v>
      </c>
      <c r="V25" s="1696" t="s">
        <v>25</v>
      </c>
      <c r="W25" s="1697">
        <f>J25</f>
        <v>100</v>
      </c>
      <c r="X25" s="2045"/>
      <c r="Y25" s="3592"/>
      <c r="Z25" s="2049" t="str">
        <f>Q25</f>
        <v>临街状况</v>
      </c>
      <c r="AA25" s="2040">
        <f t="shared" si="3"/>
        <v>1</v>
      </c>
      <c r="AB25" s="2040">
        <f t="shared" si="4"/>
        <v>1</v>
      </c>
      <c r="AC25" s="2040">
        <f t="shared" si="5"/>
        <v>1</v>
      </c>
    </row>
    <row r="26" spans="1:29" ht="15">
      <c r="A26" s="1673"/>
      <c r="B26" s="1731" t="s">
        <v>2302</v>
      </c>
      <c r="C26" s="3322" t="s">
        <v>3032</v>
      </c>
      <c r="D26" s="1682">
        <v>100</v>
      </c>
      <c r="E26" s="3322" t="s">
        <v>3032</v>
      </c>
      <c r="F26" s="1725">
        <f>SUMIF(88:88,E26,89:89)-SUMIF(88:88,C26,89:89)+100</f>
        <v>100</v>
      </c>
      <c r="G26" s="3322" t="s">
        <v>3032</v>
      </c>
      <c r="H26" s="1682">
        <f>SUMIF(88:88,G26,89:89)-SUMIF(88:88,C26,89:89)+100</f>
        <v>100</v>
      </c>
      <c r="I26" s="3322" t="s">
        <v>3032</v>
      </c>
      <c r="J26" s="1682">
        <f>SUMIF(88:88,I26,89:89)-SUMIF(88:88,C26,89:89)+100</f>
        <v>100</v>
      </c>
      <c r="K26" s="1960"/>
      <c r="L26" s="2971"/>
      <c r="M26" s="2967"/>
      <c r="N26" s="2967"/>
      <c r="O26" s="2967"/>
      <c r="P26" s="3590"/>
      <c r="Q26" s="2042" t="str">
        <f t="shared" si="11"/>
        <v>平面位置/可视性</v>
      </c>
      <c r="R26" s="1696" t="s">
        <v>25</v>
      </c>
      <c r="S26" s="1697">
        <f>F26</f>
        <v>100</v>
      </c>
      <c r="T26" s="1696" t="s">
        <v>25</v>
      </c>
      <c r="U26" s="1697">
        <f>H26</f>
        <v>100</v>
      </c>
      <c r="V26" s="1696" t="s">
        <v>25</v>
      </c>
      <c r="W26" s="1697">
        <f>J26</f>
        <v>100</v>
      </c>
      <c r="X26" s="2045"/>
      <c r="Y26" s="3592"/>
      <c r="Z26" s="2049" t="str">
        <f>Q26</f>
        <v>平面位置/可视性</v>
      </c>
      <c r="AA26" s="2040">
        <f t="shared" si="3"/>
        <v>1</v>
      </c>
      <c r="AB26" s="2040">
        <f t="shared" si="4"/>
        <v>1</v>
      </c>
      <c r="AC26" s="2040">
        <f t="shared" si="5"/>
        <v>1</v>
      </c>
    </row>
    <row r="27" spans="1:29" s="1655" customFormat="1" ht="15">
      <c r="A27" s="1676"/>
      <c r="B27" s="1708" t="s">
        <v>2303</v>
      </c>
      <c r="C27" s="2447" t="s">
        <v>31</v>
      </c>
      <c r="D27" s="1727">
        <v>100</v>
      </c>
      <c r="E27" s="2447" t="s">
        <v>30</v>
      </c>
      <c r="F27" s="1729">
        <f>SUMIF(90:90,E27,91:91)-SUMIF(90:90,C27,91:91)+100</f>
        <v>102</v>
      </c>
      <c r="G27" s="2447" t="s">
        <v>30</v>
      </c>
      <c r="H27" s="1727">
        <f>SUMIF(90:90,G27,91:91)-SUMIF(90:90,C27,91:91)+100</f>
        <v>102</v>
      </c>
      <c r="I27" s="2447" t="s">
        <v>31</v>
      </c>
      <c r="J27" s="1727">
        <f>SUMIF(90:90,I27,91:91)-SUMIF(90:90,C27,91:91)+100</f>
        <v>100</v>
      </c>
      <c r="K27" s="1963">
        <v>2</v>
      </c>
      <c r="L27" s="2966"/>
      <c r="M27" s="2939"/>
      <c r="N27" s="2939"/>
      <c r="O27" s="2939"/>
      <c r="P27" s="3590"/>
      <c r="Q27" s="2036" t="str">
        <f t="shared" si="11"/>
        <v>人流量</v>
      </c>
      <c r="R27" s="1651" t="s">
        <v>25</v>
      </c>
      <c r="S27" s="1652">
        <f>F27</f>
        <v>102</v>
      </c>
      <c r="T27" s="1651" t="s">
        <v>25</v>
      </c>
      <c r="U27" s="1652">
        <f>H27</f>
        <v>102</v>
      </c>
      <c r="V27" s="1651" t="s">
        <v>25</v>
      </c>
      <c r="W27" s="1652">
        <f>J27</f>
        <v>100</v>
      </c>
      <c r="X27" s="1653"/>
      <c r="Y27" s="3592"/>
      <c r="Z27" s="1664" t="str">
        <f>Q27</f>
        <v>人流量</v>
      </c>
      <c r="AA27" s="2040">
        <f>D27/F27</f>
        <v>0.98039215686274506</v>
      </c>
      <c r="AB27" s="2040">
        <f>D27/H27</f>
        <v>0.98039215686274506</v>
      </c>
      <c r="AC27" s="2040">
        <f>D27/J27</f>
        <v>1</v>
      </c>
    </row>
    <row r="28" spans="1:29" ht="15.6" thickBot="1">
      <c r="A28" s="1673"/>
      <c r="B28" s="1666" t="s">
        <v>2304</v>
      </c>
      <c r="C28" s="1962">
        <v>1</v>
      </c>
      <c r="D28" s="1682">
        <v>100</v>
      </c>
      <c r="E28" s="1962">
        <v>1</v>
      </c>
      <c r="F28" s="1725">
        <f>SUMIF(92:92,E28,93:93)-SUMIF(92:92,C28,93:93)+100</f>
        <v>100</v>
      </c>
      <c r="G28" s="1962">
        <v>1</v>
      </c>
      <c r="H28" s="1682">
        <f>SUMIF(92:92,G28,93:93)-SUMIF(92:92,C28,93:93)+100</f>
        <v>100</v>
      </c>
      <c r="I28" s="1962">
        <v>1</v>
      </c>
      <c r="J28" s="1682">
        <f>SUMIF(92:92,I28,93:93)-SUMIF(92:92,C28,93:93)+100</f>
        <v>100</v>
      </c>
      <c r="K28" s="1960"/>
      <c r="L28" s="2971"/>
      <c r="M28" s="2967"/>
      <c r="N28" s="2967"/>
      <c r="O28" s="2967"/>
      <c r="P28" s="359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2"/>
      <c r="Z28" s="2049" t="str">
        <f t="shared" ref="Z28:Z46" si="15">Q28</f>
        <v>楼层</v>
      </c>
      <c r="AA28" s="2040">
        <f t="shared" si="3"/>
        <v>1</v>
      </c>
      <c r="AB28" s="2040">
        <f t="shared" si="4"/>
        <v>1</v>
      </c>
      <c r="AC28" s="2040">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590"/>
      <c r="Q29" s="2042">
        <f t="shared" si="11"/>
        <v>111</v>
      </c>
      <c r="R29" s="1696" t="s">
        <v>25</v>
      </c>
      <c r="S29" s="1697">
        <f t="shared" si="12"/>
        <v>100</v>
      </c>
      <c r="T29" s="1696" t="s">
        <v>25</v>
      </c>
      <c r="U29" s="1697">
        <f t="shared" si="13"/>
        <v>100</v>
      </c>
      <c r="V29" s="1696" t="s">
        <v>25</v>
      </c>
      <c r="W29" s="1697">
        <f t="shared" si="14"/>
        <v>100</v>
      </c>
      <c r="X29" s="2045"/>
      <c r="Y29" s="3592"/>
      <c r="Z29" s="2049">
        <f t="shared" si="15"/>
        <v>111</v>
      </c>
      <c r="AA29" s="2040">
        <f t="shared" si="3"/>
        <v>1</v>
      </c>
      <c r="AB29" s="2040">
        <f t="shared" si="4"/>
        <v>1</v>
      </c>
      <c r="AC29" s="2040">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590"/>
      <c r="Q30" s="2042">
        <f t="shared" si="11"/>
        <v>111</v>
      </c>
      <c r="R30" s="1696" t="s">
        <v>25</v>
      </c>
      <c r="S30" s="1697">
        <f t="shared" si="12"/>
        <v>100</v>
      </c>
      <c r="T30" s="1696" t="s">
        <v>25</v>
      </c>
      <c r="U30" s="1697">
        <f t="shared" si="13"/>
        <v>100</v>
      </c>
      <c r="V30" s="1696" t="s">
        <v>25</v>
      </c>
      <c r="W30" s="1697">
        <f t="shared" si="14"/>
        <v>100</v>
      </c>
      <c r="X30" s="2045"/>
      <c r="Y30" s="3592"/>
      <c r="Z30" s="2049">
        <f t="shared" si="15"/>
        <v>111</v>
      </c>
      <c r="AA30" s="2040">
        <f t="shared" si="3"/>
        <v>1</v>
      </c>
      <c r="AB30" s="2040">
        <f t="shared" si="4"/>
        <v>1</v>
      </c>
      <c r="AC30" s="2040">
        <f t="shared" si="5"/>
        <v>1</v>
      </c>
    </row>
    <row r="31" spans="1:29" ht="15.6" hidden="1"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590"/>
      <c r="Q31" s="2042">
        <f t="shared" si="11"/>
        <v>111</v>
      </c>
      <c r="R31" s="1696" t="s">
        <v>25</v>
      </c>
      <c r="S31" s="1697">
        <f t="shared" si="12"/>
        <v>100</v>
      </c>
      <c r="T31" s="1696" t="s">
        <v>25</v>
      </c>
      <c r="U31" s="1697">
        <f t="shared" si="13"/>
        <v>100</v>
      </c>
      <c r="V31" s="1696" t="s">
        <v>25</v>
      </c>
      <c r="W31" s="1697">
        <f t="shared" si="14"/>
        <v>100</v>
      </c>
      <c r="X31" s="2045"/>
      <c r="Y31" s="3592"/>
      <c r="Z31" s="2049">
        <f t="shared" si="15"/>
        <v>111</v>
      </c>
      <c r="AA31" s="2040">
        <f t="shared" si="3"/>
        <v>1</v>
      </c>
      <c r="AB31" s="2040">
        <f t="shared" si="4"/>
        <v>1</v>
      </c>
      <c r="AC31" s="2040">
        <f t="shared" si="5"/>
        <v>1</v>
      </c>
    </row>
    <row r="32" spans="1:29" ht="15">
      <c r="A32" s="1688" t="s">
        <v>2217</v>
      </c>
      <c r="B32" s="1658" t="s">
        <v>2305</v>
      </c>
      <c r="C32" s="1732" t="s">
        <v>3018</v>
      </c>
      <c r="D32" s="1733">
        <v>100</v>
      </c>
      <c r="E32" s="1732" t="s">
        <v>3018</v>
      </c>
      <c r="F32" s="1725">
        <f>SUMIF(100:100,E32,101:101)-SUMIF(100:100,C32,101:101)+100</f>
        <v>100</v>
      </c>
      <c r="G32" s="1732" t="s">
        <v>3018</v>
      </c>
      <c r="H32" s="1682">
        <f>SUMIF(100:100,G32,101:101)-SUMIF(100:100,C32,101:101)+100</f>
        <v>100</v>
      </c>
      <c r="I32" s="1732" t="s">
        <v>3018</v>
      </c>
      <c r="J32" s="1733">
        <f>SUMIF(100:100,I32,101:101)-SUMIF(100:100,C32,101:101)+100</f>
        <v>100</v>
      </c>
      <c r="K32" s="1963">
        <v>2</v>
      </c>
      <c r="L32" s="2971"/>
      <c r="M32" s="2967"/>
      <c r="N32" s="2967"/>
      <c r="O32" s="2967"/>
      <c r="P32" s="3593" t="s">
        <v>2219</v>
      </c>
      <c r="Q32" s="2042" t="str">
        <f t="shared" si="11"/>
        <v>商业类型</v>
      </c>
      <c r="R32" s="1696" t="s">
        <v>25</v>
      </c>
      <c r="S32" s="1697">
        <f t="shared" si="12"/>
        <v>100</v>
      </c>
      <c r="T32" s="1696" t="s">
        <v>25</v>
      </c>
      <c r="U32" s="1697">
        <f t="shared" si="13"/>
        <v>100</v>
      </c>
      <c r="V32" s="1696" t="s">
        <v>25</v>
      </c>
      <c r="W32" s="1697">
        <f t="shared" si="14"/>
        <v>100</v>
      </c>
      <c r="X32" s="2045"/>
      <c r="Y32" s="3596" t="s">
        <v>2219</v>
      </c>
      <c r="Z32" s="2049" t="str">
        <f t="shared" si="15"/>
        <v>商业类型</v>
      </c>
      <c r="AA32" s="2040">
        <f t="shared" si="3"/>
        <v>1</v>
      </c>
      <c r="AB32" s="2040">
        <f t="shared" si="4"/>
        <v>1</v>
      </c>
      <c r="AC32" s="2040">
        <f t="shared" si="5"/>
        <v>1</v>
      </c>
    </row>
    <row r="33" spans="1:29" s="1742" customFormat="1" ht="15">
      <c r="A33" s="1735"/>
      <c r="B33" s="1666" t="s">
        <v>2220</v>
      </c>
      <c r="C33" s="1736">
        <v>215.26</v>
      </c>
      <c r="D33" s="1668">
        <v>100</v>
      </c>
      <c r="E33" s="1675">
        <v>269.55</v>
      </c>
      <c r="F33" s="1670">
        <f>LOOKUP(E33,103:103,104:104)-LOOKUP(C33,103:103,104:104)+100</f>
        <v>100</v>
      </c>
      <c r="G33" s="1674">
        <v>258.60000000000002</v>
      </c>
      <c r="H33" s="1668">
        <f>LOOKUP(G33,103:103,104:104)-LOOKUP(C33,103:103,104:104)+100</f>
        <v>100</v>
      </c>
      <c r="I33" s="1674">
        <v>160</v>
      </c>
      <c r="J33" s="1668">
        <f>LOOKUP(I33,103:103,104:104)-LOOKUP(C33,103:103,104:104)+100</f>
        <v>101</v>
      </c>
      <c r="K33" s="1960"/>
      <c r="L33" s="2970"/>
      <c r="M33" s="2030"/>
      <c r="N33" s="2030"/>
      <c r="O33" s="2030"/>
      <c r="P33" s="3594"/>
      <c r="Q33" s="1737" t="str">
        <f t="shared" si="11"/>
        <v>项目建筑规模</v>
      </c>
      <c r="R33" s="1738" t="s">
        <v>25</v>
      </c>
      <c r="S33" s="1739">
        <f t="shared" si="12"/>
        <v>100</v>
      </c>
      <c r="T33" s="1738" t="s">
        <v>25</v>
      </c>
      <c r="U33" s="1739">
        <f t="shared" si="13"/>
        <v>100</v>
      </c>
      <c r="V33" s="1738" t="s">
        <v>25</v>
      </c>
      <c r="W33" s="1739">
        <f t="shared" si="14"/>
        <v>101</v>
      </c>
      <c r="X33" s="1740"/>
      <c r="Y33" s="3596"/>
      <c r="Z33" s="1741" t="str">
        <f t="shared" si="15"/>
        <v>项目建筑规模</v>
      </c>
      <c r="AA33" s="2040">
        <f t="shared" si="3"/>
        <v>1</v>
      </c>
      <c r="AB33" s="2040">
        <f t="shared" si="4"/>
        <v>1</v>
      </c>
      <c r="AC33" s="2040">
        <f t="shared" si="5"/>
        <v>0.99009900990099009</v>
      </c>
    </row>
    <row r="34" spans="1:29" ht="15">
      <c r="A34" s="1743"/>
      <c r="B34" s="1666" t="s">
        <v>2221</v>
      </c>
      <c r="C34" s="1744" t="s">
        <v>2988</v>
      </c>
      <c r="D34" s="1682">
        <v>100</v>
      </c>
      <c r="E34" s="1744" t="s">
        <v>2988</v>
      </c>
      <c r="F34" s="1725">
        <f>SUMIF(105:105,E34,106:106)-SUMIF(105:105,C34,106:106)+100</f>
        <v>100</v>
      </c>
      <c r="G34" s="1744" t="s">
        <v>2988</v>
      </c>
      <c r="H34" s="1682">
        <f>SUMIF(105:105,G34,106:106)-SUMIF(105:105,C34,106:106)+100</f>
        <v>100</v>
      </c>
      <c r="I34" s="1744" t="s">
        <v>2988</v>
      </c>
      <c r="J34" s="1682">
        <f>SUMIF(105:105,I34,106:106)-SUMIF(105:105,C34,106:106)+100</f>
        <v>100</v>
      </c>
      <c r="K34" s="1963">
        <v>1</v>
      </c>
      <c r="L34" s="2971"/>
      <c r="M34" s="2967"/>
      <c r="N34" s="2967"/>
      <c r="O34" s="2967"/>
      <c r="P34" s="3594"/>
      <c r="Q34" s="2042" t="str">
        <f t="shared" si="11"/>
        <v>建筑结构</v>
      </c>
      <c r="R34" s="1696" t="s">
        <v>25</v>
      </c>
      <c r="S34" s="1697">
        <f t="shared" si="12"/>
        <v>100</v>
      </c>
      <c r="T34" s="1696" t="s">
        <v>25</v>
      </c>
      <c r="U34" s="1697">
        <f t="shared" si="13"/>
        <v>100</v>
      </c>
      <c r="V34" s="1696" t="s">
        <v>25</v>
      </c>
      <c r="W34" s="1697">
        <f t="shared" si="14"/>
        <v>100</v>
      </c>
      <c r="X34" s="2045"/>
      <c r="Y34" s="3596"/>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1"/>
      <c r="M35" s="2967"/>
      <c r="N35" s="2967"/>
      <c r="O35" s="2967"/>
      <c r="P35" s="3594"/>
      <c r="Q35" s="2042" t="str">
        <f t="shared" si="11"/>
        <v>公共部分装修</v>
      </c>
      <c r="R35" s="1696" t="s">
        <v>25</v>
      </c>
      <c r="S35" s="1697">
        <f t="shared" si="12"/>
        <v>100</v>
      </c>
      <c r="T35" s="1696" t="s">
        <v>25</v>
      </c>
      <c r="U35" s="1697">
        <f t="shared" si="13"/>
        <v>100</v>
      </c>
      <c r="V35" s="1696" t="s">
        <v>25</v>
      </c>
      <c r="W35" s="1697">
        <f t="shared" si="14"/>
        <v>100</v>
      </c>
      <c r="X35" s="2045"/>
      <c r="Y35" s="3596"/>
      <c r="Z35" s="2049" t="str">
        <f t="shared" si="15"/>
        <v>公共部分装修</v>
      </c>
      <c r="AA35" s="2040">
        <f t="shared" si="3"/>
        <v>1</v>
      </c>
      <c r="AB35" s="2040">
        <f t="shared" si="4"/>
        <v>1</v>
      </c>
      <c r="AC35" s="2040">
        <f t="shared" si="5"/>
        <v>1</v>
      </c>
    </row>
    <row r="36" spans="1:29" ht="15">
      <c r="A36" s="1743"/>
      <c r="B36" s="1666" t="s">
        <v>2307</v>
      </c>
      <c r="C36" s="1747">
        <f>'数据-取费表'!E20</f>
        <v>0.7</v>
      </c>
      <c r="D36" s="1682">
        <v>100</v>
      </c>
      <c r="E36" s="1747">
        <f>C36</f>
        <v>0.7</v>
      </c>
      <c r="F36" s="1725">
        <f>LOOKUP(E36,110:110,111:111)-LOOKUP(C36,110:110,111:111)+100</f>
        <v>100</v>
      </c>
      <c r="G36" s="1747">
        <f>C36</f>
        <v>0.7</v>
      </c>
      <c r="H36" s="1725">
        <f>LOOKUP(G36,110:110,111:111)-LOOKUP(C36,110:110,111:111)+100</f>
        <v>100</v>
      </c>
      <c r="I36" s="1747">
        <f>C36</f>
        <v>0.7</v>
      </c>
      <c r="J36" s="1682">
        <f>LOOKUP(I36,110:110,111:111)-LOOKUP(C36,110:110,111:111)+100</f>
        <v>100</v>
      </c>
      <c r="K36" s="1963">
        <v>1</v>
      </c>
      <c r="L36" s="2971"/>
      <c r="M36" s="2967"/>
      <c r="N36" s="2967"/>
      <c r="O36" s="2967"/>
      <c r="P36" s="3594"/>
      <c r="Q36" s="2042" t="str">
        <f t="shared" si="11"/>
        <v>成新度</v>
      </c>
      <c r="R36" s="1696" t="s">
        <v>25</v>
      </c>
      <c r="S36" s="1697">
        <f t="shared" si="12"/>
        <v>100</v>
      </c>
      <c r="T36" s="1696" t="s">
        <v>25</v>
      </c>
      <c r="U36" s="1697">
        <f t="shared" si="13"/>
        <v>100</v>
      </c>
      <c r="V36" s="1696" t="s">
        <v>25</v>
      </c>
      <c r="W36" s="1697">
        <f t="shared" si="14"/>
        <v>100</v>
      </c>
      <c r="X36" s="2045"/>
      <c r="Y36" s="3596"/>
      <c r="Z36" s="2049" t="str">
        <f t="shared" si="15"/>
        <v>成新度</v>
      </c>
      <c r="AA36" s="2040">
        <f t="shared" si="3"/>
        <v>1</v>
      </c>
      <c r="AB36" s="2040">
        <f t="shared" si="4"/>
        <v>1</v>
      </c>
      <c r="AC36" s="2040">
        <f t="shared" si="5"/>
        <v>1</v>
      </c>
    </row>
    <row r="37" spans="1:29" s="1655" customFormat="1" ht="15">
      <c r="A37" s="1746"/>
      <c r="B37" s="1666" t="s">
        <v>2308</v>
      </c>
      <c r="C37" s="1726" t="s">
        <v>3033</v>
      </c>
      <c r="D37" s="1668">
        <v>100</v>
      </c>
      <c r="E37" s="1726" t="s">
        <v>3033</v>
      </c>
      <c r="F37" s="1725">
        <f>SUMIF(112:112,E37,113:113)-SUMIF(112:112,C37,113:113)+100</f>
        <v>100</v>
      </c>
      <c r="G37" s="1726" t="s">
        <v>3033</v>
      </c>
      <c r="H37" s="1682">
        <f>SUMIF(112:112,G37,113:113)-SUMIF(112:112,C37,113:113)+100</f>
        <v>100</v>
      </c>
      <c r="I37" s="1726" t="s">
        <v>3033</v>
      </c>
      <c r="J37" s="1682">
        <f>SUMIF(112:112,I37,113:113)-SUMIF(112:112,C37,113:113)+100</f>
        <v>100</v>
      </c>
      <c r="K37" s="1963">
        <v>1</v>
      </c>
      <c r="L37" s="2966"/>
      <c r="M37" s="2939"/>
      <c r="N37" s="2939"/>
      <c r="O37" s="2939"/>
      <c r="P37" s="3594"/>
      <c r="Q37" s="2036" t="str">
        <f t="shared" si="11"/>
        <v>市政基础设施</v>
      </c>
      <c r="R37" s="1651" t="s">
        <v>25</v>
      </c>
      <c r="S37" s="1652">
        <f t="shared" si="12"/>
        <v>100</v>
      </c>
      <c r="T37" s="1651" t="s">
        <v>25</v>
      </c>
      <c r="U37" s="1652">
        <f t="shared" si="13"/>
        <v>100</v>
      </c>
      <c r="V37" s="1651" t="s">
        <v>25</v>
      </c>
      <c r="W37" s="1652">
        <f t="shared" si="14"/>
        <v>100</v>
      </c>
      <c r="X37" s="1653"/>
      <c r="Y37" s="3596"/>
      <c r="Z37" s="1664" t="str">
        <f t="shared" si="15"/>
        <v>市政基础设施</v>
      </c>
      <c r="AA37" s="1654">
        <f t="shared" si="3"/>
        <v>1</v>
      </c>
      <c r="AB37" s="1654">
        <f t="shared" si="4"/>
        <v>1</v>
      </c>
      <c r="AC37" s="1654">
        <f t="shared" si="5"/>
        <v>1</v>
      </c>
    </row>
    <row r="38" spans="1:29" ht="15">
      <c r="A38" s="1743"/>
      <c r="B38" s="1666" t="s">
        <v>2309</v>
      </c>
      <c r="C38" s="1726" t="s">
        <v>3029</v>
      </c>
      <c r="D38" s="1682">
        <v>100</v>
      </c>
      <c r="E38" s="1726" t="s">
        <v>3029</v>
      </c>
      <c r="F38" s="1725">
        <f>SUMIF(114:114,E38,115:115)-SUMIF(114:114,C38,115:115)+100</f>
        <v>100</v>
      </c>
      <c r="G38" s="1726" t="s">
        <v>3029</v>
      </c>
      <c r="H38" s="1682">
        <f>SUMIF(114:114,G38,115:115)-SUMIF(114:114,C38,115:115)+100</f>
        <v>100</v>
      </c>
      <c r="I38" s="1726" t="s">
        <v>3029</v>
      </c>
      <c r="J38" s="1682">
        <f>SUMIF(114:114,I38,115:115)-SUMIF(114:114,C38,115:115)+100</f>
        <v>100</v>
      </c>
      <c r="K38" s="1963">
        <v>2</v>
      </c>
      <c r="L38" s="2971"/>
      <c r="M38" s="2967"/>
      <c r="N38" s="2967"/>
      <c r="O38" s="2967"/>
      <c r="P38" s="3594" t="s">
        <v>2219</v>
      </c>
      <c r="Q38" s="2042" t="str">
        <f t="shared" si="11"/>
        <v>业态</v>
      </c>
      <c r="R38" s="1696" t="s">
        <v>25</v>
      </c>
      <c r="S38" s="1697">
        <f t="shared" si="12"/>
        <v>100</v>
      </c>
      <c r="T38" s="1696" t="s">
        <v>25</v>
      </c>
      <c r="U38" s="1697">
        <f t="shared" si="13"/>
        <v>100</v>
      </c>
      <c r="V38" s="1696" t="s">
        <v>25</v>
      </c>
      <c r="W38" s="1697">
        <f t="shared" si="14"/>
        <v>100</v>
      </c>
      <c r="X38" s="2045"/>
      <c r="Y38" s="3596" t="s">
        <v>2219</v>
      </c>
      <c r="Z38" s="2049" t="str">
        <f t="shared" si="15"/>
        <v>业态</v>
      </c>
      <c r="AA38" s="2040">
        <f t="shared" si="3"/>
        <v>1</v>
      </c>
      <c r="AB38" s="2040">
        <f t="shared" si="4"/>
        <v>1</v>
      </c>
      <c r="AC38" s="2040">
        <f t="shared" si="5"/>
        <v>1</v>
      </c>
    </row>
    <row r="39" spans="1:29" ht="15">
      <c r="A39" s="1743"/>
      <c r="B39" s="1666" t="s">
        <v>2310</v>
      </c>
      <c r="C39" s="1726" t="s">
        <v>3027</v>
      </c>
      <c r="D39" s="1682">
        <v>100</v>
      </c>
      <c r="E39" s="1726" t="s">
        <v>3027</v>
      </c>
      <c r="F39" s="1725">
        <f>SUMIF(116:116,E39,117:117)-SUMIF(116:116,C39,117:117)+100</f>
        <v>100</v>
      </c>
      <c r="G39" s="1726" t="s">
        <v>3027</v>
      </c>
      <c r="H39" s="1682">
        <f>SUMIF(116:116,G39,117:117)-SUMIF(116:116,C39,117:117)+100</f>
        <v>100</v>
      </c>
      <c r="I39" s="1726" t="s">
        <v>3027</v>
      </c>
      <c r="J39" s="1682">
        <f>SUMIF(116:116,I39,117:117)-SUMIF(116:116,C39,117:117)+100</f>
        <v>100</v>
      </c>
      <c r="K39" s="1963">
        <v>2</v>
      </c>
      <c r="L39" s="2971"/>
      <c r="M39" s="2967"/>
      <c r="N39" s="2967"/>
      <c r="O39" s="2967"/>
      <c r="P39" s="3594"/>
      <c r="Q39" s="2042" t="str">
        <f t="shared" si="11"/>
        <v>层高</v>
      </c>
      <c r="R39" s="1696" t="s">
        <v>25</v>
      </c>
      <c r="S39" s="1697">
        <f t="shared" si="12"/>
        <v>100</v>
      </c>
      <c r="T39" s="1696" t="s">
        <v>25</v>
      </c>
      <c r="U39" s="1697">
        <f t="shared" si="13"/>
        <v>100</v>
      </c>
      <c r="V39" s="1696" t="s">
        <v>25</v>
      </c>
      <c r="W39" s="1697">
        <f t="shared" si="14"/>
        <v>100</v>
      </c>
      <c r="X39" s="2045"/>
      <c r="Y39" s="3596"/>
      <c r="Z39" s="2049" t="str">
        <f t="shared" si="15"/>
        <v>层高</v>
      </c>
      <c r="AA39" s="2040">
        <f t="shared" si="3"/>
        <v>1</v>
      </c>
      <c r="AB39" s="2040">
        <f t="shared" si="4"/>
        <v>1</v>
      </c>
      <c r="AC39" s="2040">
        <f t="shared" si="5"/>
        <v>1</v>
      </c>
    </row>
    <row r="40" spans="1:29" ht="15" hidden="1">
      <c r="A40" s="1743"/>
      <c r="B40" s="1666" t="s">
        <v>2311</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594"/>
      <c r="Q40" s="2042" t="str">
        <f t="shared" si="11"/>
        <v>单套建筑面积</v>
      </c>
      <c r="R40" s="1696" t="s">
        <v>25</v>
      </c>
      <c r="S40" s="1697">
        <f t="shared" si="12"/>
        <v>100</v>
      </c>
      <c r="T40" s="1696" t="s">
        <v>25</v>
      </c>
      <c r="U40" s="1697">
        <f t="shared" si="13"/>
        <v>100</v>
      </c>
      <c r="V40" s="1696" t="s">
        <v>25</v>
      </c>
      <c r="W40" s="1697">
        <f t="shared" si="14"/>
        <v>100</v>
      </c>
      <c r="X40" s="2045"/>
      <c r="Y40" s="3596"/>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594"/>
      <c r="Q41" s="1737" t="str">
        <f t="shared" si="11"/>
        <v>进深比</v>
      </c>
      <c r="R41" s="1738" t="s">
        <v>25</v>
      </c>
      <c r="S41" s="1739">
        <f t="shared" si="12"/>
        <v>100</v>
      </c>
      <c r="T41" s="1738" t="s">
        <v>25</v>
      </c>
      <c r="U41" s="1739">
        <f t="shared" si="13"/>
        <v>100</v>
      </c>
      <c r="V41" s="1738" t="s">
        <v>25</v>
      </c>
      <c r="W41" s="1739">
        <f t="shared" si="14"/>
        <v>100</v>
      </c>
      <c r="X41" s="1740"/>
      <c r="Y41" s="3596"/>
      <c r="Z41" s="1741" t="str">
        <f t="shared" si="15"/>
        <v>进深比</v>
      </c>
      <c r="AA41" s="2040">
        <f t="shared" si="3"/>
        <v>1</v>
      </c>
      <c r="AB41" s="2040">
        <f t="shared" si="4"/>
        <v>1</v>
      </c>
      <c r="AC41" s="2040">
        <f t="shared" si="5"/>
        <v>1</v>
      </c>
    </row>
    <row r="42" spans="1:29" ht="15">
      <c r="A42" s="1743"/>
      <c r="B42" s="1666" t="s">
        <v>2313</v>
      </c>
      <c r="C42" s="1726" t="s">
        <v>3021</v>
      </c>
      <c r="D42" s="1682">
        <v>100</v>
      </c>
      <c r="E42" s="1726" t="s">
        <v>3023</v>
      </c>
      <c r="F42" s="1725">
        <f>SUMIF(122:122,E42,123:123)-SUMIF(122:122,C42,123:123)+100</f>
        <v>98</v>
      </c>
      <c r="G42" s="1726" t="s">
        <v>3023</v>
      </c>
      <c r="H42" s="1682">
        <f>SUMIF(122:122,G42,123:123)-SUMIF(122:122,C42,123:123)+100</f>
        <v>98</v>
      </c>
      <c r="I42" s="1726" t="s">
        <v>3023</v>
      </c>
      <c r="J42" s="1682">
        <f>SUMIF(122:122,I42,123:123)-SUMIF(122:122,C42,123:123)+100</f>
        <v>98</v>
      </c>
      <c r="K42" s="1963">
        <v>2</v>
      </c>
      <c r="L42" s="2971"/>
      <c r="M42" s="2967"/>
      <c r="N42" s="2967"/>
      <c r="O42" s="2967"/>
      <c r="P42" s="3594"/>
      <c r="Q42" s="2042" t="str">
        <f t="shared" si="11"/>
        <v>内部装修</v>
      </c>
      <c r="R42" s="1696" t="s">
        <v>25</v>
      </c>
      <c r="S42" s="1697">
        <f t="shared" si="12"/>
        <v>98</v>
      </c>
      <c r="T42" s="1696" t="s">
        <v>25</v>
      </c>
      <c r="U42" s="1697">
        <f t="shared" si="13"/>
        <v>98</v>
      </c>
      <c r="V42" s="1696" t="s">
        <v>25</v>
      </c>
      <c r="W42" s="1697">
        <f t="shared" si="14"/>
        <v>98</v>
      </c>
      <c r="X42" s="2045"/>
      <c r="Y42" s="3596"/>
      <c r="Z42" s="2049" t="str">
        <f t="shared" si="15"/>
        <v>内部装修</v>
      </c>
      <c r="AA42" s="2040">
        <f t="shared" si="3"/>
        <v>1.0204081632653061</v>
      </c>
      <c r="AB42" s="2040">
        <f t="shared" si="4"/>
        <v>1.0204081632653061</v>
      </c>
      <c r="AC42" s="2040">
        <f t="shared" si="5"/>
        <v>1.0204081632653061</v>
      </c>
    </row>
    <row r="43" spans="1:29" ht="29.4" thickBot="1">
      <c r="A43" s="1743"/>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2</v>
      </c>
      <c r="L43" s="2971"/>
      <c r="M43" s="2967"/>
      <c r="N43" s="2967"/>
      <c r="O43" s="2967"/>
      <c r="P43" s="3594"/>
      <c r="Q43" s="2042" t="str">
        <f t="shared" si="11"/>
        <v>内部装修维护情况</v>
      </c>
      <c r="R43" s="1696" t="s">
        <v>25</v>
      </c>
      <c r="S43" s="1697">
        <f t="shared" si="12"/>
        <v>100</v>
      </c>
      <c r="T43" s="1696" t="s">
        <v>25</v>
      </c>
      <c r="U43" s="1697">
        <f t="shared" si="13"/>
        <v>100</v>
      </c>
      <c r="V43" s="1696" t="s">
        <v>25</v>
      </c>
      <c r="W43" s="1697">
        <f t="shared" si="14"/>
        <v>100</v>
      </c>
      <c r="X43" s="2045"/>
      <c r="Y43" s="3596"/>
      <c r="Z43" s="2049" t="str">
        <f t="shared" si="15"/>
        <v>内部装修维护情况</v>
      </c>
      <c r="AA43" s="2040">
        <f t="shared" si="3"/>
        <v>1</v>
      </c>
      <c r="AB43" s="2040">
        <f t="shared" si="4"/>
        <v>1</v>
      </c>
      <c r="AC43" s="2040">
        <f t="shared" si="5"/>
        <v>1</v>
      </c>
    </row>
    <row r="44" spans="1:29" s="1655" customFormat="1" ht="15" hidden="1">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594"/>
      <c r="Q44" s="2036">
        <f t="shared" si="11"/>
        <v>111</v>
      </c>
      <c r="R44" s="1651" t="s">
        <v>25</v>
      </c>
      <c r="S44" s="1652">
        <f t="shared" si="12"/>
        <v>100</v>
      </c>
      <c r="T44" s="1651" t="s">
        <v>25</v>
      </c>
      <c r="U44" s="1652">
        <f t="shared" si="13"/>
        <v>100</v>
      </c>
      <c r="V44" s="1651" t="s">
        <v>25</v>
      </c>
      <c r="W44" s="1652">
        <f t="shared" si="14"/>
        <v>100</v>
      </c>
      <c r="X44" s="1653"/>
      <c r="Y44" s="3596"/>
      <c r="Z44" s="1664">
        <f t="shared" si="15"/>
        <v>111</v>
      </c>
      <c r="AA44" s="1654">
        <f t="shared" si="3"/>
        <v>1</v>
      </c>
      <c r="AB44" s="1654">
        <f t="shared" si="4"/>
        <v>1</v>
      </c>
      <c r="AC44" s="1654">
        <f t="shared" si="5"/>
        <v>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594"/>
      <c r="Q45" s="2042">
        <f t="shared" si="11"/>
        <v>111</v>
      </c>
      <c r="R45" s="1696" t="s">
        <v>25</v>
      </c>
      <c r="S45" s="1697">
        <f t="shared" si="12"/>
        <v>100</v>
      </c>
      <c r="T45" s="1696" t="s">
        <v>25</v>
      </c>
      <c r="U45" s="1697">
        <f t="shared" si="13"/>
        <v>100</v>
      </c>
      <c r="V45" s="1696" t="s">
        <v>25</v>
      </c>
      <c r="W45" s="1697">
        <f t="shared" si="14"/>
        <v>100</v>
      </c>
      <c r="X45" s="2045"/>
      <c r="Y45" s="3596"/>
      <c r="Z45" s="2049">
        <f t="shared" si="15"/>
        <v>111</v>
      </c>
      <c r="AA45" s="2040">
        <f t="shared" si="3"/>
        <v>1</v>
      </c>
      <c r="AB45" s="2040">
        <f t="shared" si="4"/>
        <v>1</v>
      </c>
      <c r="AC45" s="2040">
        <f t="shared" si="5"/>
        <v>1</v>
      </c>
    </row>
    <row r="46" spans="1:29" ht="15.6" hidden="1"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595"/>
      <c r="Q46" s="2042">
        <f t="shared" si="11"/>
        <v>111</v>
      </c>
      <c r="R46" s="1696" t="s">
        <v>25</v>
      </c>
      <c r="S46" s="1697">
        <f t="shared" si="12"/>
        <v>100</v>
      </c>
      <c r="T46" s="1696" t="s">
        <v>25</v>
      </c>
      <c r="U46" s="1697">
        <f t="shared" si="13"/>
        <v>100</v>
      </c>
      <c r="V46" s="1696" t="s">
        <v>25</v>
      </c>
      <c r="W46" s="1697">
        <f t="shared" si="14"/>
        <v>100</v>
      </c>
      <c r="X46" s="2045"/>
      <c r="Y46" s="3597"/>
      <c r="Z46" s="2049">
        <f t="shared" si="15"/>
        <v>111</v>
      </c>
      <c r="AA46" s="2040">
        <f t="shared" si="3"/>
        <v>1</v>
      </c>
      <c r="AB46" s="2040">
        <f t="shared" si="4"/>
        <v>1</v>
      </c>
      <c r="AC46" s="2040">
        <f t="shared" si="5"/>
        <v>1</v>
      </c>
    </row>
    <row r="47" spans="1:29" ht="14.4">
      <c r="A47" s="1752" t="s">
        <v>2231</v>
      </c>
      <c r="B47" s="1753"/>
      <c r="C47" s="1754" t="s">
        <v>1</v>
      </c>
      <c r="D47" s="1755"/>
      <c r="E47" s="1756">
        <v>50800</v>
      </c>
      <c r="F47" s="1757"/>
      <c r="G47" s="1758">
        <v>52204</v>
      </c>
      <c r="H47" s="1759"/>
      <c r="I47" s="1756">
        <v>50000</v>
      </c>
      <c r="J47" s="1759"/>
      <c r="K47" s="1984"/>
      <c r="L47" s="2972"/>
      <c r="N47" s="2967"/>
      <c r="P47" s="3588" t="str">
        <f>A47</f>
        <v>成交单价（元/平方米）</v>
      </c>
      <c r="Q47" s="3588"/>
      <c r="R47" s="3584">
        <f>E47</f>
        <v>50800</v>
      </c>
      <c r="S47" s="3584"/>
      <c r="T47" s="3584">
        <f>G47</f>
        <v>52204</v>
      </c>
      <c r="U47" s="3584"/>
      <c r="V47" s="3584">
        <f>I47</f>
        <v>50000</v>
      </c>
      <c r="W47" s="3584"/>
      <c r="X47" s="1762"/>
      <c r="Y47" s="2044"/>
      <c r="Z47" s="1762"/>
      <c r="AA47" s="1762"/>
      <c r="AB47" s="1762"/>
      <c r="AC47" s="1762"/>
    </row>
    <row r="48" spans="1:29" ht="15" thickBot="1">
      <c r="A48" s="1764" t="s">
        <v>2314</v>
      </c>
      <c r="B48" s="1765"/>
      <c r="C48" s="1766">
        <f>R49</f>
        <v>51187</v>
      </c>
      <c r="D48" s="1767" t="s">
        <v>2687</v>
      </c>
      <c r="E48" s="1768">
        <f>R48</f>
        <v>50820</v>
      </c>
      <c r="F48" s="1769"/>
      <c r="G48" s="1766">
        <f>T48</f>
        <v>52225</v>
      </c>
      <c r="H48" s="1769"/>
      <c r="I48" s="1768">
        <f>V48</f>
        <v>50515</v>
      </c>
      <c r="J48" s="1769"/>
      <c r="K48" s="2480">
        <f>F48+H48+J48</f>
        <v>0</v>
      </c>
      <c r="L48" s="2972"/>
      <c r="N48" s="2967"/>
      <c r="P48" s="3588" t="str">
        <f>A48</f>
        <v>比较价值（元/平方米）</v>
      </c>
      <c r="Q48" s="3588"/>
      <c r="R48" s="3584">
        <f>IF(E1="售价",ROUND(PRODUCT(R47,AA7:AA46),0),ROUND(PRODUCT(R47,AA7:AA46),1))</f>
        <v>50820</v>
      </c>
      <c r="S48" s="3584"/>
      <c r="T48" s="3584">
        <f>IF(E1="售价",ROUND(PRODUCT(T47,AB7:AB46),0),ROUND(PRODUCT(T47,AB7:AB46),1))</f>
        <v>52225</v>
      </c>
      <c r="U48" s="3584"/>
      <c r="V48" s="3584">
        <f>IF(E1="售价",ROUND(PRODUCT(V47,AC7:AC46),0),ROUND(PRODUCT(V47,AC7:AC46),1))</f>
        <v>50515</v>
      </c>
      <c r="W48" s="3584"/>
      <c r="X48" s="1762"/>
      <c r="Y48" s="1762"/>
      <c r="Z48" s="1762"/>
      <c r="AA48" s="1762"/>
      <c r="AB48" s="1762"/>
      <c r="AC48" s="1762"/>
    </row>
    <row r="49" spans="1:29" ht="15" thickBot="1">
      <c r="A49" s="1770" t="s">
        <v>2315</v>
      </c>
      <c r="B49" s="1771"/>
      <c r="C49" s="1773">
        <f>R49</f>
        <v>51187</v>
      </c>
      <c r="D49" s="1773"/>
      <c r="E49" s="1773"/>
      <c r="F49" s="1773"/>
      <c r="G49" s="1773"/>
      <c r="H49" s="1773"/>
      <c r="I49" s="1773"/>
      <c r="J49" s="1773"/>
      <c r="K49" s="1989"/>
      <c r="L49" s="2972"/>
      <c r="N49" s="2967"/>
      <c r="P49" s="3585" t="str">
        <f>A49</f>
        <v>估价对象XX用房的比较价值（楼面单价，元/平方米）</v>
      </c>
      <c r="Q49" s="3586"/>
      <c r="R49" s="3587">
        <f>IF(E1="售价",ROUND(IF(D48="简单平均",AVERAGE(R48:V48),R48*F48+T48*H48+V48*J48),0),ROUND(IF(D48="简单平均",AVERAGE(R48:V48),R48*F48+T48*H48+V48*J48),1))</f>
        <v>51187</v>
      </c>
      <c r="S49" s="3587"/>
      <c r="T49" s="3587"/>
      <c r="U49" s="3587"/>
      <c r="V49" s="3587"/>
      <c r="W49" s="3587"/>
      <c r="X49" s="1762"/>
      <c r="Y49" s="1762"/>
      <c r="Z49" s="1762"/>
      <c r="AA49" s="1762"/>
      <c r="AB49" s="1762"/>
      <c r="AC49" s="1762"/>
    </row>
    <row r="50" spans="1:29">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3.9370078740152969E-4</v>
      </c>
      <c r="F52" s="1780" t="str">
        <f>IF(OR(E52&gt;=0.3,E52&lt;=-0.3),"超过30%","")</f>
        <v/>
      </c>
      <c r="G52" s="1779">
        <f>IF(G47&lt;G48,G48/G47-1,G47/G48-1)</f>
        <v>4.0226802543874562E-4</v>
      </c>
      <c r="H52" s="1780" t="str">
        <f>IF(OR(G52&gt;=0.3,G52&lt;=-0.3),"超过30%","")</f>
        <v/>
      </c>
      <c r="I52" s="1779">
        <f>IF(I47&lt;I48,I48/I47-1,I47/I48-1)</f>
        <v>1.0299999999999976E-2</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2.7646595828414E-2</v>
      </c>
      <c r="F53" s="1780" t="str">
        <f>IF(OR(E53&gt;=0.2,E53&lt;=-0.2),"超过20%","")</f>
        <v/>
      </c>
      <c r="G53" s="1779">
        <f>IF(G48&lt;I48,I48/G48-1,G48/I48-1)</f>
        <v>3.3851331287736208E-2</v>
      </c>
      <c r="H53" s="1780" t="str">
        <f>IF(OR(G53&gt;=0.2,G53&lt;=-0.2),"超过20%","")</f>
        <v/>
      </c>
      <c r="I53" s="1779">
        <f>IF(I48&lt;E48,E48/I48-1,I48/E48-1)</f>
        <v>6.0378105513214653E-3</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2.7637795275590626E-2</v>
      </c>
      <c r="F54" s="1780" t="str">
        <f>IF(OR(E54&gt;=0.3,E54&lt;=-0.3),"超过30%","")</f>
        <v/>
      </c>
      <c r="G54" s="1779">
        <f>IF(G47&lt;I47,I47/G47-1,G47/I47-1)</f>
        <v>4.4079999999999897E-2</v>
      </c>
      <c r="H54" s="1780" t="str">
        <f>IF(OR(G54&gt;=0.3,G54&lt;=-0.3),"超过30%","")</f>
        <v/>
      </c>
      <c r="I54" s="1779">
        <f>IF(I47&lt;E47,E47/I47-1,I47/E47-1)</f>
        <v>1.6000000000000014E-2</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2.2" thickBot="1">
      <c r="A57" s="1787" t="s">
        <v>2319</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4.4">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v>100</v>
      </c>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4.4" thickBot="1">
      <c r="A62" s="1810"/>
      <c r="B62" s="1800"/>
      <c r="C62" s="1815">
        <v>100</v>
      </c>
      <c r="D62" s="1802"/>
      <c r="E62" s="1802"/>
      <c r="F62" s="1802"/>
      <c r="G62" s="1802"/>
      <c r="H62" s="1802"/>
      <c r="I62" s="1802"/>
      <c r="J62" s="1802"/>
      <c r="K62" s="1802"/>
      <c r="L62" s="1802"/>
      <c r="M62" s="1816"/>
      <c r="N62" s="2984"/>
      <c r="O62" s="2984"/>
      <c r="P62" s="1804"/>
      <c r="Q62" s="1792"/>
    </row>
    <row r="63" spans="1:29" ht="14.4">
      <c r="A63" s="1817" t="s">
        <v>2242</v>
      </c>
      <c r="B63" s="1818" t="s">
        <v>2207</v>
      </c>
      <c r="C63" s="1819" t="str">
        <f>C9</f>
        <v>商业</v>
      </c>
      <c r="D63" s="1820"/>
      <c r="E63" s="1820"/>
      <c r="F63" s="1820"/>
      <c r="G63" s="1820"/>
      <c r="H63" s="1820"/>
      <c r="I63" s="1820"/>
      <c r="J63" s="1820"/>
      <c r="K63" s="417"/>
      <c r="L63" s="417"/>
      <c r="M63" s="1821"/>
      <c r="N63" s="2985"/>
      <c r="O63" s="2985"/>
      <c r="P63" s="1823"/>
      <c r="Q63" s="1792"/>
    </row>
    <row r="64" spans="1:29" ht="14.4" thickBot="1">
      <c r="A64" s="1824"/>
      <c r="B64" s="1825"/>
      <c r="C64" s="1826">
        <v>100</v>
      </c>
      <c r="D64" s="1826"/>
      <c r="E64" s="1826"/>
      <c r="F64" s="1826"/>
      <c r="G64" s="1826"/>
      <c r="H64" s="1826"/>
      <c r="I64" s="1826"/>
      <c r="J64" s="1826"/>
      <c r="K64" s="1826"/>
      <c r="L64" s="1826"/>
      <c r="M64" s="1827"/>
      <c r="N64" s="2986"/>
      <c r="O64" s="2986"/>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4.4" thickBot="1">
      <c r="A66" s="1824"/>
      <c r="B66" s="1832"/>
      <c r="C66" s="1833" t="s">
        <v>36</v>
      </c>
      <c r="D66" s="1833" t="s">
        <v>37</v>
      </c>
      <c r="E66" s="1833" t="s">
        <v>38</v>
      </c>
      <c r="F66" s="1833">
        <v>100</v>
      </c>
      <c r="G66" s="1833">
        <f>F66-$K10</f>
        <v>99</v>
      </c>
      <c r="H66" s="1833">
        <f>G66-$K10</f>
        <v>98</v>
      </c>
      <c r="I66" s="1833">
        <f>H66-$K10</f>
        <v>97</v>
      </c>
      <c r="J66" s="1833"/>
      <c r="K66" s="1833"/>
      <c r="L66" s="1833"/>
      <c r="M66" s="1834"/>
      <c r="N66" s="2986"/>
      <c r="O66" s="2986"/>
      <c r="P66" s="1823"/>
      <c r="Q66" s="1792"/>
    </row>
    <row r="67" spans="1:17" ht="15" thickTop="1">
      <c r="A67" s="1824"/>
      <c r="B67" s="1835" t="s">
        <v>2211</v>
      </c>
      <c r="C67" s="1836" t="str">
        <f>C68&amp;"（含）"&amp;"-"&amp;D68</f>
        <v>0（含）-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c r="A68" s="1824"/>
      <c r="B68" s="1837"/>
      <c r="C68" s="1838">
        <v>0</v>
      </c>
      <c r="D68" s="1838"/>
      <c r="E68" s="1838"/>
      <c r="F68" s="1838"/>
      <c r="G68" s="1838"/>
      <c r="H68" s="1838"/>
      <c r="I68" s="1838"/>
      <c r="J68" s="1838"/>
      <c r="K68" s="438"/>
      <c r="L68" s="438"/>
      <c r="M68" s="1839"/>
      <c r="N68" s="2985"/>
      <c r="O68" s="2985"/>
      <c r="P68" s="1823"/>
      <c r="Q68" s="1792"/>
    </row>
    <row r="69" spans="1:17" ht="14.4"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4.4"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4.4" thickBot="1">
      <c r="A71" s="1840"/>
      <c r="B71" s="1832"/>
      <c r="C71" s="1845"/>
      <c r="D71" s="1826"/>
      <c r="E71" s="1826"/>
      <c r="F71" s="1826"/>
      <c r="G71" s="1826"/>
      <c r="H71" s="1826"/>
      <c r="I71" s="1826"/>
      <c r="J71" s="1826"/>
      <c r="K71" s="1826"/>
      <c r="L71" s="1826"/>
      <c r="M71" s="1827"/>
      <c r="N71" s="2986"/>
      <c r="O71" s="2986"/>
      <c r="P71" s="1843"/>
      <c r="Q71" s="1844"/>
    </row>
    <row r="72" spans="1:17" s="1742" customFormat="1" ht="14.4"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4.4" thickBot="1">
      <c r="A73" s="1840"/>
      <c r="B73" s="1832"/>
      <c r="C73" s="1845"/>
      <c r="D73" s="1826"/>
      <c r="E73" s="1826"/>
      <c r="F73" s="1826"/>
      <c r="G73" s="1845"/>
      <c r="H73" s="1848"/>
      <c r="I73" s="1848"/>
      <c r="J73" s="1848"/>
      <c r="K73" s="1848"/>
      <c r="L73" s="1848"/>
      <c r="M73" s="1849"/>
      <c r="N73" s="2987"/>
      <c r="O73" s="2987"/>
      <c r="P73" s="1843"/>
      <c r="Q73" s="1844"/>
    </row>
    <row r="74" spans="1:17" s="1742" customFormat="1" ht="14.4"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4.4" thickBot="1">
      <c r="A75" s="1851"/>
      <c r="B75" s="1852"/>
      <c r="C75" s="1853"/>
      <c r="D75" s="1853"/>
      <c r="E75" s="1853"/>
      <c r="F75" s="1853"/>
      <c r="G75" s="1853"/>
      <c r="H75" s="1854"/>
      <c r="I75" s="1854"/>
      <c r="J75" s="1854"/>
      <c r="K75" s="1854"/>
      <c r="L75" s="1854"/>
      <c r="M75" s="1855"/>
      <c r="N75" s="2987"/>
      <c r="O75" s="2987"/>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4.4"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4.4"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4.4"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4.4" thickBot="1">
      <c r="A83" s="1824"/>
      <c r="B83" s="1835"/>
      <c r="C83" s="1833">
        <v>100</v>
      </c>
      <c r="D83" s="1833">
        <f>C83-$K21</f>
        <v>99</v>
      </c>
      <c r="E83" s="1833">
        <f>D83-$K21</f>
        <v>98</v>
      </c>
      <c r="F83" s="1833">
        <f>E83-$K21</f>
        <v>97</v>
      </c>
      <c r="G83" s="1833">
        <f>F83-$K21</f>
        <v>96</v>
      </c>
      <c r="H83" s="1859"/>
      <c r="I83" s="1859"/>
      <c r="J83" s="1859"/>
      <c r="K83" s="1859"/>
      <c r="L83" s="1859"/>
      <c r="M83" s="1706"/>
      <c r="N83" s="2986"/>
      <c r="O83" s="2986"/>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4.4"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 thickTop="1">
      <c r="A86" s="1860"/>
      <c r="B86" s="1829" t="s">
        <v>2320</v>
      </c>
      <c r="C86" s="3318" t="s">
        <v>3013</v>
      </c>
      <c r="D86" s="3318" t="s">
        <v>3014</v>
      </c>
      <c r="E86" s="3318" t="s">
        <v>3016</v>
      </c>
      <c r="F86" s="3318" t="s">
        <v>3017</v>
      </c>
      <c r="G86" s="468"/>
      <c r="H86" s="468"/>
      <c r="I86" s="468"/>
      <c r="J86" s="468"/>
      <c r="K86" s="468"/>
      <c r="L86" s="468"/>
      <c r="M86" s="1861"/>
      <c r="N86" s="2984"/>
      <c r="O86" s="2984"/>
      <c r="P86" s="1823"/>
      <c r="Q86" s="1792"/>
    </row>
    <row r="87" spans="1:17" s="1655" customFormat="1" ht="14.4" thickBot="1">
      <c r="A87" s="1860"/>
      <c r="B87" s="1832"/>
      <c r="C87" s="1862">
        <v>100</v>
      </c>
      <c r="D87" s="1833">
        <f t="shared" ref="D87:M87" si="19">C87-$K25</f>
        <v>97</v>
      </c>
      <c r="E87" s="1833">
        <f t="shared" si="19"/>
        <v>94</v>
      </c>
      <c r="F87" s="1833">
        <f t="shared" si="19"/>
        <v>91</v>
      </c>
      <c r="G87" s="1833">
        <f t="shared" si="19"/>
        <v>88</v>
      </c>
      <c r="H87" s="1833">
        <f t="shared" si="19"/>
        <v>85</v>
      </c>
      <c r="I87" s="1833">
        <f t="shared" si="19"/>
        <v>82</v>
      </c>
      <c r="J87" s="1833">
        <f t="shared" si="19"/>
        <v>79</v>
      </c>
      <c r="K87" s="1833">
        <f t="shared" si="19"/>
        <v>76</v>
      </c>
      <c r="L87" s="1833">
        <f t="shared" si="19"/>
        <v>73</v>
      </c>
      <c r="M87" s="1833">
        <f t="shared" si="19"/>
        <v>70</v>
      </c>
      <c r="N87" s="2986"/>
      <c r="O87" s="2986"/>
      <c r="P87" s="1823"/>
      <c r="Q87" s="1792"/>
    </row>
    <row r="88" spans="1:17" s="1655" customFormat="1" ht="14.4" thickTop="1">
      <c r="A88" s="1860"/>
      <c r="B88" s="1829" t="str">
        <f>B26</f>
        <v>平面位置/可视性</v>
      </c>
      <c r="C88" s="468" t="s">
        <v>29</v>
      </c>
      <c r="D88" s="468" t="s">
        <v>30</v>
      </c>
      <c r="E88" s="468" t="s">
        <v>31</v>
      </c>
      <c r="F88" s="1863" t="s">
        <v>32</v>
      </c>
      <c r="G88" s="468" t="s">
        <v>35</v>
      </c>
      <c r="H88" s="468"/>
      <c r="I88" s="468"/>
      <c r="J88" s="468"/>
      <c r="K88" s="468"/>
      <c r="L88" s="468"/>
      <c r="M88" s="1861"/>
      <c r="N88" s="2984"/>
      <c r="O88" s="2984"/>
      <c r="P88" s="1823"/>
      <c r="Q88" s="1792"/>
    </row>
    <row r="89" spans="1:17" s="1655" customFormat="1" ht="14.4" thickBot="1">
      <c r="A89" s="1860"/>
      <c r="B89" s="1832"/>
      <c r="C89" s="1845">
        <v>100</v>
      </c>
      <c r="D89" s="1826">
        <f>C89-2</f>
        <v>98</v>
      </c>
      <c r="E89" s="1826">
        <f t="shared" ref="E89:F89" si="20">D89-2</f>
        <v>96</v>
      </c>
      <c r="F89" s="1826">
        <f t="shared" si="20"/>
        <v>94</v>
      </c>
      <c r="G89" s="1826">
        <f>F89-2</f>
        <v>92</v>
      </c>
      <c r="H89" s="1826"/>
      <c r="I89" s="1826"/>
      <c r="J89" s="1826"/>
      <c r="K89" s="1826"/>
      <c r="L89" s="1826"/>
      <c r="M89" s="1826"/>
      <c r="N89" s="2986"/>
      <c r="O89" s="2986"/>
      <c r="P89" s="1823"/>
      <c r="Q89" s="1792"/>
    </row>
    <row r="90" spans="1:17" s="1742" customFormat="1" ht="14.4" thickTop="1">
      <c r="A90" s="1840"/>
      <c r="B90" s="1829" t="str">
        <f>B27</f>
        <v>人流量</v>
      </c>
      <c r="C90" s="468" t="s">
        <v>29</v>
      </c>
      <c r="D90" s="468" t="s">
        <v>30</v>
      </c>
      <c r="E90" s="468" t="s">
        <v>31</v>
      </c>
      <c r="F90" s="1863" t="s">
        <v>32</v>
      </c>
      <c r="G90" s="468" t="s">
        <v>35</v>
      </c>
      <c r="H90" s="443"/>
      <c r="I90" s="443"/>
      <c r="J90" s="443"/>
      <c r="K90" s="443"/>
      <c r="L90" s="443"/>
      <c r="M90" s="1841"/>
      <c r="N90" s="2987"/>
      <c r="O90" s="2987"/>
      <c r="P90" s="1843"/>
      <c r="Q90" s="1844"/>
    </row>
    <row r="91" spans="1:17" s="1742" customFormat="1" ht="14.4" thickBot="1">
      <c r="A91" s="1840"/>
      <c r="B91" s="1832"/>
      <c r="C91" s="1862">
        <v>100</v>
      </c>
      <c r="D91" s="1833">
        <f>C91-$K27</f>
        <v>98</v>
      </c>
      <c r="E91" s="1833">
        <f t="shared" ref="E91:M91" si="21">D91-$K27</f>
        <v>96</v>
      </c>
      <c r="F91" s="1833">
        <f t="shared" si="21"/>
        <v>94</v>
      </c>
      <c r="G91" s="1833">
        <f t="shared" si="21"/>
        <v>92</v>
      </c>
      <c r="H91" s="1833">
        <f t="shared" si="21"/>
        <v>90</v>
      </c>
      <c r="I91" s="1833">
        <f t="shared" si="21"/>
        <v>88</v>
      </c>
      <c r="J91" s="1833">
        <f t="shared" si="21"/>
        <v>86</v>
      </c>
      <c r="K91" s="1833">
        <f t="shared" si="21"/>
        <v>84</v>
      </c>
      <c r="L91" s="1833">
        <f t="shared" si="21"/>
        <v>82</v>
      </c>
      <c r="M91" s="1833">
        <f t="shared" si="21"/>
        <v>80</v>
      </c>
      <c r="N91" s="2987"/>
      <c r="O91" s="2987"/>
      <c r="P91" s="1843"/>
      <c r="Q91" s="1844"/>
    </row>
    <row r="92" spans="1:17" ht="14.4" thickTop="1">
      <c r="A92" s="1824"/>
      <c r="B92" s="1829" t="str">
        <f>B28</f>
        <v>楼层</v>
      </c>
      <c r="C92" s="468">
        <v>1</v>
      </c>
      <c r="D92" s="468"/>
      <c r="E92" s="468"/>
      <c r="F92" s="468"/>
      <c r="G92" s="468"/>
      <c r="H92" s="468"/>
      <c r="I92" s="468"/>
      <c r="J92" s="468"/>
      <c r="K92" s="468"/>
      <c r="L92" s="468"/>
      <c r="M92" s="1861"/>
      <c r="N92" s="2985"/>
      <c r="O92" s="2985"/>
      <c r="P92" s="1823"/>
      <c r="Q92" s="1792"/>
    </row>
    <row r="93" spans="1:17" ht="14.4" thickBot="1">
      <c r="A93" s="1824"/>
      <c r="B93" s="1832"/>
      <c r="C93" s="1826">
        <v>100</v>
      </c>
      <c r="D93" s="1826"/>
      <c r="E93" s="1826"/>
      <c r="F93" s="1826"/>
      <c r="G93" s="1826"/>
      <c r="H93" s="1826"/>
      <c r="I93" s="1826"/>
      <c r="J93" s="1826"/>
      <c r="K93" s="1826"/>
      <c r="L93" s="1826"/>
      <c r="M93" s="1827"/>
      <c r="N93" s="2986"/>
      <c r="O93" s="2986"/>
      <c r="P93" s="1823"/>
      <c r="Q93" s="1792"/>
    </row>
    <row r="94" spans="1:17" ht="14.4" thickTop="1">
      <c r="A94" s="1824"/>
      <c r="B94" s="1829">
        <f>B29</f>
        <v>111</v>
      </c>
      <c r="C94" s="468"/>
      <c r="D94" s="468"/>
      <c r="E94" s="468"/>
      <c r="F94" s="468"/>
      <c r="G94" s="1548"/>
      <c r="H94" s="1548"/>
      <c r="I94" s="1548"/>
      <c r="J94" s="1548"/>
      <c r="K94" s="473"/>
      <c r="L94" s="473"/>
      <c r="M94" s="1864"/>
      <c r="N94" s="2985"/>
      <c r="O94" s="2985"/>
      <c r="P94" s="1823"/>
      <c r="Q94" s="1792"/>
    </row>
    <row r="95" spans="1:17" ht="14.4" thickBot="1">
      <c r="A95" s="1824"/>
      <c r="B95" s="1832"/>
      <c r="C95" s="1845"/>
      <c r="D95" s="1826"/>
      <c r="E95" s="1826"/>
      <c r="F95" s="1826"/>
      <c r="G95" s="1826"/>
      <c r="H95" s="1826"/>
      <c r="I95" s="1826"/>
      <c r="J95" s="1826"/>
      <c r="K95" s="1826"/>
      <c r="L95" s="1826"/>
      <c r="M95" s="1827"/>
      <c r="N95" s="2986"/>
      <c r="O95" s="2986"/>
      <c r="P95" s="1823"/>
      <c r="Q95" s="1792"/>
    </row>
    <row r="96" spans="1:17" ht="14.4" thickTop="1">
      <c r="A96" s="1824"/>
      <c r="B96" s="1829">
        <f>B30</f>
        <v>111</v>
      </c>
      <c r="C96" s="468"/>
      <c r="D96" s="468"/>
      <c r="E96" s="468"/>
      <c r="F96" s="468"/>
      <c r="G96" s="1548"/>
      <c r="H96" s="1548"/>
      <c r="I96" s="1548"/>
      <c r="J96" s="1548"/>
      <c r="K96" s="473"/>
      <c r="L96" s="473"/>
      <c r="M96" s="1864"/>
      <c r="N96" s="2985"/>
      <c r="O96" s="2985"/>
      <c r="P96" s="1823"/>
      <c r="Q96" s="1792"/>
    </row>
    <row r="97" spans="1:17" ht="14.4" thickBot="1">
      <c r="A97" s="1824"/>
      <c r="B97" s="1832"/>
      <c r="C97" s="1845"/>
      <c r="D97" s="1826"/>
      <c r="E97" s="1826"/>
      <c r="F97" s="1826"/>
      <c r="G97" s="1826"/>
      <c r="H97" s="1826"/>
      <c r="I97" s="1826"/>
      <c r="J97" s="1826"/>
      <c r="K97" s="1826"/>
      <c r="L97" s="1826"/>
      <c r="M97" s="1827"/>
      <c r="N97" s="2986"/>
      <c r="O97" s="2986"/>
      <c r="P97" s="1823"/>
      <c r="Q97" s="1792"/>
    </row>
    <row r="98" spans="1:17" ht="14.4" thickTop="1">
      <c r="A98" s="1824"/>
      <c r="B98" s="1835">
        <f>B31</f>
        <v>111</v>
      </c>
      <c r="C98" s="468"/>
      <c r="D98" s="468"/>
      <c r="E98" s="468"/>
      <c r="F98" s="468"/>
      <c r="G98" s="1865"/>
      <c r="H98" s="1865"/>
      <c r="I98" s="1865"/>
      <c r="J98" s="1865"/>
      <c r="K98" s="477"/>
      <c r="L98" s="477"/>
      <c r="M98" s="1866"/>
      <c r="N98" s="2985"/>
      <c r="O98" s="2985"/>
      <c r="P98" s="1823"/>
      <c r="Q98" s="1792"/>
    </row>
    <row r="99" spans="1:17" ht="14.4" thickBot="1">
      <c r="A99" s="1867"/>
      <c r="B99" s="1852"/>
      <c r="C99" s="1853"/>
      <c r="D99" s="1853"/>
      <c r="E99" s="1853"/>
      <c r="F99" s="1853"/>
      <c r="G99" s="1868"/>
      <c r="H99" s="1868"/>
      <c r="I99" s="1868"/>
      <c r="J99" s="1868"/>
      <c r="K99" s="1868"/>
      <c r="L99" s="1868"/>
      <c r="M99" s="1869"/>
      <c r="N99" s="2986"/>
      <c r="O99" s="2986"/>
      <c r="P99" s="1823"/>
      <c r="Q99" s="1792"/>
    </row>
    <row r="100" spans="1:17" ht="14.4">
      <c r="A100" s="1817" t="s">
        <v>2217</v>
      </c>
      <c r="B100" s="1818" t="s">
        <v>2321</v>
      </c>
      <c r="C100" s="3319" t="s">
        <v>3019</v>
      </c>
      <c r="D100" s="1820"/>
      <c r="E100" s="1820"/>
      <c r="F100" s="1820"/>
      <c r="G100" s="1820"/>
      <c r="H100" s="1820"/>
      <c r="I100" s="1820"/>
      <c r="J100" s="1820"/>
      <c r="K100" s="417"/>
      <c r="L100" s="417"/>
      <c r="M100" s="1821"/>
      <c r="N100" s="2985"/>
      <c r="O100" s="2985"/>
      <c r="P100" s="1823"/>
      <c r="Q100" s="1792"/>
    </row>
    <row r="101" spans="1:17" ht="14.4"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4">
        <f t="shared" si="22"/>
        <v>80</v>
      </c>
      <c r="N101" s="2986"/>
      <c r="O101" s="2986"/>
      <c r="P101" s="1823"/>
      <c r="Q101" s="1792"/>
    </row>
    <row r="102" spans="1:17" ht="15" thickTop="1">
      <c r="A102" s="1824"/>
      <c r="B102" s="1829"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v>
      </c>
      <c r="I102" s="579" t="str">
        <f t="shared" si="23"/>
        <v>(含)-</v>
      </c>
      <c r="J102" s="579" t="str">
        <f t="shared" si="23"/>
        <v>(含)-</v>
      </c>
      <c r="K102" s="579" t="str">
        <f t="shared" si="23"/>
        <v>(含)-</v>
      </c>
      <c r="L102" s="579" t="str">
        <f t="shared" si="23"/>
        <v>(含)-</v>
      </c>
      <c r="M102" s="2031" t="str">
        <f>M103&amp;"(含)"&amp;"-"&amp;P103</f>
        <v>(含)-</v>
      </c>
      <c r="N102" s="2984"/>
      <c r="O102" s="2984"/>
      <c r="P102" s="1823"/>
      <c r="Q102" s="1792"/>
    </row>
    <row r="103" spans="1:17" s="1742" customFormat="1">
      <c r="A103" s="1870"/>
      <c r="B103" s="1871"/>
      <c r="C103" s="1872">
        <v>0</v>
      </c>
      <c r="D103" s="1872">
        <f>C103+100</f>
        <v>100</v>
      </c>
      <c r="E103" s="1872">
        <f t="shared" ref="E103:H103" si="24">D103+100</f>
        <v>200</v>
      </c>
      <c r="F103" s="1872">
        <f t="shared" si="24"/>
        <v>300</v>
      </c>
      <c r="G103" s="1872">
        <f t="shared" si="24"/>
        <v>400</v>
      </c>
      <c r="H103" s="1872">
        <f t="shared" si="24"/>
        <v>500</v>
      </c>
      <c r="I103" s="1872"/>
      <c r="J103" s="485"/>
      <c r="K103" s="485"/>
      <c r="L103" s="485"/>
      <c r="M103" s="1873"/>
      <c r="N103" s="2987"/>
      <c r="O103" s="2987"/>
      <c r="P103" s="1843"/>
      <c r="Q103" s="1844"/>
    </row>
    <row r="104" spans="1:17" s="1742" customFormat="1" ht="14.4" thickBot="1">
      <c r="A104" s="1840"/>
      <c r="B104" s="1832"/>
      <c r="C104" s="1845">
        <v>100</v>
      </c>
      <c r="D104" s="1826">
        <f>C104-1</f>
        <v>99</v>
      </c>
      <c r="E104" s="1826">
        <f t="shared" ref="E104:H104" si="25">D104-1</f>
        <v>98</v>
      </c>
      <c r="F104" s="1826">
        <f t="shared" si="25"/>
        <v>97</v>
      </c>
      <c r="G104" s="1826">
        <f t="shared" si="25"/>
        <v>96</v>
      </c>
      <c r="H104" s="1826">
        <f t="shared" si="25"/>
        <v>95</v>
      </c>
      <c r="I104" s="1826"/>
      <c r="J104" s="1826"/>
      <c r="K104" s="1826"/>
      <c r="L104" s="1826"/>
      <c r="M104" s="1827"/>
      <c r="N104" s="2986"/>
      <c r="O104" s="2986"/>
      <c r="P104" s="1843"/>
      <c r="Q104" s="1844"/>
    </row>
    <row r="105" spans="1:17" ht="15" thickTop="1">
      <c r="A105" s="1874"/>
      <c r="B105" s="1829" t="s">
        <v>2268</v>
      </c>
      <c r="C105" s="3318" t="s">
        <v>3020</v>
      </c>
      <c r="D105" s="468"/>
      <c r="E105" s="1548"/>
      <c r="F105" s="1548"/>
      <c r="G105" s="1548"/>
      <c r="H105" s="1548"/>
      <c r="I105" s="1548"/>
      <c r="J105" s="1548"/>
      <c r="K105" s="473"/>
      <c r="L105" s="473"/>
      <c r="M105" s="1864"/>
      <c r="N105" s="2985"/>
      <c r="O105" s="2985"/>
      <c r="P105" s="1823"/>
      <c r="Q105" s="1792"/>
    </row>
    <row r="106" spans="1:17" ht="14.4" thickBot="1">
      <c r="A106" s="1824"/>
      <c r="B106" s="1832"/>
      <c r="C106" s="1833">
        <v>100</v>
      </c>
      <c r="D106" s="1833">
        <f t="shared" ref="D106:M106" si="26">C106-$K34</f>
        <v>99</v>
      </c>
      <c r="E106" s="1833">
        <f t="shared" si="26"/>
        <v>98</v>
      </c>
      <c r="F106" s="1833">
        <f t="shared" si="26"/>
        <v>97</v>
      </c>
      <c r="G106" s="1833">
        <f t="shared" si="26"/>
        <v>96</v>
      </c>
      <c r="H106" s="1833">
        <f t="shared" si="26"/>
        <v>95</v>
      </c>
      <c r="I106" s="1833">
        <f t="shared" si="26"/>
        <v>94</v>
      </c>
      <c r="J106" s="1833">
        <f t="shared" si="26"/>
        <v>93</v>
      </c>
      <c r="K106" s="1833">
        <f t="shared" si="26"/>
        <v>92</v>
      </c>
      <c r="L106" s="1833">
        <f t="shared" si="26"/>
        <v>91</v>
      </c>
      <c r="M106" s="1834">
        <f t="shared" si="26"/>
        <v>90</v>
      </c>
      <c r="N106" s="2986"/>
      <c r="O106" s="2986"/>
      <c r="P106" s="1823"/>
      <c r="Q106" s="1792"/>
    </row>
    <row r="107" spans="1:17" ht="15" thickTop="1">
      <c r="A107" s="1874"/>
      <c r="B107" s="1829" t="s">
        <v>2270</v>
      </c>
      <c r="C107" s="3318" t="s">
        <v>3022</v>
      </c>
      <c r="D107" s="3318" t="s">
        <v>3024</v>
      </c>
      <c r="E107" s="3318" t="s">
        <v>3025</v>
      </c>
      <c r="F107" s="3320" t="s">
        <v>3026</v>
      </c>
      <c r="G107" s="1548"/>
      <c r="H107" s="1548"/>
      <c r="I107" s="1548"/>
      <c r="J107" s="1548"/>
      <c r="K107" s="473"/>
      <c r="L107" s="473"/>
      <c r="M107" s="1864"/>
      <c r="N107" s="2985"/>
      <c r="O107" s="2985"/>
      <c r="P107" s="1823"/>
      <c r="Q107" s="1792"/>
    </row>
    <row r="108" spans="1:17" ht="14.4" thickBot="1">
      <c r="A108" s="1824"/>
      <c r="B108" s="1832"/>
      <c r="C108" s="1833">
        <v>100</v>
      </c>
      <c r="D108" s="1833">
        <f t="shared" ref="D108:M108" si="27">C108-$K35</f>
        <v>98</v>
      </c>
      <c r="E108" s="1833">
        <f t="shared" si="27"/>
        <v>96</v>
      </c>
      <c r="F108" s="1833">
        <f t="shared" si="27"/>
        <v>94</v>
      </c>
      <c r="G108" s="1833">
        <f t="shared" si="27"/>
        <v>92</v>
      </c>
      <c r="H108" s="1833">
        <f t="shared" si="27"/>
        <v>90</v>
      </c>
      <c r="I108" s="1833">
        <f t="shared" si="27"/>
        <v>88</v>
      </c>
      <c r="J108" s="1833">
        <f t="shared" si="27"/>
        <v>86</v>
      </c>
      <c r="K108" s="1833">
        <f t="shared" si="27"/>
        <v>84</v>
      </c>
      <c r="L108" s="1833">
        <f t="shared" si="27"/>
        <v>82</v>
      </c>
      <c r="M108" s="1834">
        <f t="shared" si="27"/>
        <v>80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4.4" thickBot="1">
      <c r="A111" s="1824"/>
      <c r="B111" s="1832"/>
      <c r="C111" s="1862">
        <v>100</v>
      </c>
      <c r="D111" s="1833">
        <f>C111+$K36</f>
        <v>101</v>
      </c>
      <c r="E111" s="1833">
        <f t="shared" ref="E111:M111" si="28">D111+$K36</f>
        <v>102</v>
      </c>
      <c r="F111" s="1833">
        <f t="shared" si="28"/>
        <v>103</v>
      </c>
      <c r="G111" s="1833">
        <f t="shared" si="28"/>
        <v>104</v>
      </c>
      <c r="H111" s="1833">
        <f t="shared" si="28"/>
        <v>105</v>
      </c>
      <c r="I111" s="1833">
        <f t="shared" si="28"/>
        <v>106</v>
      </c>
      <c r="J111" s="1833">
        <f t="shared" si="28"/>
        <v>107</v>
      </c>
      <c r="K111" s="1833">
        <f t="shared" si="28"/>
        <v>108</v>
      </c>
      <c r="L111" s="1833">
        <f t="shared" si="28"/>
        <v>109</v>
      </c>
      <c r="M111" s="1833">
        <f t="shared" si="28"/>
        <v>110</v>
      </c>
      <c r="N111" s="2986"/>
      <c r="O111" s="2986"/>
      <c r="P111" s="1823"/>
      <c r="Q111" s="1792"/>
    </row>
    <row r="112" spans="1:17" s="1742" customFormat="1" ht="15" thickTop="1">
      <c r="A112" s="1870"/>
      <c r="B112" s="1829" t="s">
        <v>2273</v>
      </c>
      <c r="C112" s="3321" t="s">
        <v>2258</v>
      </c>
      <c r="D112" s="3321" t="s">
        <v>2259</v>
      </c>
      <c r="E112" s="3321" t="s">
        <v>2260</v>
      </c>
      <c r="F112" s="3321" t="s">
        <v>2261</v>
      </c>
      <c r="G112" s="3321" t="s">
        <v>2262</v>
      </c>
      <c r="H112" s="1548"/>
      <c r="I112" s="1548"/>
      <c r="J112" s="1548"/>
      <c r="K112" s="473"/>
      <c r="L112" s="473"/>
      <c r="M112" s="1864"/>
      <c r="N112" s="2987"/>
      <c r="O112" s="2987"/>
      <c r="P112" s="1843"/>
      <c r="Q112" s="1844"/>
    </row>
    <row r="113" spans="1:17" s="1742" customFormat="1" ht="14.4" thickBot="1">
      <c r="A113" s="1840"/>
      <c r="B113" s="1832"/>
      <c r="C113" s="1833">
        <v>100</v>
      </c>
      <c r="D113" s="1833">
        <f>C113-$K37</f>
        <v>99</v>
      </c>
      <c r="E113" s="1833">
        <f t="shared" ref="E113:M113" si="29">D113-$K37</f>
        <v>98</v>
      </c>
      <c r="F113" s="1833">
        <f t="shared" si="29"/>
        <v>97</v>
      </c>
      <c r="G113" s="1833">
        <f t="shared" si="29"/>
        <v>96</v>
      </c>
      <c r="H113" s="1833">
        <f t="shared" si="29"/>
        <v>95</v>
      </c>
      <c r="I113" s="1833">
        <f t="shared" si="29"/>
        <v>94</v>
      </c>
      <c r="J113" s="1833">
        <f t="shared" si="29"/>
        <v>93</v>
      </c>
      <c r="K113" s="1833">
        <f t="shared" si="29"/>
        <v>92</v>
      </c>
      <c r="L113" s="1833">
        <f t="shared" si="29"/>
        <v>91</v>
      </c>
      <c r="M113" s="1833">
        <f t="shared" si="29"/>
        <v>90</v>
      </c>
      <c r="N113" s="2987"/>
      <c r="O113" s="2987"/>
      <c r="P113" s="1843"/>
      <c r="Q113" s="1844"/>
    </row>
    <row r="114" spans="1:17" ht="15" thickTop="1">
      <c r="A114" s="1874"/>
      <c r="B114" s="1829" t="s">
        <v>2322</v>
      </c>
      <c r="C114" s="3318" t="s">
        <v>3030</v>
      </c>
      <c r="D114" s="468"/>
      <c r="E114" s="1548"/>
      <c r="F114" s="1548"/>
      <c r="G114" s="1548"/>
      <c r="H114" s="1548"/>
      <c r="I114" s="1548"/>
      <c r="J114" s="1548"/>
      <c r="K114" s="473"/>
      <c r="L114" s="473"/>
      <c r="M114" s="1864"/>
      <c r="N114" s="2985"/>
      <c r="O114" s="2985"/>
      <c r="P114" s="1823"/>
      <c r="Q114" s="1792"/>
    </row>
    <row r="115" spans="1:17" ht="14.4" thickBot="1">
      <c r="A115" s="1824"/>
      <c r="B115" s="1832"/>
      <c r="C115" s="1833">
        <v>100</v>
      </c>
      <c r="D115" s="1833">
        <f t="shared" ref="D115:M115" si="30">C115-$K38</f>
        <v>98</v>
      </c>
      <c r="E115" s="1833">
        <f t="shared" si="30"/>
        <v>96</v>
      </c>
      <c r="F115" s="1833">
        <f t="shared" si="30"/>
        <v>94</v>
      </c>
      <c r="G115" s="1833">
        <f t="shared" si="30"/>
        <v>92</v>
      </c>
      <c r="H115" s="1833">
        <f t="shared" si="30"/>
        <v>90</v>
      </c>
      <c r="I115" s="1833">
        <f t="shared" si="30"/>
        <v>88</v>
      </c>
      <c r="J115" s="1833">
        <f t="shared" si="30"/>
        <v>86</v>
      </c>
      <c r="K115" s="1833">
        <f t="shared" si="30"/>
        <v>84</v>
      </c>
      <c r="L115" s="1833">
        <f t="shared" si="30"/>
        <v>82</v>
      </c>
      <c r="M115" s="1834">
        <f t="shared" si="30"/>
        <v>80</v>
      </c>
      <c r="N115" s="2986"/>
      <c r="O115" s="2986"/>
      <c r="P115" s="1823"/>
      <c r="Q115" s="1792"/>
    </row>
    <row r="116" spans="1:17" ht="15" thickTop="1">
      <c r="A116" s="1874"/>
      <c r="B116" s="1829" t="s">
        <v>2323</v>
      </c>
      <c r="C116" s="3318" t="s">
        <v>3028</v>
      </c>
      <c r="D116" s="468"/>
      <c r="E116" s="468"/>
      <c r="F116" s="468"/>
      <c r="G116" s="468"/>
      <c r="H116" s="1548"/>
      <c r="I116" s="1548"/>
      <c r="J116" s="1548"/>
      <c r="K116" s="473"/>
      <c r="L116" s="473"/>
      <c r="M116" s="1864"/>
      <c r="N116" s="2985"/>
      <c r="O116" s="2985"/>
      <c r="P116" s="1823"/>
      <c r="Q116" s="1792"/>
    </row>
    <row r="117" spans="1:17" ht="14.4"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2324</v>
      </c>
      <c r="C118" s="2455"/>
      <c r="D118" s="2455"/>
      <c r="E118" s="2455"/>
      <c r="F118" s="2455"/>
      <c r="G118" s="2455"/>
      <c r="H118" s="443"/>
      <c r="I118" s="443"/>
      <c r="J118" s="443"/>
      <c r="K118" s="443"/>
      <c r="L118" s="443"/>
      <c r="M118" s="1841"/>
      <c r="N118" s="2985"/>
      <c r="O118" s="2985"/>
      <c r="P118" s="1823"/>
      <c r="Q118" s="1792"/>
    </row>
    <row r="119" spans="1:17" ht="14.4"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4.4" thickBot="1">
      <c r="A121" s="1840"/>
      <c r="B121" s="1825"/>
      <c r="C121" s="1862">
        <v>100</v>
      </c>
      <c r="D121" s="1833">
        <f>C121-$K41</f>
        <v>100</v>
      </c>
      <c r="E121" s="1833">
        <f t="shared" ref="E121:M121" si="31">D121-$K41</f>
        <v>100</v>
      </c>
      <c r="F121" s="1833">
        <f t="shared" si="31"/>
        <v>100</v>
      </c>
      <c r="G121" s="1833">
        <f t="shared" si="31"/>
        <v>100</v>
      </c>
      <c r="H121" s="1833">
        <f t="shared" si="31"/>
        <v>100</v>
      </c>
      <c r="I121" s="1833">
        <f t="shared" si="31"/>
        <v>100</v>
      </c>
      <c r="J121" s="1833">
        <f t="shared" si="31"/>
        <v>100</v>
      </c>
      <c r="K121" s="1833">
        <f t="shared" si="31"/>
        <v>100</v>
      </c>
      <c r="L121" s="1833">
        <f t="shared" si="31"/>
        <v>100</v>
      </c>
      <c r="M121" s="1834">
        <f t="shared" si="31"/>
        <v>100</v>
      </c>
      <c r="N121" s="2987"/>
      <c r="O121" s="2987"/>
      <c r="P121" s="1843"/>
      <c r="Q121" s="1844"/>
    </row>
    <row r="122" spans="1:17" ht="15" thickTop="1">
      <c r="A122" s="1874"/>
      <c r="B122" s="1829" t="s">
        <v>2275</v>
      </c>
      <c r="C122" s="3318" t="s">
        <v>3022</v>
      </c>
      <c r="D122" s="3318" t="s">
        <v>3024</v>
      </c>
      <c r="E122" s="3318" t="s">
        <v>3025</v>
      </c>
      <c r="F122" s="3320" t="s">
        <v>3026</v>
      </c>
      <c r="G122" s="1548"/>
      <c r="H122" s="1548"/>
      <c r="I122" s="1548"/>
      <c r="J122" s="1548"/>
      <c r="K122" s="473"/>
      <c r="L122" s="473"/>
      <c r="M122" s="1864"/>
      <c r="N122" s="2985"/>
      <c r="O122" s="2985"/>
      <c r="P122" s="1823"/>
      <c r="Q122" s="1792"/>
    </row>
    <row r="123" spans="1:17" ht="14.4" thickBot="1">
      <c r="A123" s="1824"/>
      <c r="B123" s="1832"/>
      <c r="C123" s="1833">
        <v>100</v>
      </c>
      <c r="D123" s="1833">
        <f t="shared" ref="D123:M123" si="32">C123-$K42</f>
        <v>98</v>
      </c>
      <c r="E123" s="1833">
        <f t="shared" si="32"/>
        <v>96</v>
      </c>
      <c r="F123" s="1833">
        <f t="shared" si="32"/>
        <v>94</v>
      </c>
      <c r="G123" s="1833">
        <f t="shared" si="32"/>
        <v>92</v>
      </c>
      <c r="H123" s="1833">
        <f t="shared" si="32"/>
        <v>90</v>
      </c>
      <c r="I123" s="1833">
        <f t="shared" si="32"/>
        <v>88</v>
      </c>
      <c r="J123" s="1833">
        <f t="shared" si="32"/>
        <v>86</v>
      </c>
      <c r="K123" s="1833">
        <f t="shared" si="32"/>
        <v>84</v>
      </c>
      <c r="L123" s="1833">
        <f t="shared" si="32"/>
        <v>82</v>
      </c>
      <c r="M123" s="1834">
        <f t="shared" si="32"/>
        <v>80</v>
      </c>
      <c r="N123" s="2986"/>
      <c r="O123" s="2986"/>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4.4" thickBot="1">
      <c r="A125" s="1824"/>
      <c r="B125" s="1832"/>
      <c r="C125" s="1833">
        <v>100</v>
      </c>
      <c r="D125" s="1833">
        <f>C125-$K43</f>
        <v>98</v>
      </c>
      <c r="E125" s="1833">
        <f>D125-$K43</f>
        <v>96</v>
      </c>
      <c r="F125" s="1833">
        <f>E125-$K43</f>
        <v>94</v>
      </c>
      <c r="G125" s="1833">
        <f>F125-$K43</f>
        <v>92</v>
      </c>
      <c r="H125" s="1833"/>
      <c r="I125" s="1833"/>
      <c r="J125" s="1833"/>
      <c r="K125" s="1833"/>
      <c r="L125" s="1833"/>
      <c r="M125" s="1834"/>
      <c r="N125" s="2986"/>
      <c r="O125" s="2986"/>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4.4" thickBot="1">
      <c r="A127" s="1840"/>
      <c r="B127" s="1832"/>
      <c r="C127" s="1845"/>
      <c r="D127" s="1826"/>
      <c r="E127" s="1826"/>
      <c r="F127" s="1826"/>
      <c r="G127" s="1845"/>
      <c r="H127" s="1848"/>
      <c r="I127" s="1848"/>
      <c r="J127" s="1848"/>
      <c r="K127" s="1848"/>
      <c r="L127" s="1848"/>
      <c r="M127" s="1849"/>
      <c r="N127" s="2987"/>
      <c r="O127" s="2987"/>
      <c r="P127" s="1843"/>
      <c r="Q127" s="1844"/>
    </row>
    <row r="128" spans="1:17" ht="14.4"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4.4" thickBot="1">
      <c r="A129" s="1824"/>
      <c r="B129" s="1832"/>
      <c r="C129" s="1845"/>
      <c r="D129" s="1826"/>
      <c r="E129" s="1826"/>
      <c r="F129" s="1826"/>
      <c r="G129" s="1826"/>
      <c r="H129" s="1826"/>
      <c r="I129" s="1826"/>
      <c r="J129" s="1826"/>
      <c r="K129" s="1826"/>
      <c r="L129" s="1826"/>
      <c r="M129" s="1827"/>
      <c r="N129" s="2986"/>
      <c r="O129" s="2986"/>
      <c r="P129" s="1823"/>
      <c r="Q129" s="1792"/>
    </row>
    <row r="130" spans="1:17" ht="14.4"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4.4"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1857</v>
      </c>
      <c r="B3" s="1933" t="e">
        <f ca="1">ROUND(IF(D2="——",C50,IF(C2="万元",B2*10000/D3,B2/D3)),0)</f>
        <v>#DIV/0!</v>
      </c>
      <c r="C3" s="1630" t="s">
        <v>2187</v>
      </c>
      <c r="D3" s="1630">
        <f>IF(C1="仅计算典型户型",'数据-取费表'!E5,'数据-取费表'!B5)</f>
        <v>215.26</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4.4">
      <c r="A4" s="1633" t="s">
        <v>2188</v>
      </c>
      <c r="B4" s="1634"/>
      <c r="C4" s="3615" t="s">
        <v>2189</v>
      </c>
      <c r="D4" s="3616"/>
      <c r="E4" s="3617" t="s">
        <v>2190</v>
      </c>
      <c r="F4" s="3618"/>
      <c r="G4" s="3615" t="s">
        <v>2191</v>
      </c>
      <c r="H4" s="3616"/>
      <c r="I4" s="3615" t="s">
        <v>2192</v>
      </c>
      <c r="J4" s="3616"/>
      <c r="K4" s="1936" t="s">
        <v>2193</v>
      </c>
      <c r="L4" s="2966"/>
      <c r="M4" s="2967"/>
      <c r="N4" s="2967"/>
      <c r="O4" s="2967"/>
      <c r="P4" s="3619" t="s">
        <v>2194</v>
      </c>
      <c r="Q4" s="3620"/>
      <c r="R4" s="3604" t="s">
        <v>2190</v>
      </c>
      <c r="S4" s="3605"/>
      <c r="T4" s="3604" t="s">
        <v>2191</v>
      </c>
      <c r="U4" s="3605"/>
      <c r="V4" s="3625" t="s">
        <v>2192</v>
      </c>
      <c r="W4" s="3625"/>
      <c r="X4" s="2045"/>
      <c r="Y4" s="3604" t="s">
        <v>2194</v>
      </c>
      <c r="Z4" s="3605"/>
      <c r="AA4" s="3612" t="s">
        <v>2190</v>
      </c>
      <c r="AB4" s="3612" t="s">
        <v>2191</v>
      </c>
      <c r="AC4" s="3612" t="s">
        <v>2192</v>
      </c>
    </row>
    <row r="5" spans="1:29">
      <c r="A5" s="1638"/>
      <c r="B5" s="1639"/>
      <c r="C5" s="3600" t="s">
        <v>2195</v>
      </c>
      <c r="D5" s="3601"/>
      <c r="E5" s="3626" t="s">
        <v>2196</v>
      </c>
      <c r="F5" s="3627"/>
      <c r="G5" s="3600" t="s">
        <v>2197</v>
      </c>
      <c r="H5" s="3601"/>
      <c r="I5" s="3600" t="s">
        <v>2198</v>
      </c>
      <c r="J5" s="3601"/>
      <c r="K5" s="1936"/>
      <c r="L5" s="2966"/>
      <c r="M5" s="2967"/>
      <c r="N5" s="2967"/>
      <c r="O5" s="2967"/>
      <c r="P5" s="3621"/>
      <c r="Q5" s="3622"/>
      <c r="R5" s="3606"/>
      <c r="S5" s="3607"/>
      <c r="T5" s="3606"/>
      <c r="U5" s="3607"/>
      <c r="V5" s="3625"/>
      <c r="W5" s="3625"/>
      <c r="X5" s="2045"/>
      <c r="Y5" s="3606"/>
      <c r="Z5" s="3607"/>
      <c r="AA5" s="3613"/>
      <c r="AB5" s="3613"/>
      <c r="AC5" s="3613"/>
    </row>
    <row r="6" spans="1:29" ht="15" thickBot="1">
      <c r="A6" s="1641"/>
      <c r="B6" s="1642"/>
      <c r="C6" s="3598" t="s">
        <v>2199</v>
      </c>
      <c r="D6" s="3599"/>
      <c r="E6" s="3628" t="s">
        <v>2199</v>
      </c>
      <c r="F6" s="3629"/>
      <c r="G6" s="3598" t="s">
        <v>2199</v>
      </c>
      <c r="H6" s="3599"/>
      <c r="I6" s="3598" t="s">
        <v>2199</v>
      </c>
      <c r="J6" s="3599"/>
      <c r="K6" s="1936" t="s">
        <v>2200</v>
      </c>
      <c r="L6" s="2966"/>
      <c r="M6" s="2967"/>
      <c r="N6" s="2967"/>
      <c r="O6" s="2967"/>
      <c r="P6" s="3623"/>
      <c r="Q6" s="3624"/>
      <c r="R6" s="3606"/>
      <c r="S6" s="3607"/>
      <c r="T6" s="3608"/>
      <c r="U6" s="3609"/>
      <c r="V6" s="3625"/>
      <c r="W6" s="3625"/>
      <c r="X6" s="2045"/>
      <c r="Y6" s="3608"/>
      <c r="Z6" s="3609"/>
      <c r="AA6" s="3614"/>
      <c r="AB6" s="3614"/>
      <c r="AC6" s="3614"/>
    </row>
    <row r="7" spans="1:29" s="1655" customFormat="1" ht="15" thickBot="1">
      <c r="A7" s="1643" t="s">
        <v>2201</v>
      </c>
      <c r="B7" s="1644"/>
      <c r="C7" s="1645">
        <f>'数据-取费表'!B2</f>
        <v>44624</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02" t="s">
        <v>2202</v>
      </c>
      <c r="Q7" s="3610"/>
      <c r="R7" s="1651" t="s">
        <v>25</v>
      </c>
      <c r="S7" s="1652">
        <f t="shared" ref="S7:S15" si="0">F7</f>
        <v>0</v>
      </c>
      <c r="T7" s="1651" t="s">
        <v>25</v>
      </c>
      <c r="U7" s="1652">
        <f t="shared" ref="U7:U15" si="1">H7</f>
        <v>0</v>
      </c>
      <c r="V7" s="1651" t="s">
        <v>25</v>
      </c>
      <c r="W7" s="1652">
        <f t="shared" ref="W7:W15" si="2">J7</f>
        <v>0</v>
      </c>
      <c r="X7" s="1653"/>
      <c r="Y7" s="3602" t="s">
        <v>2202</v>
      </c>
      <c r="Z7" s="3603"/>
      <c r="AA7" s="1654" t="e">
        <f>D7/F7</f>
        <v>#DIV/0!</v>
      </c>
      <c r="AB7" s="1654" t="e">
        <f>D7/H7</f>
        <v>#DIV/0!</v>
      </c>
      <c r="AC7" s="1654" t="e">
        <f>D7/J7</f>
        <v>#DIV/0!</v>
      </c>
    </row>
    <row r="8" spans="1:29" s="1655" customFormat="1" ht="1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02" t="s">
        <v>2205</v>
      </c>
      <c r="Q8" s="3603"/>
      <c r="R8" s="1651" t="s">
        <v>25</v>
      </c>
      <c r="S8" s="1652">
        <f t="shared" si="0"/>
        <v>0</v>
      </c>
      <c r="T8" s="1651" t="s">
        <v>25</v>
      </c>
      <c r="U8" s="1652">
        <f t="shared" si="1"/>
        <v>0</v>
      </c>
      <c r="V8" s="1651" t="s">
        <v>25</v>
      </c>
      <c r="W8" s="1652">
        <f t="shared" si="2"/>
        <v>0</v>
      </c>
      <c r="X8" s="1653"/>
      <c r="Y8" s="3602" t="s">
        <v>2205</v>
      </c>
      <c r="Z8" s="3603"/>
      <c r="AA8" s="1654" t="e">
        <f t="shared" ref="AA8:AA47" si="3">D8/F8</f>
        <v>#DIV/0!</v>
      </c>
      <c r="AB8" s="1654" t="e">
        <f t="shared" ref="AB8:AB47" si="4">D8/H8</f>
        <v>#DIV/0!</v>
      </c>
      <c r="AC8" s="1654" t="e">
        <f t="shared" ref="AC8:AC47" si="5">D8/J8</f>
        <v>#DIV/0!</v>
      </c>
    </row>
    <row r="9" spans="1:29" s="1655" customFormat="1" ht="14.4">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588" t="s">
        <v>2208</v>
      </c>
      <c r="Q9" s="2884"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588"/>
      <c r="Q10" s="2884"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588"/>
      <c r="Q11" s="2884"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588"/>
      <c r="Q12" s="2884">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588"/>
      <c r="Q13" s="2884">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6"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588"/>
      <c r="Q14" s="2884">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82.8">
      <c r="A15" s="1688" t="s">
        <v>2212</v>
      </c>
      <c r="B15" s="2462"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591" t="s">
        <v>2213</v>
      </c>
      <c r="Q15" s="2885" t="str">
        <f t="shared" si="6"/>
        <v>办公集聚程度</v>
      </c>
      <c r="R15" s="1696" t="s">
        <v>25</v>
      </c>
      <c r="S15" s="1697">
        <f t="shared" si="0"/>
        <v>100</v>
      </c>
      <c r="T15" s="1696" t="s">
        <v>25</v>
      </c>
      <c r="U15" s="1697">
        <f t="shared" si="1"/>
        <v>100</v>
      </c>
      <c r="V15" s="1696" t="s">
        <v>25</v>
      </c>
      <c r="W15" s="1697">
        <f t="shared" si="2"/>
        <v>100</v>
      </c>
      <c r="X15" s="2045"/>
      <c r="Y15" s="3591" t="s">
        <v>2213</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592"/>
      <c r="Q16" s="2885"/>
      <c r="R16" s="1696"/>
      <c r="S16" s="1697"/>
      <c r="T16" s="1696"/>
      <c r="U16" s="1697"/>
      <c r="V16" s="1696"/>
      <c r="W16" s="1697"/>
      <c r="X16" s="2045"/>
      <c r="Y16" s="3592"/>
      <c r="Z16" s="2049"/>
      <c r="AA16" s="2040">
        <v>1</v>
      </c>
      <c r="AB16" s="2040">
        <v>1</v>
      </c>
      <c r="AC16" s="2040">
        <v>1</v>
      </c>
    </row>
    <row r="17" spans="1:29" ht="96.6">
      <c r="A17" s="1673"/>
      <c r="B17" s="2464"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592"/>
      <c r="Q17" s="2885" t="str">
        <f>B17</f>
        <v>交通便捷度</v>
      </c>
      <c r="R17" s="1696" t="s">
        <v>25</v>
      </c>
      <c r="S17" s="1697">
        <f>F17</f>
        <v>100</v>
      </c>
      <c r="T17" s="1696" t="s">
        <v>25</v>
      </c>
      <c r="U17" s="1697">
        <f>H17</f>
        <v>100</v>
      </c>
      <c r="V17" s="1696" t="s">
        <v>25</v>
      </c>
      <c r="W17" s="1697">
        <f>J17</f>
        <v>100</v>
      </c>
      <c r="X17" s="2045"/>
      <c r="Y17" s="3592"/>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592"/>
      <c r="Q18" s="2885"/>
      <c r="R18" s="1696"/>
      <c r="S18" s="1697"/>
      <c r="T18" s="1696"/>
      <c r="U18" s="1697"/>
      <c r="V18" s="1696"/>
      <c r="W18" s="1697"/>
      <c r="X18" s="2045"/>
      <c r="Y18" s="3592"/>
      <c r="Z18" s="2049"/>
      <c r="AA18" s="2040">
        <v>1</v>
      </c>
      <c r="AB18" s="2040">
        <v>1</v>
      </c>
      <c r="AC18" s="2040">
        <v>1</v>
      </c>
    </row>
    <row r="19" spans="1:29" ht="41.4">
      <c r="A19" s="1673"/>
      <c r="B19" s="2464"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592"/>
      <c r="Q19" s="2885" t="str">
        <f>B19</f>
        <v>公共配套设施</v>
      </c>
      <c r="R19" s="1696" t="s">
        <v>25</v>
      </c>
      <c r="S19" s="1697">
        <f>F19</f>
        <v>100</v>
      </c>
      <c r="T19" s="1696" t="s">
        <v>25</v>
      </c>
      <c r="U19" s="1697">
        <f>H19</f>
        <v>100</v>
      </c>
      <c r="V19" s="1696" t="s">
        <v>25</v>
      </c>
      <c r="W19" s="1697">
        <f>J19</f>
        <v>100</v>
      </c>
      <c r="X19" s="2045"/>
      <c r="Y19" s="3592"/>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592"/>
      <c r="Q20" s="2885"/>
      <c r="R20" s="1696"/>
      <c r="S20" s="1697"/>
      <c r="T20" s="1696"/>
      <c r="U20" s="1697"/>
      <c r="V20" s="1696"/>
      <c r="W20" s="1697"/>
      <c r="X20" s="2045"/>
      <c r="Y20" s="3592"/>
      <c r="Z20" s="2049"/>
      <c r="AA20" s="2040">
        <v>1</v>
      </c>
      <c r="AB20" s="2040">
        <v>1</v>
      </c>
      <c r="AC20" s="2040">
        <v>1</v>
      </c>
    </row>
    <row r="21" spans="1:29" ht="41.4">
      <c r="A21" s="1673"/>
      <c r="B21" s="2466"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592"/>
      <c r="Q21" s="2885" t="str">
        <f>B21</f>
        <v>基础设施水平</v>
      </c>
      <c r="R21" s="1696" t="s">
        <v>25</v>
      </c>
      <c r="S21" s="1697">
        <f>F21</f>
        <v>100</v>
      </c>
      <c r="T21" s="1696" t="s">
        <v>25</v>
      </c>
      <c r="U21" s="1697">
        <f>H21</f>
        <v>100</v>
      </c>
      <c r="V21" s="1696" t="s">
        <v>25</v>
      </c>
      <c r="W21" s="1697">
        <f>J21</f>
        <v>100</v>
      </c>
      <c r="X21" s="2045"/>
      <c r="Y21" s="3592"/>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592"/>
      <c r="Q22" s="2885"/>
      <c r="R22" s="1696"/>
      <c r="S22" s="1697"/>
      <c r="T22" s="1696"/>
      <c r="U22" s="1697"/>
      <c r="V22" s="1696"/>
      <c r="W22" s="1697"/>
      <c r="X22" s="2045"/>
      <c r="Y22" s="3592"/>
      <c r="Z22" s="2049"/>
      <c r="AA22" s="2040">
        <v>1</v>
      </c>
      <c r="AB22" s="2040">
        <v>1</v>
      </c>
      <c r="AC22" s="2040">
        <v>1</v>
      </c>
    </row>
    <row r="23" spans="1:29" ht="55.2">
      <c r="A23" s="1673"/>
      <c r="B23" s="2464"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592"/>
      <c r="Q23" s="2885" t="str">
        <f>B23</f>
        <v>环境质量</v>
      </c>
      <c r="R23" s="1696" t="s">
        <v>25</v>
      </c>
      <c r="S23" s="1697">
        <f>F23</f>
        <v>100</v>
      </c>
      <c r="T23" s="1696" t="s">
        <v>25</v>
      </c>
      <c r="U23" s="1697">
        <f>H23</f>
        <v>100</v>
      </c>
      <c r="V23" s="1696" t="s">
        <v>25</v>
      </c>
      <c r="W23" s="1697">
        <f>J23</f>
        <v>100</v>
      </c>
      <c r="X23" s="2045"/>
      <c r="Y23" s="3592"/>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592"/>
      <c r="Q24" s="2885"/>
      <c r="R24" s="1696"/>
      <c r="S24" s="1697"/>
      <c r="T24" s="1696"/>
      <c r="U24" s="1697"/>
      <c r="V24" s="1696"/>
      <c r="W24" s="1697"/>
      <c r="X24" s="2045"/>
      <c r="Y24" s="3592"/>
      <c r="Z24" s="2049"/>
      <c r="AA24" s="2040">
        <v>1</v>
      </c>
      <c r="AB24" s="2040">
        <v>1</v>
      </c>
      <c r="AC24" s="2040">
        <v>1</v>
      </c>
    </row>
    <row r="25" spans="1:29" ht="28.8">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592"/>
      <c r="Q25" s="2885" t="str">
        <f>B25</f>
        <v>毗邻道路的类型与等级</v>
      </c>
      <c r="R25" s="1696" t="s">
        <v>25</v>
      </c>
      <c r="S25" s="1697">
        <f>F25</f>
        <v>100</v>
      </c>
      <c r="T25" s="1696" t="s">
        <v>25</v>
      </c>
      <c r="U25" s="1697">
        <f>H25</f>
        <v>100</v>
      </c>
      <c r="V25" s="1696" t="s">
        <v>25</v>
      </c>
      <c r="W25" s="1697">
        <f>J25</f>
        <v>100</v>
      </c>
      <c r="X25" s="2045"/>
      <c r="Y25" s="3592"/>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592"/>
      <c r="Q26" s="2885"/>
      <c r="R26" s="1696"/>
      <c r="S26" s="1697"/>
      <c r="T26" s="1696"/>
      <c r="U26" s="1697"/>
      <c r="V26" s="1696"/>
      <c r="W26" s="1697"/>
      <c r="X26" s="2045"/>
      <c r="Y26" s="3592"/>
      <c r="Z26" s="2049"/>
      <c r="AA26" s="2040">
        <v>1</v>
      </c>
      <c r="AB26" s="2040">
        <v>1</v>
      </c>
      <c r="AC26" s="2040">
        <v>1</v>
      </c>
    </row>
    <row r="27" spans="1:29" ht="15">
      <c r="A27" s="1673"/>
      <c r="B27" s="2465"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592"/>
      <c r="Q27" s="2885" t="str">
        <f t="shared" ref="Q27:Q47" si="11">B27</f>
        <v>楼层</v>
      </c>
      <c r="R27" s="1696" t="s">
        <v>25</v>
      </c>
      <c r="S27" s="1697">
        <f>F27</f>
        <v>100</v>
      </c>
      <c r="T27" s="1696" t="s">
        <v>25</v>
      </c>
      <c r="U27" s="1697">
        <f>H27</f>
        <v>100</v>
      </c>
      <c r="V27" s="1696" t="s">
        <v>25</v>
      </c>
      <c r="W27" s="1697">
        <f>J27</f>
        <v>100</v>
      </c>
      <c r="X27" s="2045"/>
      <c r="Y27" s="3592"/>
      <c r="Z27" s="2049" t="str">
        <f>Q27</f>
        <v>楼层</v>
      </c>
      <c r="AA27" s="2040">
        <f t="shared" si="3"/>
        <v>1</v>
      </c>
      <c r="AB27" s="2040">
        <f t="shared" si="4"/>
        <v>1</v>
      </c>
      <c r="AC27" s="2040">
        <f t="shared" si="5"/>
        <v>1</v>
      </c>
    </row>
    <row r="28" spans="1:29" s="1655" customFormat="1" ht="15">
      <c r="A28" s="1676"/>
      <c r="B28" s="2464" t="s">
        <v>2332</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592"/>
      <c r="Q28" s="2884" t="str">
        <f t="shared" si="11"/>
        <v>朝向</v>
      </c>
      <c r="R28" s="1651" t="s">
        <v>25</v>
      </c>
      <c r="S28" s="1652">
        <f>F28</f>
        <v>100</v>
      </c>
      <c r="T28" s="1651" t="s">
        <v>25</v>
      </c>
      <c r="U28" s="1652">
        <f>H28</f>
        <v>100</v>
      </c>
      <c r="V28" s="1651" t="s">
        <v>25</v>
      </c>
      <c r="W28" s="1652">
        <f>J28</f>
        <v>100</v>
      </c>
      <c r="X28" s="1653"/>
      <c r="Y28" s="3592"/>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592"/>
      <c r="Q29" s="2885">
        <f t="shared" si="11"/>
        <v>111</v>
      </c>
      <c r="R29" s="1696" t="s">
        <v>25</v>
      </c>
      <c r="S29" s="1697">
        <f t="shared" ref="S29:S47" si="12">F29</f>
        <v>100</v>
      </c>
      <c r="T29" s="1696" t="s">
        <v>25</v>
      </c>
      <c r="U29" s="1697">
        <f t="shared" ref="U29:U47" si="13">H29</f>
        <v>100</v>
      </c>
      <c r="V29" s="1696" t="s">
        <v>25</v>
      </c>
      <c r="W29" s="1697">
        <f t="shared" ref="W29:W47" si="14">J29</f>
        <v>100</v>
      </c>
      <c r="X29" s="2045"/>
      <c r="Y29" s="3592"/>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592"/>
      <c r="Q30" s="2885">
        <f t="shared" si="11"/>
        <v>111</v>
      </c>
      <c r="R30" s="1696" t="s">
        <v>25</v>
      </c>
      <c r="S30" s="1697">
        <f t="shared" si="12"/>
        <v>100</v>
      </c>
      <c r="T30" s="1696" t="s">
        <v>25</v>
      </c>
      <c r="U30" s="1697">
        <f t="shared" si="13"/>
        <v>100</v>
      </c>
      <c r="V30" s="1696" t="s">
        <v>25</v>
      </c>
      <c r="W30" s="1697">
        <f t="shared" si="14"/>
        <v>100</v>
      </c>
      <c r="X30" s="2045"/>
      <c r="Y30" s="3592"/>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592"/>
      <c r="Q31" s="2885">
        <f t="shared" si="11"/>
        <v>111</v>
      </c>
      <c r="R31" s="1696" t="s">
        <v>25</v>
      </c>
      <c r="S31" s="1697">
        <f t="shared" si="12"/>
        <v>100</v>
      </c>
      <c r="T31" s="1696" t="s">
        <v>25</v>
      </c>
      <c r="U31" s="1697">
        <f t="shared" si="13"/>
        <v>100</v>
      </c>
      <c r="V31" s="1696" t="s">
        <v>25</v>
      </c>
      <c r="W31" s="1697">
        <f t="shared" si="14"/>
        <v>100</v>
      </c>
      <c r="X31" s="2045"/>
      <c r="Y31" s="3592"/>
      <c r="Z31" s="2049">
        <f t="shared" si="15"/>
        <v>111</v>
      </c>
      <c r="AA31" s="2040">
        <f t="shared" si="3"/>
        <v>1</v>
      </c>
      <c r="AB31" s="2040">
        <f t="shared" si="4"/>
        <v>1</v>
      </c>
      <c r="AC31" s="2040">
        <f t="shared" si="5"/>
        <v>1</v>
      </c>
    </row>
    <row r="32" spans="1:29" ht="15.6"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592"/>
      <c r="Q32" s="2885">
        <f t="shared" si="11"/>
        <v>111</v>
      </c>
      <c r="R32" s="1696" t="s">
        <v>25</v>
      </c>
      <c r="S32" s="1697">
        <f t="shared" si="12"/>
        <v>100</v>
      </c>
      <c r="T32" s="1696" t="s">
        <v>25</v>
      </c>
      <c r="U32" s="1697">
        <f t="shared" si="13"/>
        <v>100</v>
      </c>
      <c r="V32" s="1696" t="s">
        <v>25</v>
      </c>
      <c r="W32" s="1697">
        <f t="shared" si="14"/>
        <v>100</v>
      </c>
      <c r="X32" s="2045"/>
      <c r="Y32" s="3592"/>
      <c r="Z32" s="2049">
        <f t="shared" si="15"/>
        <v>111</v>
      </c>
      <c r="AA32" s="2040">
        <f t="shared" si="3"/>
        <v>1</v>
      </c>
      <c r="AB32" s="2040">
        <f t="shared" si="4"/>
        <v>1</v>
      </c>
      <c r="AC32" s="2040">
        <f t="shared" si="5"/>
        <v>1</v>
      </c>
    </row>
    <row r="33" spans="1:29" ht="15">
      <c r="A33" s="1688" t="s">
        <v>2217</v>
      </c>
      <c r="B33" s="1658" t="s">
        <v>2333</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31" t="s">
        <v>2219</v>
      </c>
      <c r="Q33" s="2885" t="str">
        <f t="shared" si="11"/>
        <v>建筑类型</v>
      </c>
      <c r="R33" s="1696" t="s">
        <v>25</v>
      </c>
      <c r="S33" s="1697">
        <f t="shared" si="12"/>
        <v>100</v>
      </c>
      <c r="T33" s="1696" t="s">
        <v>25</v>
      </c>
      <c r="U33" s="1697">
        <f t="shared" si="13"/>
        <v>100</v>
      </c>
      <c r="V33" s="1696" t="s">
        <v>25</v>
      </c>
      <c r="W33" s="1697">
        <f t="shared" si="14"/>
        <v>100</v>
      </c>
      <c r="X33" s="2045"/>
      <c r="Y33" s="3596"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596"/>
      <c r="Q34" s="1737" t="str">
        <f t="shared" si="11"/>
        <v>项目建筑规模</v>
      </c>
      <c r="R34" s="1738" t="s">
        <v>25</v>
      </c>
      <c r="S34" s="1739" t="e">
        <f t="shared" si="12"/>
        <v>#N/A</v>
      </c>
      <c r="T34" s="1738" t="s">
        <v>25</v>
      </c>
      <c r="U34" s="1739" t="e">
        <f t="shared" si="13"/>
        <v>#N/A</v>
      </c>
      <c r="V34" s="1738" t="s">
        <v>25</v>
      </c>
      <c r="W34" s="1739" t="e">
        <f t="shared" si="14"/>
        <v>#N/A</v>
      </c>
      <c r="X34" s="1740"/>
      <c r="Y34" s="3596"/>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596"/>
      <c r="Q35" s="2885" t="str">
        <f t="shared" si="11"/>
        <v>建筑结构</v>
      </c>
      <c r="R35" s="1696" t="s">
        <v>25</v>
      </c>
      <c r="S35" s="1697">
        <f t="shared" si="12"/>
        <v>100</v>
      </c>
      <c r="T35" s="1696" t="s">
        <v>25</v>
      </c>
      <c r="U35" s="1697">
        <f t="shared" si="13"/>
        <v>100</v>
      </c>
      <c r="V35" s="1696" t="s">
        <v>25</v>
      </c>
      <c r="W35" s="1697">
        <f t="shared" si="14"/>
        <v>100</v>
      </c>
      <c r="X35" s="2045"/>
      <c r="Y35" s="3596"/>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596"/>
      <c r="Q36" s="2885" t="str">
        <f t="shared" si="11"/>
        <v>公共部分装修</v>
      </c>
      <c r="R36" s="1696" t="s">
        <v>25</v>
      </c>
      <c r="S36" s="1697">
        <f t="shared" si="12"/>
        <v>100</v>
      </c>
      <c r="T36" s="1696" t="s">
        <v>25</v>
      </c>
      <c r="U36" s="1697">
        <f t="shared" si="13"/>
        <v>100</v>
      </c>
      <c r="V36" s="1696" t="s">
        <v>25</v>
      </c>
      <c r="W36" s="1697">
        <f t="shared" si="14"/>
        <v>100</v>
      </c>
      <c r="X36" s="2045"/>
      <c r="Y36" s="3596"/>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596"/>
      <c r="Q37" s="2885" t="str">
        <f t="shared" si="11"/>
        <v>成新度</v>
      </c>
      <c r="R37" s="1696" t="s">
        <v>25</v>
      </c>
      <c r="S37" s="1697" t="e">
        <f t="shared" si="12"/>
        <v>#N/A</v>
      </c>
      <c r="T37" s="1696" t="s">
        <v>25</v>
      </c>
      <c r="U37" s="1697" t="e">
        <f t="shared" si="13"/>
        <v>#N/A</v>
      </c>
      <c r="V37" s="1696" t="s">
        <v>25</v>
      </c>
      <c r="W37" s="1697" t="e">
        <f t="shared" si="14"/>
        <v>#N/A</v>
      </c>
      <c r="X37" s="2045"/>
      <c r="Y37" s="3596"/>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596"/>
      <c r="Q38" s="2884" t="str">
        <f t="shared" si="11"/>
        <v>写字楼等级</v>
      </c>
      <c r="R38" s="1651" t="s">
        <v>25</v>
      </c>
      <c r="S38" s="1652">
        <f t="shared" si="12"/>
        <v>100</v>
      </c>
      <c r="T38" s="1651" t="s">
        <v>25</v>
      </c>
      <c r="U38" s="1652">
        <f t="shared" si="13"/>
        <v>100</v>
      </c>
      <c r="V38" s="1651" t="s">
        <v>25</v>
      </c>
      <c r="W38" s="1652">
        <f t="shared" si="14"/>
        <v>100</v>
      </c>
      <c r="X38" s="1653"/>
      <c r="Y38" s="3596"/>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596" t="s">
        <v>2219</v>
      </c>
      <c r="Q39" s="2885" t="str">
        <f t="shared" si="11"/>
        <v>物业管理</v>
      </c>
      <c r="R39" s="1696" t="s">
        <v>25</v>
      </c>
      <c r="S39" s="1697">
        <f t="shared" si="12"/>
        <v>100</v>
      </c>
      <c r="T39" s="1696" t="s">
        <v>25</v>
      </c>
      <c r="U39" s="1697">
        <f t="shared" si="13"/>
        <v>100</v>
      </c>
      <c r="V39" s="1696" t="s">
        <v>25</v>
      </c>
      <c r="W39" s="1697">
        <f t="shared" si="14"/>
        <v>100</v>
      </c>
      <c r="X39" s="2045"/>
      <c r="Y39" s="3596"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596"/>
      <c r="Q40" s="2885" t="str">
        <f t="shared" si="11"/>
        <v>市政基础设施</v>
      </c>
      <c r="R40" s="1696" t="s">
        <v>25</v>
      </c>
      <c r="S40" s="1697">
        <f t="shared" si="12"/>
        <v>100</v>
      </c>
      <c r="T40" s="1696" t="s">
        <v>25</v>
      </c>
      <c r="U40" s="1697">
        <f t="shared" si="13"/>
        <v>100</v>
      </c>
      <c r="V40" s="1696" t="s">
        <v>25</v>
      </c>
      <c r="W40" s="1697">
        <f t="shared" si="14"/>
        <v>100</v>
      </c>
      <c r="X40" s="2045"/>
      <c r="Y40" s="3596"/>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596"/>
      <c r="Q41" s="2885" t="str">
        <f t="shared" si="11"/>
        <v>层高</v>
      </c>
      <c r="R41" s="1696" t="s">
        <v>25</v>
      </c>
      <c r="S41" s="1697">
        <f t="shared" si="12"/>
        <v>100</v>
      </c>
      <c r="T41" s="1696" t="s">
        <v>25</v>
      </c>
      <c r="U41" s="1697">
        <f t="shared" si="13"/>
        <v>100</v>
      </c>
      <c r="V41" s="1696" t="s">
        <v>25</v>
      </c>
      <c r="W41" s="1697">
        <f t="shared" si="14"/>
        <v>100</v>
      </c>
      <c r="X41" s="2045"/>
      <c r="Y41" s="3596"/>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596"/>
      <c r="Q42" s="1737" t="str">
        <f t="shared" si="11"/>
        <v>单套建筑面积</v>
      </c>
      <c r="R42" s="1738" t="s">
        <v>25</v>
      </c>
      <c r="S42" s="1739">
        <f t="shared" si="12"/>
        <v>100</v>
      </c>
      <c r="T42" s="1738" t="s">
        <v>25</v>
      </c>
      <c r="U42" s="1739">
        <f t="shared" si="13"/>
        <v>100</v>
      </c>
      <c r="V42" s="1738" t="s">
        <v>25</v>
      </c>
      <c r="W42" s="1739">
        <f t="shared" si="14"/>
        <v>100</v>
      </c>
      <c r="X42" s="1740"/>
      <c r="Y42" s="3596"/>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596"/>
      <c r="Q43" s="2885" t="str">
        <f t="shared" si="11"/>
        <v>内部装修</v>
      </c>
      <c r="R43" s="1696" t="s">
        <v>25</v>
      </c>
      <c r="S43" s="1697">
        <f t="shared" si="12"/>
        <v>100</v>
      </c>
      <c r="T43" s="1696" t="s">
        <v>25</v>
      </c>
      <c r="U43" s="1697">
        <f t="shared" si="13"/>
        <v>100</v>
      </c>
      <c r="V43" s="1696" t="s">
        <v>25</v>
      </c>
      <c r="W43" s="1697">
        <f t="shared" si="14"/>
        <v>100</v>
      </c>
      <c r="X43" s="2045"/>
      <c r="Y43" s="3596"/>
      <c r="Z43" s="2049" t="str">
        <f t="shared" si="15"/>
        <v>内部装修</v>
      </c>
      <c r="AA43" s="2040">
        <f t="shared" si="3"/>
        <v>1</v>
      </c>
      <c r="AB43" s="2040">
        <f t="shared" si="4"/>
        <v>1</v>
      </c>
      <c r="AC43" s="2040">
        <f t="shared" si="5"/>
        <v>1</v>
      </c>
    </row>
    <row r="44" spans="1:29" ht="28.8">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596"/>
      <c r="Q44" s="2885" t="str">
        <f t="shared" si="11"/>
        <v>内部装修维护情况</v>
      </c>
      <c r="R44" s="1696" t="s">
        <v>25</v>
      </c>
      <c r="S44" s="1697">
        <f t="shared" si="12"/>
        <v>100</v>
      </c>
      <c r="T44" s="1696" t="s">
        <v>25</v>
      </c>
      <c r="U44" s="1697">
        <f t="shared" si="13"/>
        <v>100</v>
      </c>
      <c r="V44" s="1696" t="s">
        <v>25</v>
      </c>
      <c r="W44" s="1697">
        <f t="shared" si="14"/>
        <v>100</v>
      </c>
      <c r="X44" s="2045"/>
      <c r="Y44" s="3596"/>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596"/>
      <c r="Q45" s="2884">
        <f t="shared" si="11"/>
        <v>111</v>
      </c>
      <c r="R45" s="1651" t="s">
        <v>25</v>
      </c>
      <c r="S45" s="1652">
        <f t="shared" si="12"/>
        <v>100</v>
      </c>
      <c r="T45" s="1651" t="s">
        <v>25</v>
      </c>
      <c r="U45" s="1652">
        <f t="shared" si="13"/>
        <v>100</v>
      </c>
      <c r="V45" s="1651" t="s">
        <v>25</v>
      </c>
      <c r="W45" s="1652">
        <f t="shared" si="14"/>
        <v>100</v>
      </c>
      <c r="X45" s="1653"/>
      <c r="Y45" s="3596"/>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596"/>
      <c r="Q46" s="2885">
        <f t="shared" si="11"/>
        <v>111</v>
      </c>
      <c r="R46" s="1696" t="s">
        <v>25</v>
      </c>
      <c r="S46" s="1697">
        <f t="shared" si="12"/>
        <v>100</v>
      </c>
      <c r="T46" s="1696" t="s">
        <v>25</v>
      </c>
      <c r="U46" s="1697">
        <f t="shared" si="13"/>
        <v>100</v>
      </c>
      <c r="V46" s="1696" t="s">
        <v>25</v>
      </c>
      <c r="W46" s="1697">
        <f t="shared" si="14"/>
        <v>100</v>
      </c>
      <c r="X46" s="2045"/>
      <c r="Y46" s="3596"/>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597"/>
      <c r="Q47" s="2885">
        <f t="shared" si="11"/>
        <v>111</v>
      </c>
      <c r="R47" s="1696" t="s">
        <v>25</v>
      </c>
      <c r="S47" s="1697">
        <f t="shared" si="12"/>
        <v>100</v>
      </c>
      <c r="T47" s="1696" t="s">
        <v>25</v>
      </c>
      <c r="U47" s="1697">
        <f t="shared" si="13"/>
        <v>100</v>
      </c>
      <c r="V47" s="1696" t="s">
        <v>25</v>
      </c>
      <c r="W47" s="1697">
        <f t="shared" si="14"/>
        <v>100</v>
      </c>
      <c r="X47" s="2045"/>
      <c r="Y47" s="3597"/>
      <c r="Z47" s="2049">
        <f t="shared" si="15"/>
        <v>111</v>
      </c>
      <c r="AA47" s="2040">
        <f t="shared" si="3"/>
        <v>1</v>
      </c>
      <c r="AB47" s="2040">
        <f t="shared" si="4"/>
        <v>1</v>
      </c>
      <c r="AC47" s="2040">
        <f t="shared" si="5"/>
        <v>1</v>
      </c>
    </row>
    <row r="48" spans="1:29" ht="14.4">
      <c r="A48" s="1752" t="s">
        <v>2231</v>
      </c>
      <c r="B48" s="1753"/>
      <c r="C48" s="1754" t="s">
        <v>1</v>
      </c>
      <c r="D48" s="1755"/>
      <c r="E48" s="1756"/>
      <c r="F48" s="1757"/>
      <c r="G48" s="1758"/>
      <c r="H48" s="1759"/>
      <c r="I48" s="1756"/>
      <c r="J48" s="1759"/>
      <c r="K48" s="1984"/>
      <c r="L48" s="2972"/>
      <c r="M48" s="2967"/>
      <c r="N48" s="2967"/>
      <c r="O48" s="2967"/>
      <c r="P48" s="3588" t="str">
        <f>A48</f>
        <v>成交单价（元/平方米）</v>
      </c>
      <c r="Q48" s="3588"/>
      <c r="R48" s="3584">
        <f>E48</f>
        <v>0</v>
      </c>
      <c r="S48" s="3584"/>
      <c r="T48" s="3584">
        <f>G48</f>
        <v>0</v>
      </c>
      <c r="U48" s="3584"/>
      <c r="V48" s="3584">
        <f>I48</f>
        <v>0</v>
      </c>
      <c r="W48" s="3584"/>
      <c r="X48" s="1762"/>
      <c r="Y48" s="2044"/>
      <c r="Z48" s="1762"/>
      <c r="AA48" s="1762"/>
      <c r="AB48" s="1762"/>
      <c r="AC48" s="1762"/>
    </row>
    <row r="49" spans="1:29" ht="15" thickBot="1">
      <c r="A49" s="1764" t="s">
        <v>2314</v>
      </c>
      <c r="B49" s="1765"/>
      <c r="C49" s="1766" t="e">
        <f>R50</f>
        <v>#DIV/0!</v>
      </c>
      <c r="D49" s="1767" t="s">
        <v>2687</v>
      </c>
      <c r="E49" s="1768" t="e">
        <f>R49</f>
        <v>#DIV/0!</v>
      </c>
      <c r="F49" s="1769"/>
      <c r="G49" s="1766" t="e">
        <f>T49</f>
        <v>#DIV/0!</v>
      </c>
      <c r="H49" s="1769"/>
      <c r="I49" s="1768" t="e">
        <f>V49</f>
        <v>#DIV/0!</v>
      </c>
      <c r="J49" s="1769"/>
      <c r="K49" s="2480">
        <f>F49+H49+J49</f>
        <v>0</v>
      </c>
      <c r="L49" s="2972"/>
      <c r="M49" s="2967"/>
      <c r="N49" s="2967"/>
      <c r="O49" s="2967"/>
      <c r="P49" s="3588" t="str">
        <f>A49</f>
        <v>比较价值（元/平方米）</v>
      </c>
      <c r="Q49" s="3588"/>
      <c r="R49" s="3584" t="e">
        <f>IF(E1="售价",ROUND(PRODUCT(R48,AA7:AA47),0),ROUND(PRODUCT(R48,AA7:AA47),1))</f>
        <v>#DIV/0!</v>
      </c>
      <c r="S49" s="3584"/>
      <c r="T49" s="3584" t="e">
        <f>IF(E1="售价",ROUND(PRODUCT(T48,AB7:AB47),0),ROUND(PRODUCT(T48,AB7:AB47),1))</f>
        <v>#DIV/0!</v>
      </c>
      <c r="U49" s="3584"/>
      <c r="V49" s="3584" t="e">
        <f>IF(E1="售价",ROUND(PRODUCT(V48,AC7:AC47),0),ROUND(PRODUCT(V48,AC7:AC47),1))</f>
        <v>#DIV/0!</v>
      </c>
      <c r="W49" s="3584"/>
      <c r="X49" s="1762"/>
      <c r="Y49" s="1762"/>
      <c r="Z49" s="1762"/>
      <c r="AA49" s="1762"/>
      <c r="AB49" s="1762"/>
      <c r="AC49" s="1762"/>
    </row>
    <row r="50" spans="1:29" ht="15" thickBot="1">
      <c r="A50" s="1770" t="s">
        <v>2337</v>
      </c>
      <c r="B50" s="1771"/>
      <c r="C50" s="1773" t="e">
        <f>R50</f>
        <v>#DIV/0!</v>
      </c>
      <c r="D50" s="1773"/>
      <c r="E50" s="1773"/>
      <c r="F50" s="1773"/>
      <c r="G50" s="1773"/>
      <c r="H50" s="1773"/>
      <c r="I50" s="1773"/>
      <c r="J50" s="1773"/>
      <c r="K50" s="1989"/>
      <c r="L50" s="2972"/>
      <c r="M50" s="2967"/>
      <c r="N50" s="2967"/>
      <c r="O50" s="2967"/>
      <c r="P50" s="3585" t="str">
        <f>A50</f>
        <v>估价对象XX用房的比较价值（楼面单价，元/平方米）</v>
      </c>
      <c r="Q50" s="3586"/>
      <c r="R50" s="3587" t="e">
        <f>IF(E1="售价",ROUND(IF(D49="简单平均",AVERAGE(R49:V49),R49*F49+T49*H49+V49*J49),0),ROUND(IF(D49="简单平均",AVERAGE(R49:V49),R49*F49+T49*H49+V49*J49),1))</f>
        <v>#DIV/0!</v>
      </c>
      <c r="S50" s="3587"/>
      <c r="T50" s="3587"/>
      <c r="U50" s="3587"/>
      <c r="V50" s="3587"/>
      <c r="W50" s="3587"/>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2.2"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4.4">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3"/>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2239</v>
      </c>
      <c r="B61" s="1806"/>
      <c r="C61" s="1807"/>
      <c r="D61" s="1808"/>
      <c r="E61" s="1808"/>
      <c r="F61" s="1808"/>
      <c r="G61" s="1808"/>
      <c r="H61" s="1808"/>
      <c r="I61" s="1808"/>
      <c r="J61" s="1808"/>
      <c r="K61" s="1808"/>
      <c r="L61" s="1808"/>
      <c r="M61" s="1809"/>
      <c r="N61" s="1808"/>
      <c r="O61" s="2474"/>
      <c r="P61" s="1792"/>
      <c r="Q61" s="1792"/>
    </row>
    <row r="62" spans="1:29" s="1655" customFormat="1" ht="14.4">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4.4" thickBot="1">
      <c r="A63" s="1810"/>
      <c r="B63" s="1800"/>
      <c r="C63" s="1815">
        <v>100</v>
      </c>
      <c r="D63" s="1802"/>
      <c r="E63" s="1802"/>
      <c r="F63" s="1802"/>
      <c r="G63" s="1802"/>
      <c r="H63" s="1802"/>
      <c r="I63" s="1802"/>
      <c r="J63" s="1802"/>
      <c r="K63" s="1802"/>
      <c r="L63" s="1802"/>
      <c r="M63" s="1816"/>
      <c r="N63" s="2984"/>
      <c r="O63" s="2984"/>
      <c r="P63" s="1792"/>
      <c r="Q63" s="1792"/>
    </row>
    <row r="64" spans="1:29" ht="14.4">
      <c r="A64" s="1817" t="s">
        <v>2242</v>
      </c>
      <c r="B64" s="1818" t="s">
        <v>2207</v>
      </c>
      <c r="C64" s="1819">
        <f>C9</f>
        <v>0</v>
      </c>
      <c r="D64" s="1820"/>
      <c r="E64" s="1820"/>
      <c r="F64" s="1820"/>
      <c r="G64" s="1820"/>
      <c r="H64" s="1820"/>
      <c r="I64" s="1820"/>
      <c r="J64" s="1820"/>
      <c r="K64" s="417"/>
      <c r="L64" s="417"/>
      <c r="M64" s="1821"/>
      <c r="N64" s="2985"/>
      <c r="O64" s="2985"/>
      <c r="P64" s="2028"/>
      <c r="Q64" s="1792"/>
    </row>
    <row r="65" spans="1:17" ht="14.4" thickBot="1">
      <c r="A65" s="1824"/>
      <c r="B65" s="1825"/>
      <c r="C65" s="1826">
        <v>100</v>
      </c>
      <c r="D65" s="1826"/>
      <c r="E65" s="1826"/>
      <c r="F65" s="1826"/>
      <c r="G65" s="1826"/>
      <c r="H65" s="1826"/>
      <c r="I65" s="1826"/>
      <c r="J65" s="1826"/>
      <c r="K65" s="1826"/>
      <c r="L65" s="1826"/>
      <c r="M65" s="1827"/>
      <c r="N65" s="2986"/>
      <c r="O65" s="2986"/>
      <c r="P65" s="2028"/>
      <c r="Q65" s="1792"/>
    </row>
    <row r="66" spans="1:17" ht="29.4"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4.4"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c r="A69" s="1824"/>
      <c r="B69" s="1837"/>
      <c r="C69" s="1838"/>
      <c r="D69" s="1838"/>
      <c r="E69" s="1838"/>
      <c r="F69" s="1838"/>
      <c r="G69" s="1838"/>
      <c r="H69" s="1838"/>
      <c r="I69" s="1838"/>
      <c r="J69" s="1838"/>
      <c r="K69" s="438"/>
      <c r="L69" s="438"/>
      <c r="M69" s="1839"/>
      <c r="N69" s="2985"/>
      <c r="O69" s="2985"/>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4.4"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4.4" thickBot="1">
      <c r="A72" s="1840"/>
      <c r="B72" s="1832"/>
      <c r="C72" s="1845"/>
      <c r="D72" s="1826"/>
      <c r="E72" s="1826"/>
      <c r="F72" s="1826"/>
      <c r="G72" s="1826"/>
      <c r="H72" s="1826"/>
      <c r="I72" s="1826"/>
      <c r="J72" s="1826"/>
      <c r="K72" s="1826"/>
      <c r="L72" s="1826"/>
      <c r="M72" s="1827"/>
      <c r="N72" s="2986"/>
      <c r="O72" s="2986"/>
      <c r="P72" s="2029"/>
      <c r="Q72" s="1844"/>
    </row>
    <row r="73" spans="1:17" s="1742" customFormat="1" ht="14.4"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4.4" thickBot="1">
      <c r="A74" s="1840"/>
      <c r="B74" s="1832"/>
      <c r="C74" s="1845"/>
      <c r="D74" s="1845"/>
      <c r="E74" s="1845"/>
      <c r="F74" s="1845"/>
      <c r="G74" s="1845"/>
      <c r="H74" s="1848"/>
      <c r="I74" s="1848"/>
      <c r="J74" s="1848"/>
      <c r="K74" s="1848"/>
      <c r="L74" s="1848"/>
      <c r="M74" s="1849"/>
      <c r="N74" s="2987"/>
      <c r="O74" s="2987"/>
      <c r="P74" s="2029"/>
      <c r="Q74" s="1844"/>
    </row>
    <row r="75" spans="1:17" s="1742" customFormat="1" ht="14.4"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4.4" thickBot="1">
      <c r="A76" s="1851"/>
      <c r="B76" s="1852"/>
      <c r="C76" s="1853"/>
      <c r="D76" s="1853"/>
      <c r="E76" s="1853"/>
      <c r="F76" s="1853"/>
      <c r="G76" s="1853"/>
      <c r="H76" s="1854"/>
      <c r="I76" s="1854"/>
      <c r="J76" s="1854"/>
      <c r="K76" s="1854"/>
      <c r="L76" s="1854"/>
      <c r="M76" s="1855"/>
      <c r="N76" s="2987"/>
      <c r="O76" s="2987"/>
      <c r="P76" s="2029"/>
      <c r="Q76" s="1844"/>
    </row>
    <row r="77" spans="1:17" ht="14.4">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4.4"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4.4"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4.4"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4.4"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4.4"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9.4" thickTop="1">
      <c r="A87" s="1860"/>
      <c r="B87" s="1829" t="s">
        <v>2340</v>
      </c>
      <c r="C87" s="468"/>
      <c r="D87" s="468"/>
      <c r="E87" s="468"/>
      <c r="F87" s="468"/>
      <c r="G87" s="468"/>
      <c r="H87" s="468"/>
      <c r="I87" s="468"/>
      <c r="J87" s="468"/>
      <c r="K87" s="468"/>
      <c r="L87" s="468"/>
      <c r="M87" s="1861"/>
      <c r="N87" s="2984"/>
      <c r="O87" s="2984"/>
      <c r="P87" s="2028"/>
      <c r="Q87" s="1792"/>
    </row>
    <row r="88" spans="1:17" s="1655" customFormat="1" ht="14.4"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4.4"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4.4"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4.4"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4.4" thickTop="1">
      <c r="A93" s="1824"/>
      <c r="B93" s="1829">
        <f>B29</f>
        <v>111</v>
      </c>
      <c r="C93" s="468"/>
      <c r="D93" s="468"/>
      <c r="E93" s="468"/>
      <c r="F93" s="468"/>
      <c r="G93" s="468"/>
      <c r="H93" s="468"/>
      <c r="I93" s="468"/>
      <c r="J93" s="468"/>
      <c r="K93" s="468"/>
      <c r="L93" s="468"/>
      <c r="M93" s="1861"/>
      <c r="N93" s="2985"/>
      <c r="O93" s="2985"/>
      <c r="P93" s="2028"/>
      <c r="Q93" s="1792"/>
    </row>
    <row r="94" spans="1:17" ht="14.4" thickBot="1">
      <c r="A94" s="1824"/>
      <c r="B94" s="1832"/>
      <c r="C94" s="1845"/>
      <c r="D94" s="1826"/>
      <c r="E94" s="1826"/>
      <c r="F94" s="1826"/>
      <c r="G94" s="1826"/>
      <c r="H94" s="1826"/>
      <c r="I94" s="1826"/>
      <c r="J94" s="1826"/>
      <c r="K94" s="1826"/>
      <c r="L94" s="1826"/>
      <c r="M94" s="1827"/>
      <c r="N94" s="2986"/>
      <c r="O94" s="2986"/>
      <c r="P94" s="2028"/>
      <c r="Q94" s="1792"/>
    </row>
    <row r="95" spans="1:17" ht="14.4" thickTop="1">
      <c r="A95" s="1824"/>
      <c r="B95" s="1829">
        <f>B30</f>
        <v>111</v>
      </c>
      <c r="C95" s="468"/>
      <c r="D95" s="468"/>
      <c r="E95" s="468"/>
      <c r="F95" s="468"/>
      <c r="G95" s="1548"/>
      <c r="H95" s="1548"/>
      <c r="I95" s="1548"/>
      <c r="J95" s="1548"/>
      <c r="K95" s="473"/>
      <c r="L95" s="473"/>
      <c r="M95" s="1864"/>
      <c r="N95" s="2985"/>
      <c r="O95" s="2985"/>
      <c r="P95" s="2028"/>
      <c r="Q95" s="1792"/>
    </row>
    <row r="96" spans="1:17" ht="14.4" thickBot="1">
      <c r="A96" s="1824"/>
      <c r="B96" s="1832"/>
      <c r="C96" s="1845"/>
      <c r="D96" s="1845"/>
      <c r="E96" s="1845"/>
      <c r="F96" s="1845"/>
      <c r="G96" s="1826"/>
      <c r="H96" s="1826"/>
      <c r="I96" s="1826"/>
      <c r="J96" s="1826"/>
      <c r="K96" s="1826"/>
      <c r="L96" s="1826"/>
      <c r="M96" s="1827"/>
      <c r="N96" s="2986"/>
      <c r="O96" s="2986"/>
      <c r="P96" s="2028"/>
      <c r="Q96" s="1792"/>
    </row>
    <row r="97" spans="1:17" ht="14.4" thickTop="1">
      <c r="A97" s="1824"/>
      <c r="B97" s="1829">
        <f>B31</f>
        <v>111</v>
      </c>
      <c r="C97" s="468"/>
      <c r="D97" s="468"/>
      <c r="E97" s="468"/>
      <c r="F97" s="468"/>
      <c r="G97" s="1548"/>
      <c r="H97" s="1548"/>
      <c r="I97" s="1548"/>
      <c r="J97" s="1548"/>
      <c r="K97" s="473"/>
      <c r="L97" s="473"/>
      <c r="M97" s="1864"/>
      <c r="N97" s="2985"/>
      <c r="O97" s="2985"/>
      <c r="P97" s="2028"/>
      <c r="Q97" s="1792"/>
    </row>
    <row r="98" spans="1:17" ht="14.4" thickBot="1">
      <c r="A98" s="1824"/>
      <c r="B98" s="1832"/>
      <c r="C98" s="1845"/>
      <c r="D98" s="1826"/>
      <c r="E98" s="1826"/>
      <c r="F98" s="1826"/>
      <c r="G98" s="1826"/>
      <c r="H98" s="1826"/>
      <c r="I98" s="1826"/>
      <c r="J98" s="1826"/>
      <c r="K98" s="1826"/>
      <c r="L98" s="1826"/>
      <c r="M98" s="1827"/>
      <c r="N98" s="2986"/>
      <c r="O98" s="2986"/>
      <c r="P98" s="2028"/>
      <c r="Q98" s="1792"/>
    </row>
    <row r="99" spans="1:17" ht="14.4" thickTop="1">
      <c r="A99" s="1824"/>
      <c r="B99" s="1835">
        <f>B32</f>
        <v>111</v>
      </c>
      <c r="C99" s="409"/>
      <c r="D99" s="409"/>
      <c r="E99" s="409"/>
      <c r="F99" s="409"/>
      <c r="G99" s="1865"/>
      <c r="H99" s="1865"/>
      <c r="I99" s="1865"/>
      <c r="J99" s="1865"/>
      <c r="K99" s="477"/>
      <c r="L99" s="477"/>
      <c r="M99" s="1866"/>
      <c r="N99" s="2985"/>
      <c r="O99" s="2985"/>
      <c r="P99" s="2028"/>
      <c r="Q99" s="1792"/>
    </row>
    <row r="100" spans="1:17" ht="14.4" thickBot="1">
      <c r="A100" s="1867"/>
      <c r="B100" s="1852"/>
      <c r="C100" s="1853"/>
      <c r="D100" s="1853"/>
      <c r="E100" s="1853"/>
      <c r="F100" s="1853"/>
      <c r="G100" s="1868"/>
      <c r="H100" s="1868"/>
      <c r="I100" s="1868"/>
      <c r="J100" s="1868"/>
      <c r="K100" s="1868"/>
      <c r="L100" s="1868"/>
      <c r="M100" s="1869"/>
      <c r="N100" s="2986"/>
      <c r="O100" s="2986"/>
      <c r="P100" s="2028"/>
      <c r="Q100" s="1792"/>
    </row>
    <row r="101" spans="1:17" ht="14.4">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4.4"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4.4"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4.4"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4.4"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4.4"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4.4"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4.4"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4.4"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2342</v>
      </c>
      <c r="C119" s="1548"/>
      <c r="D119" s="1548"/>
      <c r="E119" s="1548"/>
      <c r="F119" s="1548"/>
      <c r="G119" s="1548"/>
      <c r="H119" s="1548"/>
      <c r="I119" s="1548"/>
      <c r="J119" s="1548"/>
      <c r="K119" s="1548"/>
      <c r="L119" s="1548"/>
      <c r="M119" s="2476"/>
      <c r="N119" s="2986"/>
      <c r="O119" s="2986"/>
      <c r="P119" s="2477"/>
      <c r="Q119" s="2478"/>
    </row>
    <row r="120" spans="1:17" ht="14.4"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4.4"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29.4"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7"/>
      <c r="O128" s="2987"/>
      <c r="P128" s="2029"/>
      <c r="Q128" s="1844"/>
    </row>
    <row r="129" spans="1:17" ht="14.4"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4.4" thickBot="1">
      <c r="A130" s="1824"/>
      <c r="B130" s="1832"/>
      <c r="C130" s="1845"/>
      <c r="D130" s="1845"/>
      <c r="E130" s="1845"/>
      <c r="F130" s="1845"/>
      <c r="G130" s="1826"/>
      <c r="H130" s="1826"/>
      <c r="I130" s="1826"/>
      <c r="J130" s="1826"/>
      <c r="K130" s="1826"/>
      <c r="L130" s="1826"/>
      <c r="M130" s="1827"/>
      <c r="N130" s="2986"/>
      <c r="O130" s="2986"/>
      <c r="P130" s="2028"/>
      <c r="Q130" s="1792"/>
    </row>
    <row r="131" spans="1:17" ht="14.4"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4.4"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215.26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4.4">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 thickBot="1">
      <c r="A7" s="301" t="s">
        <v>2201</v>
      </c>
      <c r="B7" s="302"/>
      <c r="C7" s="303">
        <f>'数据-取费表'!B2</f>
        <v>44624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40" t="s">
        <v>2202</v>
      </c>
      <c r="Q7" s="3648"/>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2" t="s">
        <v>2208</v>
      </c>
      <c r="Q9" s="1297" t="str">
        <f t="shared" ref="Q9:Q15" si="6">B9</f>
        <v>用途</v>
      </c>
      <c r="R9" s="627" t="s">
        <v>25</v>
      </c>
      <c r="S9" s="628">
        <f t="shared" si="0"/>
        <v>100</v>
      </c>
      <c r="T9" s="627" t="s">
        <v>25</v>
      </c>
      <c r="U9" s="628">
        <f t="shared" si="1"/>
        <v>100</v>
      </c>
      <c r="V9" s="627" t="s">
        <v>25</v>
      </c>
      <c r="W9" s="628">
        <f t="shared" si="2"/>
        <v>100</v>
      </c>
      <c r="X9" s="629"/>
      <c r="Y9" s="3651"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2"/>
      <c r="Q11" s="1297"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32"/>
      <c r="Q14" s="1297">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69">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9" t="s">
        <v>2213</v>
      </c>
      <c r="Q15" s="1304" t="str">
        <f t="shared" si="6"/>
        <v>产业集聚程度</v>
      </c>
      <c r="R15" s="631" t="s">
        <v>25</v>
      </c>
      <c r="S15" s="632">
        <f t="shared" si="0"/>
        <v>100</v>
      </c>
      <c r="T15" s="631" t="s">
        <v>25</v>
      </c>
      <c r="U15" s="632">
        <f t="shared" si="1"/>
        <v>100</v>
      </c>
      <c r="V15" s="631" t="s">
        <v>25</v>
      </c>
      <c r="W15" s="632">
        <f t="shared" si="2"/>
        <v>100</v>
      </c>
      <c r="X15" s="1305"/>
      <c r="Y15" s="364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50"/>
      <c r="Q16" s="1304"/>
      <c r="R16" s="631"/>
      <c r="S16" s="632"/>
      <c r="T16" s="631"/>
      <c r="U16" s="632"/>
      <c r="V16" s="631"/>
      <c r="W16" s="632"/>
      <c r="X16" s="1305"/>
      <c r="Y16" s="3650"/>
      <c r="Z16" s="1306"/>
      <c r="AA16" s="1307">
        <v>1</v>
      </c>
      <c r="AB16" s="1307">
        <v>1</v>
      </c>
      <c r="AC16" s="1307">
        <v>1</v>
      </c>
    </row>
    <row r="17" spans="1:29" ht="96.6">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50"/>
      <c r="Q17" s="1304" t="str">
        <f>B17</f>
        <v>交通便捷度</v>
      </c>
      <c r="R17" s="631" t="s">
        <v>25</v>
      </c>
      <c r="S17" s="632">
        <f>F17</f>
        <v>100</v>
      </c>
      <c r="T17" s="631" t="s">
        <v>25</v>
      </c>
      <c r="U17" s="632">
        <f>H17</f>
        <v>100</v>
      </c>
      <c r="V17" s="631" t="s">
        <v>25</v>
      </c>
      <c r="W17" s="632">
        <f>J17</f>
        <v>100</v>
      </c>
      <c r="X17" s="1305"/>
      <c r="Y17" s="365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50"/>
      <c r="Q18" s="1304"/>
      <c r="R18" s="631"/>
      <c r="S18" s="632"/>
      <c r="T18" s="631"/>
      <c r="U18" s="632"/>
      <c r="V18" s="631"/>
      <c r="W18" s="632"/>
      <c r="X18" s="1305"/>
      <c r="Y18" s="3650"/>
      <c r="Z18" s="1306"/>
      <c r="AA18" s="1307">
        <v>1</v>
      </c>
      <c r="AB18" s="1307">
        <v>1</v>
      </c>
      <c r="AC18" s="1307">
        <v>1</v>
      </c>
    </row>
    <row r="19" spans="1:29" ht="41.4">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50"/>
      <c r="Q19" s="1304" t="str">
        <f>B19</f>
        <v>公共配套设施</v>
      </c>
      <c r="R19" s="631" t="s">
        <v>25</v>
      </c>
      <c r="S19" s="632">
        <f>F19</f>
        <v>100</v>
      </c>
      <c r="T19" s="631" t="s">
        <v>25</v>
      </c>
      <c r="U19" s="632">
        <f>H19</f>
        <v>100</v>
      </c>
      <c r="V19" s="631" t="s">
        <v>25</v>
      </c>
      <c r="W19" s="632">
        <f>J19</f>
        <v>100</v>
      </c>
      <c r="X19" s="1305"/>
      <c r="Y19" s="365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50"/>
      <c r="Q20" s="1304"/>
      <c r="R20" s="631"/>
      <c r="S20" s="632"/>
      <c r="T20" s="631"/>
      <c r="U20" s="632"/>
      <c r="V20" s="631"/>
      <c r="W20" s="632"/>
      <c r="X20" s="1305"/>
      <c r="Y20" s="3650"/>
      <c r="Z20" s="1306"/>
      <c r="AA20" s="1307">
        <v>1</v>
      </c>
      <c r="AB20" s="1307">
        <v>1</v>
      </c>
      <c r="AC20" s="1307">
        <v>1</v>
      </c>
    </row>
    <row r="21" spans="1:29" ht="41.4">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50"/>
      <c r="Q21" s="1304" t="str">
        <f>B21</f>
        <v>基础设施水平</v>
      </c>
      <c r="R21" s="631" t="s">
        <v>25</v>
      </c>
      <c r="S21" s="632">
        <f>F21</f>
        <v>100</v>
      </c>
      <c r="T21" s="631" t="s">
        <v>25</v>
      </c>
      <c r="U21" s="632">
        <f>H21</f>
        <v>100</v>
      </c>
      <c r="V21" s="631" t="s">
        <v>25</v>
      </c>
      <c r="W21" s="632">
        <f>J21</f>
        <v>100</v>
      </c>
      <c r="X21" s="1305"/>
      <c r="Y21" s="365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50"/>
      <c r="Q22" s="1304"/>
      <c r="R22" s="631"/>
      <c r="S22" s="632"/>
      <c r="T22" s="631"/>
      <c r="U22" s="632"/>
      <c r="V22" s="631"/>
      <c r="W22" s="632"/>
      <c r="X22" s="1305"/>
      <c r="Y22" s="3650"/>
      <c r="Z22" s="1306"/>
      <c r="AA22" s="1307">
        <v>1</v>
      </c>
      <c r="AB22" s="1307">
        <v>1</v>
      </c>
      <c r="AC22" s="1307">
        <v>1</v>
      </c>
    </row>
    <row r="23" spans="1:29" ht="82.8">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50"/>
      <c r="Q23" s="1304" t="str">
        <f>B23</f>
        <v>环境质量</v>
      </c>
      <c r="R23" s="631" t="s">
        <v>25</v>
      </c>
      <c r="S23" s="632">
        <f>F23</f>
        <v>100</v>
      </c>
      <c r="T23" s="631" t="s">
        <v>25</v>
      </c>
      <c r="U23" s="632">
        <f>H23</f>
        <v>100</v>
      </c>
      <c r="V23" s="631" t="s">
        <v>25</v>
      </c>
      <c r="W23" s="632">
        <f>J23</f>
        <v>100</v>
      </c>
      <c r="X23" s="1305"/>
      <c r="Y23" s="365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50"/>
      <c r="Q24" s="1304"/>
      <c r="R24" s="631"/>
      <c r="S24" s="632"/>
      <c r="T24" s="631"/>
      <c r="U24" s="632"/>
      <c r="V24" s="631"/>
      <c r="W24" s="632"/>
      <c r="X24" s="1305"/>
      <c r="Y24" s="365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50"/>
      <c r="Q25" s="1304">
        <f>B25</f>
        <v>111</v>
      </c>
      <c r="R25" s="631" t="s">
        <v>25</v>
      </c>
      <c r="S25" s="632">
        <f>F25</f>
        <v>100</v>
      </c>
      <c r="T25" s="631" t="s">
        <v>25</v>
      </c>
      <c r="U25" s="632">
        <f>H25</f>
        <v>100</v>
      </c>
      <c r="V25" s="631" t="s">
        <v>25</v>
      </c>
      <c r="W25" s="632">
        <f>J25</f>
        <v>100</v>
      </c>
      <c r="X25" s="1305"/>
      <c r="Y25" s="365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50"/>
      <c r="Q26" s="1304">
        <f t="shared" ref="Q26:Q40" si="11">B26</f>
        <v>111</v>
      </c>
      <c r="R26" s="631" t="s">
        <v>25</v>
      </c>
      <c r="S26" s="632">
        <f>F26</f>
        <v>100</v>
      </c>
      <c r="T26" s="631" t="s">
        <v>25</v>
      </c>
      <c r="U26" s="632">
        <f>H26</f>
        <v>100</v>
      </c>
      <c r="V26" s="631" t="s">
        <v>25</v>
      </c>
      <c r="W26" s="632">
        <f>J26</f>
        <v>100</v>
      </c>
      <c r="X26" s="1305"/>
      <c r="Y26" s="365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50"/>
      <c r="Q27" s="1297">
        <f t="shared" si="11"/>
        <v>111</v>
      </c>
      <c r="R27" s="627" t="s">
        <v>25</v>
      </c>
      <c r="S27" s="628">
        <f>F27</f>
        <v>100</v>
      </c>
      <c r="T27" s="627" t="s">
        <v>25</v>
      </c>
      <c r="U27" s="628">
        <f>H27</f>
        <v>100</v>
      </c>
      <c r="V27" s="627" t="s">
        <v>25</v>
      </c>
      <c r="W27" s="628">
        <f>J27</f>
        <v>100</v>
      </c>
      <c r="X27" s="629"/>
      <c r="Y27" s="3650"/>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50"/>
      <c r="Q28" s="1304">
        <f t="shared" si="11"/>
        <v>111</v>
      </c>
      <c r="R28" s="631" t="s">
        <v>25</v>
      </c>
      <c r="S28" s="632">
        <f t="shared" ref="S28:S40" si="12">F28</f>
        <v>100</v>
      </c>
      <c r="T28" s="631" t="s">
        <v>25</v>
      </c>
      <c r="U28" s="632">
        <f t="shared" ref="U28:U40" si="13">H28</f>
        <v>100</v>
      </c>
      <c r="V28" s="631" t="s">
        <v>25</v>
      </c>
      <c r="W28" s="632">
        <f t="shared" ref="W28:W40" si="14">J28</f>
        <v>100</v>
      </c>
      <c r="X28" s="1305"/>
      <c r="Y28" s="3650"/>
      <c r="Z28" s="1306">
        <f t="shared" ref="Z28:Z40" si="15">Q28</f>
        <v>111</v>
      </c>
      <c r="AA28" s="1307">
        <f t="shared" si="3"/>
        <v>1</v>
      </c>
      <c r="AB28" s="1307">
        <f t="shared" si="4"/>
        <v>1</v>
      </c>
      <c r="AC28" s="1307">
        <f t="shared" si="5"/>
        <v>1</v>
      </c>
    </row>
    <row r="29" spans="1:29" ht="30">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37" t="s">
        <v>2219</v>
      </c>
      <c r="Q29" s="1304" t="str">
        <f t="shared" si="11"/>
        <v>建筑类型</v>
      </c>
      <c r="R29" s="631" t="s">
        <v>25</v>
      </c>
      <c r="S29" s="632">
        <f t="shared" si="12"/>
        <v>100</v>
      </c>
      <c r="T29" s="631" t="s">
        <v>25</v>
      </c>
      <c r="U29" s="632">
        <f t="shared" si="13"/>
        <v>100</v>
      </c>
      <c r="V29" s="631" t="s">
        <v>25</v>
      </c>
      <c r="W29" s="632">
        <f t="shared" si="14"/>
        <v>100</v>
      </c>
      <c r="X29" s="1305"/>
      <c r="Y29" s="363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8"/>
      <c r="Q31" s="1304" t="str">
        <f t="shared" si="11"/>
        <v>建筑结构</v>
      </c>
      <c r="R31" s="631" t="s">
        <v>25</v>
      </c>
      <c r="S31" s="632">
        <f t="shared" si="12"/>
        <v>100</v>
      </c>
      <c r="T31" s="631" t="s">
        <v>25</v>
      </c>
      <c r="U31" s="632">
        <f t="shared" si="13"/>
        <v>100</v>
      </c>
      <c r="V31" s="631" t="s">
        <v>25</v>
      </c>
      <c r="W31" s="632">
        <f t="shared" si="14"/>
        <v>100</v>
      </c>
      <c r="X31" s="1305"/>
      <c r="Y31" s="363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8"/>
      <c r="Q32" s="1304" t="str">
        <f t="shared" si="11"/>
        <v>公共部分装修</v>
      </c>
      <c r="R32" s="631" t="s">
        <v>25</v>
      </c>
      <c r="S32" s="632">
        <f t="shared" si="12"/>
        <v>100</v>
      </c>
      <c r="T32" s="631" t="s">
        <v>25</v>
      </c>
      <c r="U32" s="632">
        <f t="shared" si="13"/>
        <v>100</v>
      </c>
      <c r="V32" s="631" t="s">
        <v>25</v>
      </c>
      <c r="W32" s="632">
        <f t="shared" si="14"/>
        <v>100</v>
      </c>
      <c r="X32" s="1305"/>
      <c r="Y32" s="363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8"/>
      <c r="Q33" s="1304" t="str">
        <f t="shared" si="11"/>
        <v>成新度</v>
      </c>
      <c r="R33" s="631" t="s">
        <v>25</v>
      </c>
      <c r="S33" s="632" t="e">
        <f t="shared" si="12"/>
        <v>#N/A</v>
      </c>
      <c r="T33" s="631" t="s">
        <v>25</v>
      </c>
      <c r="U33" s="632" t="e">
        <f t="shared" si="13"/>
        <v>#N/A</v>
      </c>
      <c r="V33" s="631" t="s">
        <v>25</v>
      </c>
      <c r="W33" s="632" t="e">
        <f t="shared" si="14"/>
        <v>#N/A</v>
      </c>
      <c r="X33" s="1305"/>
      <c r="Y33" s="363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8"/>
      <c r="Q34" s="1297"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8" t="s">
        <v>2219</v>
      </c>
      <c r="Q35" s="1304" t="str">
        <f t="shared" si="11"/>
        <v>市政基础设施</v>
      </c>
      <c r="R35" s="631" t="s">
        <v>25</v>
      </c>
      <c r="S35" s="632">
        <f t="shared" si="12"/>
        <v>100</v>
      </c>
      <c r="T35" s="631" t="s">
        <v>25</v>
      </c>
      <c r="U35" s="632">
        <f t="shared" si="13"/>
        <v>100</v>
      </c>
      <c r="V35" s="631" t="s">
        <v>25</v>
      </c>
      <c r="W35" s="632">
        <f t="shared" si="14"/>
        <v>100</v>
      </c>
      <c r="X35" s="1305"/>
      <c r="Y35" s="363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8"/>
      <c r="Q36" s="1304" t="str">
        <f t="shared" si="11"/>
        <v>内部装修</v>
      </c>
      <c r="R36" s="631" t="s">
        <v>25</v>
      </c>
      <c r="S36" s="632">
        <f t="shared" si="12"/>
        <v>100</v>
      </c>
      <c r="T36" s="631" t="s">
        <v>25</v>
      </c>
      <c r="U36" s="632">
        <f t="shared" si="13"/>
        <v>100</v>
      </c>
      <c r="V36" s="631" t="s">
        <v>25</v>
      </c>
      <c r="W36" s="632">
        <f t="shared" si="14"/>
        <v>100</v>
      </c>
      <c r="X36" s="1305"/>
      <c r="Y36" s="363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8"/>
      <c r="Q37" s="1304" t="str">
        <f t="shared" si="11"/>
        <v>内部装修状况</v>
      </c>
      <c r="R37" s="631" t="s">
        <v>25</v>
      </c>
      <c r="S37" s="632">
        <f t="shared" si="12"/>
        <v>100</v>
      </c>
      <c r="T37" s="631" t="s">
        <v>25</v>
      </c>
      <c r="U37" s="632">
        <f t="shared" si="13"/>
        <v>100</v>
      </c>
      <c r="V37" s="631" t="s">
        <v>25</v>
      </c>
      <c r="W37" s="632">
        <f t="shared" si="14"/>
        <v>100</v>
      </c>
      <c r="X37" s="1305"/>
      <c r="Y37" s="363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8"/>
      <c r="Q39" s="1304">
        <f t="shared" si="11"/>
        <v>111</v>
      </c>
      <c r="R39" s="631" t="s">
        <v>25</v>
      </c>
      <c r="S39" s="632">
        <f t="shared" si="12"/>
        <v>100</v>
      </c>
      <c r="T39" s="631" t="s">
        <v>25</v>
      </c>
      <c r="U39" s="632">
        <f t="shared" si="13"/>
        <v>100</v>
      </c>
      <c r="V39" s="631" t="s">
        <v>25</v>
      </c>
      <c r="W39" s="632">
        <f t="shared" si="14"/>
        <v>100</v>
      </c>
      <c r="X39" s="1305"/>
      <c r="Y39" s="3638"/>
      <c r="Z39" s="1306">
        <f t="shared" si="15"/>
        <v>111</v>
      </c>
      <c r="AA39" s="1307">
        <f t="shared" si="3"/>
        <v>1</v>
      </c>
      <c r="AB39" s="1307">
        <f t="shared" si="4"/>
        <v>1</v>
      </c>
      <c r="AC39" s="1307">
        <f t="shared" si="5"/>
        <v>1</v>
      </c>
    </row>
    <row r="40" spans="1:29" ht="15.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9"/>
      <c r="Q40" s="1304">
        <f t="shared" si="11"/>
        <v>111</v>
      </c>
      <c r="R40" s="631" t="s">
        <v>25</v>
      </c>
      <c r="S40" s="632">
        <f t="shared" si="12"/>
        <v>100</v>
      </c>
      <c r="T40" s="631" t="s">
        <v>25</v>
      </c>
      <c r="U40" s="632">
        <f t="shared" si="13"/>
        <v>100</v>
      </c>
      <c r="V40" s="631" t="s">
        <v>25</v>
      </c>
      <c r="W40" s="632">
        <f t="shared" si="14"/>
        <v>100</v>
      </c>
      <c r="X40" s="1305"/>
      <c r="Y40" s="3639"/>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6"/>
      <c r="N41" s="2995"/>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 thickBot="1">
      <c r="A42" s="374" t="s">
        <v>2314</v>
      </c>
      <c r="B42" s="375"/>
      <c r="C42" s="1130" t="e">
        <f>R43</f>
        <v>#DIV/0!</v>
      </c>
      <c r="D42" s="1767" t="s">
        <v>2687</v>
      </c>
      <c r="E42" s="1131" t="e">
        <f>R42</f>
        <v>#DIV/0!</v>
      </c>
      <c r="F42" s="1769"/>
      <c r="G42" s="1130" t="e">
        <f>T42</f>
        <v>#DIV/0!</v>
      </c>
      <c r="H42" s="1769"/>
      <c r="I42" s="1131" t="e">
        <f>V42</f>
        <v>#DIV/0!</v>
      </c>
      <c r="J42" s="1769"/>
      <c r="K42" s="2480">
        <f>F42+H42+J42</f>
        <v>0</v>
      </c>
      <c r="L42" s="3006"/>
      <c r="N42" s="2995"/>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6"/>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2.2" thickBot="1">
      <c r="A51" s="620" t="s">
        <v>2319</v>
      </c>
      <c r="B51" s="618"/>
      <c r="C51" s="621"/>
      <c r="D51" s="621"/>
      <c r="E51" s="621"/>
      <c r="F51" s="622"/>
      <c r="G51" s="622"/>
      <c r="H51" s="621"/>
      <c r="I51" s="621"/>
      <c r="J51" s="621"/>
      <c r="K51" s="623"/>
      <c r="L51" s="624"/>
      <c r="M51" s="621"/>
      <c r="N51" s="3012"/>
      <c r="O51" s="3012"/>
      <c r="P51" s="389"/>
      <c r="Q51" s="390"/>
    </row>
    <row r="52" spans="1:17" s="394" customFormat="1" ht="14.4">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215.26</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4.4">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 thickBot="1">
      <c r="A7" s="301" t="s">
        <v>2201</v>
      </c>
      <c r="B7" s="302"/>
      <c r="C7" s="303">
        <f>'数据-取费表'!B2</f>
        <v>44624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40" t="s">
        <v>2202</v>
      </c>
      <c r="Q7" s="3648"/>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2" t="s">
        <v>2208</v>
      </c>
      <c r="Q9" s="1297" t="str">
        <f t="shared" ref="Q9:Q14" si="6">B9</f>
        <v>用途</v>
      </c>
      <c r="R9" s="627" t="s">
        <v>25</v>
      </c>
      <c r="S9" s="628">
        <f t="shared" si="0"/>
        <v>100</v>
      </c>
      <c r="T9" s="627" t="s">
        <v>25</v>
      </c>
      <c r="U9" s="628">
        <f t="shared" si="1"/>
        <v>100</v>
      </c>
      <c r="V9" s="627" t="s">
        <v>25</v>
      </c>
      <c r="W9" s="628">
        <f t="shared" si="2"/>
        <v>100</v>
      </c>
      <c r="X9" s="629"/>
      <c r="Y9" s="3651"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2"/>
      <c r="Q11" s="1297">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96.6">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9" t="s">
        <v>2213</v>
      </c>
      <c r="Q14" s="1304" t="str">
        <f t="shared" si="6"/>
        <v>交通便捷度</v>
      </c>
      <c r="R14" s="631" t="s">
        <v>25</v>
      </c>
      <c r="S14" s="632">
        <f t="shared" si="0"/>
        <v>100</v>
      </c>
      <c r="T14" s="631" t="s">
        <v>25</v>
      </c>
      <c r="U14" s="632">
        <f t="shared" si="1"/>
        <v>100</v>
      </c>
      <c r="V14" s="631" t="s">
        <v>25</v>
      </c>
      <c r="W14" s="632">
        <f t="shared" si="2"/>
        <v>100</v>
      </c>
      <c r="X14" s="1305"/>
      <c r="Y14" s="364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50"/>
      <c r="Q15" s="1304"/>
      <c r="R15" s="631"/>
      <c r="S15" s="632"/>
      <c r="T15" s="631"/>
      <c r="U15" s="632"/>
      <c r="V15" s="631"/>
      <c r="W15" s="632"/>
      <c r="X15" s="1305"/>
      <c r="Y15" s="3650"/>
      <c r="Z15" s="1306"/>
      <c r="AA15" s="1307">
        <v>1</v>
      </c>
      <c r="AB15" s="1307">
        <v>1</v>
      </c>
      <c r="AC15" s="1307">
        <v>1</v>
      </c>
    </row>
    <row r="16" spans="1:29" ht="41.4">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50"/>
      <c r="Q16" s="1304" t="str">
        <f>B16</f>
        <v>公共配套设施</v>
      </c>
      <c r="R16" s="631" t="s">
        <v>25</v>
      </c>
      <c r="S16" s="632">
        <f>F16</f>
        <v>100</v>
      </c>
      <c r="T16" s="631" t="s">
        <v>25</v>
      </c>
      <c r="U16" s="632">
        <f>H16</f>
        <v>100</v>
      </c>
      <c r="V16" s="631" t="s">
        <v>25</v>
      </c>
      <c r="W16" s="632">
        <f>J16</f>
        <v>100</v>
      </c>
      <c r="X16" s="1305"/>
      <c r="Y16" s="365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50"/>
      <c r="Q17" s="1304"/>
      <c r="R17" s="631"/>
      <c r="S17" s="632"/>
      <c r="T17" s="631"/>
      <c r="U17" s="632"/>
      <c r="V17" s="631"/>
      <c r="W17" s="632"/>
      <c r="X17" s="1305"/>
      <c r="Y17" s="3650"/>
      <c r="Z17" s="1306"/>
      <c r="AA17" s="1307">
        <v>1</v>
      </c>
      <c r="AB17" s="1307">
        <v>1</v>
      </c>
      <c r="AC17" s="1307">
        <v>1</v>
      </c>
    </row>
    <row r="18" spans="1:29" ht="41.4">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50"/>
      <c r="Q18" s="1304" t="str">
        <f>B18</f>
        <v>基础设施水平</v>
      </c>
      <c r="R18" s="631" t="s">
        <v>25</v>
      </c>
      <c r="S18" s="632">
        <f>F18</f>
        <v>100</v>
      </c>
      <c r="T18" s="631" t="s">
        <v>25</v>
      </c>
      <c r="U18" s="632">
        <f>H18</f>
        <v>100</v>
      </c>
      <c r="V18" s="631" t="s">
        <v>25</v>
      </c>
      <c r="W18" s="632">
        <f>J18</f>
        <v>100</v>
      </c>
      <c r="X18" s="1305"/>
      <c r="Y18" s="365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50"/>
      <c r="Q19" s="1304"/>
      <c r="R19" s="631"/>
      <c r="S19" s="632"/>
      <c r="T19" s="631"/>
      <c r="U19" s="632"/>
      <c r="V19" s="631"/>
      <c r="W19" s="632"/>
      <c r="X19" s="1305"/>
      <c r="Y19" s="3650"/>
      <c r="Z19" s="1306"/>
      <c r="AA19" s="1307">
        <v>1</v>
      </c>
      <c r="AB19" s="1307">
        <v>1</v>
      </c>
      <c r="AC19" s="1307">
        <v>1</v>
      </c>
    </row>
    <row r="20" spans="1:29" ht="55.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50"/>
      <c r="Q20" s="1304" t="str">
        <f>B20</f>
        <v>自然及人文环境</v>
      </c>
      <c r="R20" s="631" t="s">
        <v>25</v>
      </c>
      <c r="S20" s="632">
        <f>F20</f>
        <v>100</v>
      </c>
      <c r="T20" s="631" t="s">
        <v>25</v>
      </c>
      <c r="U20" s="632">
        <f>H20</f>
        <v>100</v>
      </c>
      <c r="V20" s="631" t="s">
        <v>25</v>
      </c>
      <c r="W20" s="632">
        <f>J20</f>
        <v>100</v>
      </c>
      <c r="X20" s="1305"/>
      <c r="Y20" s="365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50"/>
      <c r="Q21" s="1304"/>
      <c r="R21" s="631"/>
      <c r="S21" s="632"/>
      <c r="T21" s="631"/>
      <c r="U21" s="632"/>
      <c r="V21" s="631"/>
      <c r="W21" s="632"/>
      <c r="X21" s="1305"/>
      <c r="Y21" s="365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50"/>
      <c r="Q22" s="1304" t="str">
        <f>B22</f>
        <v>楼层</v>
      </c>
      <c r="R22" s="631" t="s">
        <v>25</v>
      </c>
      <c r="S22" s="632">
        <f>F22</f>
        <v>100</v>
      </c>
      <c r="T22" s="631" t="s">
        <v>25</v>
      </c>
      <c r="U22" s="632">
        <f>H22</f>
        <v>100</v>
      </c>
      <c r="V22" s="631" t="s">
        <v>25</v>
      </c>
      <c r="W22" s="632">
        <f>J22</f>
        <v>100</v>
      </c>
      <c r="X22" s="1305"/>
      <c r="Y22" s="365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50"/>
      <c r="Q23" s="1304">
        <f>B23</f>
        <v>111</v>
      </c>
      <c r="R23" s="631" t="s">
        <v>25</v>
      </c>
      <c r="S23" s="632">
        <f>F23</f>
        <v>100</v>
      </c>
      <c r="T23" s="631" t="s">
        <v>25</v>
      </c>
      <c r="U23" s="632">
        <f>H23</f>
        <v>100</v>
      </c>
      <c r="V23" s="631" t="s">
        <v>25</v>
      </c>
      <c r="W23" s="632">
        <f>J23</f>
        <v>100</v>
      </c>
      <c r="X23" s="1305"/>
      <c r="Y23" s="365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50"/>
      <c r="Q24" s="1304">
        <f t="shared" ref="Q24:Q36" si="11">B24</f>
        <v>111</v>
      </c>
      <c r="R24" s="631" t="s">
        <v>25</v>
      </c>
      <c r="S24" s="632">
        <f>F24</f>
        <v>100</v>
      </c>
      <c r="T24" s="631" t="s">
        <v>25</v>
      </c>
      <c r="U24" s="632">
        <f>H24</f>
        <v>100</v>
      </c>
      <c r="V24" s="631" t="s">
        <v>25</v>
      </c>
      <c r="W24" s="632">
        <f>J24</f>
        <v>100</v>
      </c>
      <c r="X24" s="1305"/>
      <c r="Y24" s="3650"/>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50"/>
      <c r="Q25" s="1297">
        <f t="shared" si="11"/>
        <v>111</v>
      </c>
      <c r="R25" s="627" t="s">
        <v>25</v>
      </c>
      <c r="S25" s="628">
        <f>F25</f>
        <v>100</v>
      </c>
      <c r="T25" s="627" t="s">
        <v>25</v>
      </c>
      <c r="U25" s="628">
        <f>H25</f>
        <v>100</v>
      </c>
      <c r="V25" s="627" t="s">
        <v>25</v>
      </c>
      <c r="W25" s="628">
        <f>J25</f>
        <v>100</v>
      </c>
      <c r="X25" s="629"/>
      <c r="Y25" s="3650"/>
      <c r="Z25" s="19">
        <f>Q25</f>
        <v>111</v>
      </c>
      <c r="AA25" s="1307">
        <f>D25/F25</f>
        <v>1</v>
      </c>
      <c r="AB25" s="1307">
        <f>D25/H25</f>
        <v>1</v>
      </c>
      <c r="AC25" s="1307">
        <f>D25/J25</f>
        <v>1</v>
      </c>
    </row>
    <row r="26" spans="1:29" ht="30">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8"/>
      <c r="Q28" s="1304" t="str">
        <f t="shared" si="11"/>
        <v>公共部分装修</v>
      </c>
      <c r="R28" s="631" t="s">
        <v>25</v>
      </c>
      <c r="S28" s="632">
        <f t="shared" si="12"/>
        <v>100</v>
      </c>
      <c r="T28" s="631" t="s">
        <v>25</v>
      </c>
      <c r="U28" s="632">
        <f t="shared" si="13"/>
        <v>100</v>
      </c>
      <c r="V28" s="631" t="s">
        <v>25</v>
      </c>
      <c r="W28" s="632">
        <f t="shared" si="14"/>
        <v>100</v>
      </c>
      <c r="X28" s="1305"/>
      <c r="Y28" s="363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8"/>
      <c r="Q29" s="1304" t="str">
        <f t="shared" si="11"/>
        <v>成新率</v>
      </c>
      <c r="R29" s="631" t="s">
        <v>25</v>
      </c>
      <c r="S29" s="632" t="e">
        <f t="shared" si="12"/>
        <v>#N/A</v>
      </c>
      <c r="T29" s="631" t="s">
        <v>25</v>
      </c>
      <c r="U29" s="632" t="e">
        <f t="shared" si="13"/>
        <v>#N/A</v>
      </c>
      <c r="V29" s="631" t="s">
        <v>25</v>
      </c>
      <c r="W29" s="632" t="e">
        <f t="shared" si="14"/>
        <v>#N/A</v>
      </c>
      <c r="X29" s="1305"/>
      <c r="Y29" s="363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8"/>
      <c r="Q30" s="1304" t="str">
        <f t="shared" si="11"/>
        <v>物业等级</v>
      </c>
      <c r="R30" s="631" t="s">
        <v>25</v>
      </c>
      <c r="S30" s="632">
        <f t="shared" si="12"/>
        <v>100</v>
      </c>
      <c r="T30" s="631" t="s">
        <v>25</v>
      </c>
      <c r="U30" s="632">
        <f t="shared" si="13"/>
        <v>100</v>
      </c>
      <c r="V30" s="631" t="s">
        <v>25</v>
      </c>
      <c r="W30" s="632">
        <f t="shared" si="14"/>
        <v>100</v>
      </c>
      <c r="X30" s="1305"/>
      <c r="Y30" s="363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8"/>
      <c r="Q31" s="1297"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8" t="s">
        <v>2219</v>
      </c>
      <c r="Q32" s="1304" t="str">
        <f t="shared" si="11"/>
        <v>车位类型</v>
      </c>
      <c r="R32" s="631" t="s">
        <v>25</v>
      </c>
      <c r="S32" s="632">
        <f t="shared" si="12"/>
        <v>100</v>
      </c>
      <c r="T32" s="631" t="s">
        <v>25</v>
      </c>
      <c r="U32" s="632">
        <f t="shared" si="13"/>
        <v>100</v>
      </c>
      <c r="V32" s="631" t="s">
        <v>25</v>
      </c>
      <c r="W32" s="632">
        <f t="shared" si="14"/>
        <v>100</v>
      </c>
      <c r="X32" s="1305"/>
      <c r="Y32" s="363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8"/>
      <c r="Q33" s="1304" t="str">
        <f t="shared" si="11"/>
        <v>是否直接入户</v>
      </c>
      <c r="R33" s="631" t="s">
        <v>25</v>
      </c>
      <c r="S33" s="632">
        <f t="shared" si="12"/>
        <v>100</v>
      </c>
      <c r="T33" s="631" t="s">
        <v>25</v>
      </c>
      <c r="U33" s="632">
        <f t="shared" si="13"/>
        <v>100</v>
      </c>
      <c r="V33" s="631" t="s">
        <v>25</v>
      </c>
      <c r="W33" s="632">
        <f t="shared" si="14"/>
        <v>100</v>
      </c>
      <c r="X33" s="1305"/>
      <c r="Y33" s="363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8"/>
      <c r="Q34" s="1304">
        <f t="shared" si="11"/>
        <v>111</v>
      </c>
      <c r="R34" s="631" t="s">
        <v>25</v>
      </c>
      <c r="S34" s="632">
        <f t="shared" si="12"/>
        <v>100</v>
      </c>
      <c r="T34" s="631" t="s">
        <v>25</v>
      </c>
      <c r="U34" s="632">
        <f t="shared" si="13"/>
        <v>100</v>
      </c>
      <c r="V34" s="631" t="s">
        <v>25</v>
      </c>
      <c r="W34" s="632">
        <f t="shared" si="14"/>
        <v>100</v>
      </c>
      <c r="X34" s="1305"/>
      <c r="Y34" s="363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8"/>
      <c r="Q36" s="1304">
        <f t="shared" si="11"/>
        <v>111</v>
      </c>
      <c r="R36" s="631" t="s">
        <v>25</v>
      </c>
      <c r="S36" s="632">
        <f t="shared" si="12"/>
        <v>100</v>
      </c>
      <c r="T36" s="631" t="s">
        <v>25</v>
      </c>
      <c r="U36" s="632">
        <f t="shared" si="13"/>
        <v>100</v>
      </c>
      <c r="V36" s="631" t="s">
        <v>25</v>
      </c>
      <c r="W36" s="632">
        <f t="shared" si="14"/>
        <v>100</v>
      </c>
      <c r="X36" s="1305"/>
      <c r="Y36" s="3638"/>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6"/>
      <c r="N37" s="2995"/>
      <c r="P37" s="3632" t="str">
        <f>A37</f>
        <v>成交单价</v>
      </c>
      <c r="Q37" s="3632"/>
      <c r="R37" s="3633">
        <f>E37</f>
        <v>0</v>
      </c>
      <c r="S37" s="3633"/>
      <c r="T37" s="3633">
        <f>G37</f>
        <v>0</v>
      </c>
      <c r="U37" s="3633"/>
      <c r="V37" s="3633">
        <f>I37</f>
        <v>0</v>
      </c>
      <c r="W37" s="3633"/>
      <c r="X37" s="618"/>
      <c r="Y37" s="638"/>
      <c r="Z37" s="618"/>
      <c r="AA37" s="618"/>
      <c r="AB37" s="618"/>
      <c r="AC37" s="618"/>
    </row>
    <row r="38" spans="1:29" ht="15" thickBot="1">
      <c r="A38" s="374" t="s">
        <v>2363</v>
      </c>
      <c r="B38" s="375" t="str">
        <f>B37</f>
        <v>元/平方米</v>
      </c>
      <c r="C38" s="1130" t="e">
        <f>R39</f>
        <v>#DIV/0!</v>
      </c>
      <c r="D38" s="1767" t="s">
        <v>2687</v>
      </c>
      <c r="E38" s="1131" t="e">
        <f>R38</f>
        <v>#DIV/0!</v>
      </c>
      <c r="F38" s="1769"/>
      <c r="G38" s="1130" t="e">
        <f>T38</f>
        <v>#DIV/0!</v>
      </c>
      <c r="H38" s="1769"/>
      <c r="I38" s="1131" t="e">
        <f>V38</f>
        <v>#DIV/0!</v>
      </c>
      <c r="J38" s="1769"/>
      <c r="K38" s="2480">
        <f>F38+H38+J38</f>
        <v>0</v>
      </c>
      <c r="L38" s="3006"/>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6"/>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215.26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4.4">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 thickBot="1">
      <c r="A7" s="301" t="s">
        <v>2201</v>
      </c>
      <c r="B7" s="302"/>
      <c r="C7" s="303">
        <f>'数据-取费表'!B2</f>
        <v>44624</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40" t="s">
        <v>2202</v>
      </c>
      <c r="Q7" s="3648"/>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2" t="s">
        <v>2208</v>
      </c>
      <c r="Q9" s="1297" t="str">
        <f t="shared" ref="Q9:Q14" si="6">B9</f>
        <v>用途</v>
      </c>
      <c r="R9" s="627" t="s">
        <v>25</v>
      </c>
      <c r="S9" s="628">
        <f t="shared" si="0"/>
        <v>100</v>
      </c>
      <c r="T9" s="627" t="s">
        <v>25</v>
      </c>
      <c r="U9" s="628">
        <f t="shared" si="1"/>
        <v>100</v>
      </c>
      <c r="V9" s="627" t="s">
        <v>25</v>
      </c>
      <c r="W9" s="628">
        <f t="shared" si="2"/>
        <v>100</v>
      </c>
      <c r="X9" s="629"/>
      <c r="Y9" s="3651"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2"/>
      <c r="Q11" s="1297">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96.6">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9" t="s">
        <v>2213</v>
      </c>
      <c r="Q14" s="1304" t="str">
        <f t="shared" si="6"/>
        <v>交通便捷度</v>
      </c>
      <c r="R14" s="631" t="s">
        <v>25</v>
      </c>
      <c r="S14" s="632">
        <f t="shared" si="0"/>
        <v>100</v>
      </c>
      <c r="T14" s="631" t="s">
        <v>25</v>
      </c>
      <c r="U14" s="632">
        <f t="shared" si="1"/>
        <v>100</v>
      </c>
      <c r="V14" s="631" t="s">
        <v>25</v>
      </c>
      <c r="W14" s="632">
        <f t="shared" si="2"/>
        <v>100</v>
      </c>
      <c r="X14" s="1305"/>
      <c r="Y14" s="364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50"/>
      <c r="Q15" s="1304"/>
      <c r="R15" s="631"/>
      <c r="S15" s="632"/>
      <c r="T15" s="631"/>
      <c r="U15" s="632"/>
      <c r="V15" s="631"/>
      <c r="W15" s="632"/>
      <c r="X15" s="1305"/>
      <c r="Y15" s="3650"/>
      <c r="Z15" s="1306"/>
      <c r="AA15" s="1307">
        <v>1</v>
      </c>
      <c r="AB15" s="1307">
        <v>1</v>
      </c>
      <c r="AC15" s="1307">
        <v>1</v>
      </c>
    </row>
    <row r="16" spans="1:29" ht="41.4">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50"/>
      <c r="Q16" s="1304" t="str">
        <f>B16</f>
        <v>公共配套设施</v>
      </c>
      <c r="R16" s="631" t="s">
        <v>25</v>
      </c>
      <c r="S16" s="632">
        <f>F16</f>
        <v>100</v>
      </c>
      <c r="T16" s="631" t="s">
        <v>25</v>
      </c>
      <c r="U16" s="632">
        <f>H16</f>
        <v>100</v>
      </c>
      <c r="V16" s="631" t="s">
        <v>25</v>
      </c>
      <c r="W16" s="632">
        <f>J16</f>
        <v>100</v>
      </c>
      <c r="X16" s="1305"/>
      <c r="Y16" s="365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50"/>
      <c r="Q17" s="1304"/>
      <c r="R17" s="631"/>
      <c r="S17" s="632"/>
      <c r="T17" s="631"/>
      <c r="U17" s="632"/>
      <c r="V17" s="631"/>
      <c r="W17" s="632"/>
      <c r="X17" s="1305"/>
      <c r="Y17" s="3650"/>
      <c r="Z17" s="1306"/>
      <c r="AA17" s="1307">
        <v>1</v>
      </c>
      <c r="AB17" s="1307">
        <v>1</v>
      </c>
      <c r="AC17" s="1307">
        <v>1</v>
      </c>
    </row>
    <row r="18" spans="1:29" ht="41.4">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50"/>
      <c r="Q18" s="1304" t="str">
        <f>B18</f>
        <v>基础设施水平</v>
      </c>
      <c r="R18" s="631" t="s">
        <v>25</v>
      </c>
      <c r="S18" s="632">
        <f>F18</f>
        <v>100</v>
      </c>
      <c r="T18" s="631" t="s">
        <v>25</v>
      </c>
      <c r="U18" s="632">
        <f>H18</f>
        <v>100</v>
      </c>
      <c r="V18" s="631" t="s">
        <v>25</v>
      </c>
      <c r="W18" s="632">
        <f>J18</f>
        <v>100</v>
      </c>
      <c r="X18" s="1305"/>
      <c r="Y18" s="365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50"/>
      <c r="Q19" s="1304"/>
      <c r="R19" s="631"/>
      <c r="S19" s="632"/>
      <c r="T19" s="631"/>
      <c r="U19" s="632"/>
      <c r="V19" s="631"/>
      <c r="W19" s="632"/>
      <c r="X19" s="1305"/>
      <c r="Y19" s="3650"/>
      <c r="Z19" s="1306"/>
      <c r="AA19" s="1307">
        <v>1</v>
      </c>
      <c r="AB19" s="1307">
        <v>1</v>
      </c>
      <c r="AC19" s="1307">
        <v>1</v>
      </c>
    </row>
    <row r="20" spans="1:29" ht="55.2">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50"/>
      <c r="Q20" s="1304" t="str">
        <f>B20</f>
        <v>自然及人文环境</v>
      </c>
      <c r="R20" s="631" t="s">
        <v>25</v>
      </c>
      <c r="S20" s="632">
        <f>F20</f>
        <v>100</v>
      </c>
      <c r="T20" s="631" t="s">
        <v>25</v>
      </c>
      <c r="U20" s="632">
        <f>H20</f>
        <v>100</v>
      </c>
      <c r="V20" s="631" t="s">
        <v>25</v>
      </c>
      <c r="W20" s="632">
        <f>J20</f>
        <v>100</v>
      </c>
      <c r="X20" s="1305"/>
      <c r="Y20" s="365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50"/>
      <c r="Q21" s="1304"/>
      <c r="R21" s="631"/>
      <c r="S21" s="632"/>
      <c r="T21" s="631"/>
      <c r="U21" s="632"/>
      <c r="V21" s="631"/>
      <c r="W21" s="632"/>
      <c r="X21" s="1305"/>
      <c r="Y21" s="365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50"/>
      <c r="Q22" s="1304" t="str">
        <f>B22</f>
        <v>楼层</v>
      </c>
      <c r="R22" s="631" t="s">
        <v>25</v>
      </c>
      <c r="S22" s="632">
        <f>F22</f>
        <v>100</v>
      </c>
      <c r="T22" s="631" t="s">
        <v>25</v>
      </c>
      <c r="U22" s="632">
        <f>H22</f>
        <v>100</v>
      </c>
      <c r="V22" s="631" t="s">
        <v>25</v>
      </c>
      <c r="W22" s="632">
        <f>J22</f>
        <v>100</v>
      </c>
      <c r="X22" s="1305"/>
      <c r="Y22" s="365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50"/>
      <c r="Q23" s="1304">
        <f>B23</f>
        <v>111</v>
      </c>
      <c r="R23" s="631" t="s">
        <v>25</v>
      </c>
      <c r="S23" s="632">
        <f>F23</f>
        <v>100</v>
      </c>
      <c r="T23" s="631" t="s">
        <v>25</v>
      </c>
      <c r="U23" s="632">
        <f>H23</f>
        <v>100</v>
      </c>
      <c r="V23" s="631" t="s">
        <v>25</v>
      </c>
      <c r="W23" s="632">
        <f>J23</f>
        <v>100</v>
      </c>
      <c r="X23" s="1305"/>
      <c r="Y23" s="365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50"/>
      <c r="Q24" s="1304">
        <f t="shared" ref="Q24:Q34" si="11">B24</f>
        <v>111</v>
      </c>
      <c r="R24" s="631" t="s">
        <v>25</v>
      </c>
      <c r="S24" s="632">
        <f>F24</f>
        <v>100</v>
      </c>
      <c r="T24" s="631" t="s">
        <v>25</v>
      </c>
      <c r="U24" s="632">
        <f>H24</f>
        <v>100</v>
      </c>
      <c r="V24" s="631" t="s">
        <v>25</v>
      </c>
      <c r="W24" s="632">
        <f>J24</f>
        <v>100</v>
      </c>
      <c r="X24" s="1305"/>
      <c r="Y24" s="3650"/>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50"/>
      <c r="Q25" s="1297">
        <f t="shared" si="11"/>
        <v>111</v>
      </c>
      <c r="R25" s="627" t="s">
        <v>25</v>
      </c>
      <c r="S25" s="628">
        <f>F25</f>
        <v>100</v>
      </c>
      <c r="T25" s="627" t="s">
        <v>25</v>
      </c>
      <c r="U25" s="628">
        <f>H25</f>
        <v>100</v>
      </c>
      <c r="V25" s="627" t="s">
        <v>25</v>
      </c>
      <c r="W25" s="628">
        <f>J25</f>
        <v>100</v>
      </c>
      <c r="X25" s="629"/>
      <c r="Y25" s="3650"/>
      <c r="Z25" s="19">
        <f>Q25</f>
        <v>111</v>
      </c>
      <c r="AA25" s="1307">
        <f>D25/F25</f>
        <v>1</v>
      </c>
      <c r="AB25" s="1307">
        <f>D25/H25</f>
        <v>1</v>
      </c>
      <c r="AC25" s="1307">
        <f>D25/J25</f>
        <v>1</v>
      </c>
    </row>
    <row r="26" spans="1:29" ht="30">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3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8"/>
      <c r="Q28" s="1304" t="str">
        <f t="shared" si="11"/>
        <v>物业等级</v>
      </c>
      <c r="R28" s="631" t="s">
        <v>25</v>
      </c>
      <c r="S28" s="632">
        <f t="shared" si="12"/>
        <v>100</v>
      </c>
      <c r="T28" s="631" t="s">
        <v>25</v>
      </c>
      <c r="U28" s="632">
        <f t="shared" si="13"/>
        <v>100</v>
      </c>
      <c r="V28" s="631" t="s">
        <v>25</v>
      </c>
      <c r="W28" s="632">
        <f t="shared" si="14"/>
        <v>100</v>
      </c>
      <c r="X28" s="1305"/>
      <c r="Y28" s="363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8"/>
      <c r="Q29" s="1304" t="str">
        <f t="shared" si="11"/>
        <v>有无电梯</v>
      </c>
      <c r="R29" s="631" t="s">
        <v>25</v>
      </c>
      <c r="S29" s="632">
        <f t="shared" si="12"/>
        <v>100</v>
      </c>
      <c r="T29" s="631" t="s">
        <v>25</v>
      </c>
      <c r="U29" s="632">
        <f t="shared" si="13"/>
        <v>100</v>
      </c>
      <c r="V29" s="631" t="s">
        <v>25</v>
      </c>
      <c r="W29" s="632">
        <f t="shared" si="14"/>
        <v>100</v>
      </c>
      <c r="X29" s="1305"/>
      <c r="Y29" s="363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8"/>
      <c r="Q30" s="1304" t="str">
        <f t="shared" si="11"/>
        <v>建筑面积</v>
      </c>
      <c r="R30" s="631" t="s">
        <v>25</v>
      </c>
      <c r="S30" s="632" t="e">
        <f t="shared" si="12"/>
        <v>#N/A</v>
      </c>
      <c r="T30" s="631" t="s">
        <v>25</v>
      </c>
      <c r="U30" s="632" t="e">
        <f t="shared" si="13"/>
        <v>#N/A</v>
      </c>
      <c r="V30" s="631" t="s">
        <v>25</v>
      </c>
      <c r="W30" s="632" t="e">
        <f t="shared" si="14"/>
        <v>#N/A</v>
      </c>
      <c r="X30" s="1305"/>
      <c r="Y30" s="363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8"/>
      <c r="Q31" s="1297"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8" t="s">
        <v>2219</v>
      </c>
      <c r="Q32" s="1304">
        <f t="shared" si="11"/>
        <v>111</v>
      </c>
      <c r="R32" s="631" t="s">
        <v>25</v>
      </c>
      <c r="S32" s="632">
        <f t="shared" si="12"/>
        <v>100</v>
      </c>
      <c r="T32" s="631" t="s">
        <v>25</v>
      </c>
      <c r="U32" s="632">
        <f t="shared" si="13"/>
        <v>100</v>
      </c>
      <c r="V32" s="631" t="s">
        <v>25</v>
      </c>
      <c r="W32" s="632">
        <f t="shared" si="14"/>
        <v>100</v>
      </c>
      <c r="X32" s="1305"/>
      <c r="Y32" s="363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8"/>
      <c r="Q33" s="1304">
        <f t="shared" si="11"/>
        <v>111</v>
      </c>
      <c r="R33" s="631" t="s">
        <v>25</v>
      </c>
      <c r="S33" s="632">
        <f t="shared" si="12"/>
        <v>100</v>
      </c>
      <c r="T33" s="631" t="s">
        <v>25</v>
      </c>
      <c r="U33" s="632">
        <f t="shared" si="13"/>
        <v>100</v>
      </c>
      <c r="V33" s="631" t="s">
        <v>25</v>
      </c>
      <c r="W33" s="632">
        <f t="shared" si="14"/>
        <v>100</v>
      </c>
      <c r="X33" s="1305"/>
      <c r="Y33" s="3638"/>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38"/>
      <c r="Q34" s="1304">
        <f t="shared" si="11"/>
        <v>111</v>
      </c>
      <c r="R34" s="631" t="s">
        <v>25</v>
      </c>
      <c r="S34" s="632">
        <f t="shared" si="12"/>
        <v>100</v>
      </c>
      <c r="T34" s="631" t="s">
        <v>25</v>
      </c>
      <c r="U34" s="632">
        <f t="shared" si="13"/>
        <v>100</v>
      </c>
      <c r="V34" s="631" t="s">
        <v>25</v>
      </c>
      <c r="W34" s="632">
        <f t="shared" si="14"/>
        <v>100</v>
      </c>
      <c r="X34" s="1305"/>
      <c r="Y34" s="3638"/>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6"/>
      <c r="N35" s="2995"/>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 thickBot="1">
      <c r="A36" s="374" t="s">
        <v>2314</v>
      </c>
      <c r="B36" s="375"/>
      <c r="C36" s="1130" t="e">
        <f>R37</f>
        <v>#DIV/0!</v>
      </c>
      <c r="D36" s="1767" t="s">
        <v>2687</v>
      </c>
      <c r="E36" s="1131" t="e">
        <f>R36</f>
        <v>#DIV/0!</v>
      </c>
      <c r="F36" s="1769"/>
      <c r="G36" s="1130" t="e">
        <f>T36</f>
        <v>#DIV/0!</v>
      </c>
      <c r="H36" s="1769"/>
      <c r="I36" s="1131" t="e">
        <f>V36</f>
        <v>#DIV/0!</v>
      </c>
      <c r="J36" s="1769"/>
      <c r="K36" s="2480">
        <f>F36+H36+J36</f>
        <v>0</v>
      </c>
      <c r="L36" s="3006"/>
      <c r="N36" s="2995"/>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6"/>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2.2" thickBot="1">
      <c r="A45" s="620" t="s">
        <v>2319</v>
      </c>
      <c r="B45" s="618"/>
      <c r="C45" s="621"/>
      <c r="D45" s="621"/>
      <c r="E45" s="621"/>
      <c r="F45" s="622"/>
      <c r="G45" s="622"/>
      <c r="H45" s="621"/>
      <c r="I45" s="621"/>
      <c r="J45" s="621"/>
      <c r="K45" s="623"/>
      <c r="L45" s="624"/>
      <c r="M45" s="621"/>
      <c r="N45" s="3012"/>
      <c r="O45" s="3012"/>
      <c r="P45" s="389"/>
      <c r="Q45" s="390"/>
    </row>
    <row r="46" spans="1:29" s="394" customFormat="1" ht="14.4">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4.4">
      <c r="A4" s="1633" t="s">
        <v>2188</v>
      </c>
      <c r="B4" s="1634"/>
      <c r="C4" s="3615" t="s">
        <v>2189</v>
      </c>
      <c r="D4" s="3616"/>
      <c r="E4" s="3617" t="s">
        <v>2190</v>
      </c>
      <c r="F4" s="3618"/>
      <c r="G4" s="3615" t="s">
        <v>2191</v>
      </c>
      <c r="H4" s="3616"/>
      <c r="I4" s="3615" t="s">
        <v>2192</v>
      </c>
      <c r="J4" s="3616"/>
      <c r="K4" s="1936" t="s">
        <v>2193</v>
      </c>
      <c r="L4" s="2966"/>
      <c r="M4" s="2967"/>
      <c r="N4" s="2967"/>
      <c r="O4" s="2967"/>
      <c r="P4" s="3619" t="s">
        <v>2194</v>
      </c>
      <c r="Q4" s="3620"/>
      <c r="R4" s="3604" t="s">
        <v>2190</v>
      </c>
      <c r="S4" s="3605"/>
      <c r="T4" s="3604" t="s">
        <v>2191</v>
      </c>
      <c r="U4" s="3605"/>
      <c r="V4" s="3625" t="s">
        <v>2192</v>
      </c>
      <c r="W4" s="3625"/>
      <c r="X4" s="1636"/>
      <c r="Y4" s="3604" t="s">
        <v>2194</v>
      </c>
      <c r="Z4" s="3605"/>
      <c r="AA4" s="3612" t="s">
        <v>2190</v>
      </c>
      <c r="AB4" s="3613" t="s">
        <v>2191</v>
      </c>
      <c r="AC4" s="3612" t="s">
        <v>2192</v>
      </c>
    </row>
    <row r="5" spans="1:30">
      <c r="A5" s="1638"/>
      <c r="B5" s="1639"/>
      <c r="C5" s="3600" t="s">
        <v>2195</v>
      </c>
      <c r="D5" s="3601"/>
      <c r="E5" s="3626" t="s">
        <v>2196</v>
      </c>
      <c r="F5" s="3627"/>
      <c r="G5" s="3600" t="s">
        <v>2197</v>
      </c>
      <c r="H5" s="3601"/>
      <c r="I5" s="3600" t="s">
        <v>2198</v>
      </c>
      <c r="J5" s="3601"/>
      <c r="K5" s="1936"/>
      <c r="L5" s="2966"/>
      <c r="M5" s="2967"/>
      <c r="N5" s="2967"/>
      <c r="O5" s="2967"/>
      <c r="P5" s="3621"/>
      <c r="Q5" s="3622"/>
      <c r="R5" s="3606"/>
      <c r="S5" s="3607"/>
      <c r="T5" s="3606"/>
      <c r="U5" s="3607"/>
      <c r="V5" s="3625"/>
      <c r="W5" s="3625"/>
      <c r="X5" s="1636"/>
      <c r="Y5" s="3606"/>
      <c r="Z5" s="3607"/>
      <c r="AA5" s="3613"/>
      <c r="AB5" s="3613"/>
      <c r="AC5" s="3613"/>
    </row>
    <row r="6" spans="1:30" ht="15" thickBot="1">
      <c r="A6" s="1641"/>
      <c r="B6" s="1642"/>
      <c r="C6" s="3598" t="s">
        <v>2199</v>
      </c>
      <c r="D6" s="3599"/>
      <c r="E6" s="3628" t="s">
        <v>2199</v>
      </c>
      <c r="F6" s="3629"/>
      <c r="G6" s="3598" t="s">
        <v>2199</v>
      </c>
      <c r="H6" s="3599"/>
      <c r="I6" s="3598" t="s">
        <v>2199</v>
      </c>
      <c r="J6" s="3599"/>
      <c r="K6" s="1936" t="s">
        <v>2200</v>
      </c>
      <c r="L6" s="2966"/>
      <c r="M6" s="2967"/>
      <c r="N6" s="2967"/>
      <c r="O6" s="2967"/>
      <c r="P6" s="3623"/>
      <c r="Q6" s="3624"/>
      <c r="R6" s="3606"/>
      <c r="S6" s="3607"/>
      <c r="T6" s="3608"/>
      <c r="U6" s="3609"/>
      <c r="V6" s="3625"/>
      <c r="W6" s="3625"/>
      <c r="X6" s="1636"/>
      <c r="Y6" s="3608"/>
      <c r="Z6" s="3609"/>
      <c r="AA6" s="3614"/>
      <c r="AB6" s="3614"/>
      <c r="AC6" s="3614"/>
    </row>
    <row r="7" spans="1:30" s="1655" customFormat="1" ht="15" thickBot="1">
      <c r="A7" s="1643" t="s">
        <v>2201</v>
      </c>
      <c r="B7" s="1644"/>
      <c r="C7" s="1645">
        <f>'数据-取费表'!B2</f>
        <v>44624</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02" t="s">
        <v>2202</v>
      </c>
      <c r="Q7" s="3610"/>
      <c r="R7" s="1651" t="s">
        <v>25</v>
      </c>
      <c r="S7" s="1652">
        <f t="shared" ref="S7:S15" si="0">F7</f>
        <v>0</v>
      </c>
      <c r="T7" s="1651" t="s">
        <v>25</v>
      </c>
      <c r="U7" s="1652">
        <f t="shared" ref="U7:U15" si="1">H7</f>
        <v>0</v>
      </c>
      <c r="V7" s="1651" t="s">
        <v>25</v>
      </c>
      <c r="W7" s="1652">
        <f t="shared" ref="W7:W15" si="2">J7</f>
        <v>0</v>
      </c>
      <c r="X7" s="1653"/>
      <c r="Y7" s="3602" t="s">
        <v>2202</v>
      </c>
      <c r="Z7" s="3603"/>
      <c r="AA7" s="1654" t="e">
        <f>D7/F7</f>
        <v>#DIV/0!</v>
      </c>
      <c r="AB7" s="1654" t="e">
        <f>D7/H7</f>
        <v>#DIV/0!</v>
      </c>
      <c r="AC7" s="1654" t="e">
        <f>D7/J7</f>
        <v>#DIV/0!</v>
      </c>
    </row>
    <row r="8" spans="1:30" s="1655" customFormat="1" ht="1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02" t="s">
        <v>2205</v>
      </c>
      <c r="Q8" s="3603"/>
      <c r="R8" s="1651" t="s">
        <v>25</v>
      </c>
      <c r="S8" s="1652">
        <f t="shared" si="0"/>
        <v>0</v>
      </c>
      <c r="T8" s="1651" t="s">
        <v>25</v>
      </c>
      <c r="U8" s="1652">
        <f t="shared" si="1"/>
        <v>0</v>
      </c>
      <c r="V8" s="1651" t="s">
        <v>25</v>
      </c>
      <c r="W8" s="1652">
        <f t="shared" si="2"/>
        <v>0</v>
      </c>
      <c r="X8" s="1653"/>
      <c r="Y8" s="3602" t="s">
        <v>2205</v>
      </c>
      <c r="Z8" s="3603"/>
      <c r="AA8" s="1654" t="e">
        <f t="shared" ref="AA8:AA45" si="3">D8/F8</f>
        <v>#DIV/0!</v>
      </c>
      <c r="AB8" s="1654" t="e">
        <f t="shared" ref="AB8:AB45" si="4">D8/H8</f>
        <v>#DIV/0!</v>
      </c>
      <c r="AC8" s="1654" t="e">
        <f t="shared" ref="AC8:AC45" si="5">D8/J8</f>
        <v>#DIV/0!</v>
      </c>
    </row>
    <row r="9" spans="1:30" s="1655" customFormat="1" ht="14.4">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588"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8.8">
      <c r="A10" s="1665"/>
      <c r="B10" s="1666" t="s">
        <v>2210</v>
      </c>
      <c r="C10" s="1678"/>
      <c r="D10" s="1668">
        <v>100</v>
      </c>
      <c r="E10" s="1730"/>
      <c r="F10" s="1668">
        <f>ROUND(100/'数据-取费表'!B14,0)</f>
        <v>134</v>
      </c>
      <c r="G10" s="1728"/>
      <c r="H10" s="1668">
        <f>ROUND(100/'数据-取费表'!B14,0)</f>
        <v>134</v>
      </c>
      <c r="I10" s="1728"/>
      <c r="J10" s="1668">
        <f>ROUND(100/'数据-取费表'!B14,0)</f>
        <v>134</v>
      </c>
      <c r="K10" s="1940"/>
      <c r="L10" s="2968"/>
      <c r="M10" s="2969"/>
      <c r="N10" s="2969"/>
      <c r="O10" s="3014"/>
      <c r="P10" s="3588"/>
      <c r="Q10" s="1605" t="str">
        <f t="shared" si="6"/>
        <v>土地使用年限（年）</v>
      </c>
      <c r="R10" s="1651" t="s">
        <v>25</v>
      </c>
      <c r="S10" s="1652">
        <f t="shared" si="0"/>
        <v>134</v>
      </c>
      <c r="T10" s="1651" t="s">
        <v>25</v>
      </c>
      <c r="U10" s="1652">
        <f t="shared" si="1"/>
        <v>134</v>
      </c>
      <c r="V10" s="1651" t="s">
        <v>25</v>
      </c>
      <c r="W10" s="1652">
        <f t="shared" si="2"/>
        <v>134</v>
      </c>
      <c r="X10" s="1653"/>
      <c r="Y10" s="3448"/>
      <c r="Z10" s="1664" t="str">
        <f t="shared" si="7"/>
        <v>土地使用年限（年）</v>
      </c>
      <c r="AA10" s="1654">
        <f t="shared" si="3"/>
        <v>0.74626865671641796</v>
      </c>
      <c r="AB10" s="1654">
        <f t="shared" si="4"/>
        <v>0.74626865671641796</v>
      </c>
      <c r="AC10" s="1654">
        <f t="shared" si="5"/>
        <v>0.74626865671641796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588"/>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588"/>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588"/>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588"/>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6.6">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591" t="s">
        <v>2213</v>
      </c>
      <c r="Q15" s="1586" t="str">
        <f t="shared" si="6"/>
        <v>居住社区成熟度</v>
      </c>
      <c r="R15" s="1696" t="s">
        <v>25</v>
      </c>
      <c r="S15" s="1697">
        <f t="shared" si="0"/>
        <v>100</v>
      </c>
      <c r="T15" s="1696" t="s">
        <v>25</v>
      </c>
      <c r="U15" s="1697">
        <f t="shared" si="1"/>
        <v>100</v>
      </c>
      <c r="V15" s="1696" t="s">
        <v>25</v>
      </c>
      <c r="W15" s="1697">
        <f t="shared" si="2"/>
        <v>100</v>
      </c>
      <c r="X15" s="1636"/>
      <c r="Y15" s="3591"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592"/>
      <c r="Q16" s="1586"/>
      <c r="R16" s="1696"/>
      <c r="S16" s="1697"/>
      <c r="T16" s="1696"/>
      <c r="U16" s="1697"/>
      <c r="V16" s="1696"/>
      <c r="W16" s="1697"/>
      <c r="X16" s="1636"/>
      <c r="Y16" s="3592"/>
      <c r="Z16" s="1698"/>
      <c r="AA16" s="1699">
        <v>1</v>
      </c>
      <c r="AB16" s="1699">
        <v>1</v>
      </c>
      <c r="AC16" s="1699">
        <v>1</v>
      </c>
    </row>
    <row r="17" spans="1:29" ht="82.8">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592"/>
      <c r="Q17" s="1586" t="str">
        <f>B17</f>
        <v>商业繁华度</v>
      </c>
      <c r="R17" s="1696" t="s">
        <v>25</v>
      </c>
      <c r="S17" s="1697">
        <f>F17</f>
        <v>100</v>
      </c>
      <c r="T17" s="1696" t="s">
        <v>25</v>
      </c>
      <c r="U17" s="1697">
        <f>H17</f>
        <v>100</v>
      </c>
      <c r="V17" s="1696" t="s">
        <v>25</v>
      </c>
      <c r="W17" s="1697">
        <f>J17</f>
        <v>100</v>
      </c>
      <c r="X17" s="1636"/>
      <c r="Y17" s="359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592"/>
      <c r="Q18" s="1586"/>
      <c r="R18" s="1696"/>
      <c r="S18" s="1697"/>
      <c r="T18" s="1696"/>
      <c r="U18" s="1697"/>
      <c r="V18" s="1696"/>
      <c r="W18" s="1697"/>
      <c r="X18" s="1636"/>
      <c r="Y18" s="3592"/>
      <c r="Z18" s="1698"/>
      <c r="AA18" s="1699">
        <v>1</v>
      </c>
      <c r="AB18" s="1699">
        <v>1</v>
      </c>
      <c r="AC18" s="1699">
        <v>1</v>
      </c>
    </row>
    <row r="19" spans="1:29" ht="82.8">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592"/>
      <c r="Q19" s="1586" t="str">
        <f>B19</f>
        <v>办公集聚程度</v>
      </c>
      <c r="R19" s="1696" t="s">
        <v>25</v>
      </c>
      <c r="S19" s="1697">
        <f>F19</f>
        <v>100</v>
      </c>
      <c r="T19" s="1696" t="s">
        <v>25</v>
      </c>
      <c r="U19" s="1697">
        <f>H19</f>
        <v>100</v>
      </c>
      <c r="V19" s="1696" t="s">
        <v>25</v>
      </c>
      <c r="W19" s="1697">
        <f>J19</f>
        <v>100</v>
      </c>
      <c r="X19" s="1636"/>
      <c r="Y19" s="359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592"/>
      <c r="Q20" s="1586"/>
      <c r="R20" s="1696"/>
      <c r="S20" s="1697"/>
      <c r="T20" s="1696"/>
      <c r="U20" s="1697"/>
      <c r="V20" s="1696"/>
      <c r="W20" s="1697"/>
      <c r="X20" s="1636"/>
      <c r="Y20" s="3592"/>
      <c r="Z20" s="1698"/>
      <c r="AA20" s="1699">
        <v>1</v>
      </c>
      <c r="AB20" s="1699">
        <v>1</v>
      </c>
      <c r="AC20" s="1699">
        <v>1</v>
      </c>
    </row>
    <row r="21" spans="1:29" ht="96.6">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592"/>
      <c r="Q21" s="1586" t="str">
        <f>B21</f>
        <v>交通便捷度</v>
      </c>
      <c r="R21" s="1696" t="s">
        <v>25</v>
      </c>
      <c r="S21" s="1697">
        <f>F21</f>
        <v>100</v>
      </c>
      <c r="T21" s="1696" t="s">
        <v>25</v>
      </c>
      <c r="U21" s="1697">
        <f>H21</f>
        <v>100</v>
      </c>
      <c r="V21" s="1696" t="s">
        <v>25</v>
      </c>
      <c r="W21" s="1697">
        <f>J21</f>
        <v>100</v>
      </c>
      <c r="X21" s="1636"/>
      <c r="Y21" s="359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592"/>
      <c r="Q22" s="1586"/>
      <c r="R22" s="1696"/>
      <c r="S22" s="1697"/>
      <c r="T22" s="1696"/>
      <c r="U22" s="1697"/>
      <c r="V22" s="1696"/>
      <c r="W22" s="1697"/>
      <c r="X22" s="1636"/>
      <c r="Y22" s="3592"/>
      <c r="Z22" s="1698"/>
      <c r="AA22" s="1699">
        <v>1</v>
      </c>
      <c r="AB22" s="1699">
        <v>1</v>
      </c>
      <c r="AC22" s="1699">
        <v>1</v>
      </c>
    </row>
    <row r="23" spans="1:29" ht="28.8">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592"/>
      <c r="Q23" s="1586" t="str">
        <f t="shared" ref="Q23:Q37" si="8">B23</f>
        <v>区域土地利用方向</v>
      </c>
      <c r="R23" s="1696" t="s">
        <v>25</v>
      </c>
      <c r="S23" s="1697">
        <f>F23</f>
        <v>100</v>
      </c>
      <c r="T23" s="1696" t="s">
        <v>25</v>
      </c>
      <c r="U23" s="1697">
        <f>H23</f>
        <v>100</v>
      </c>
      <c r="V23" s="1696" t="s">
        <v>25</v>
      </c>
      <c r="W23" s="1697">
        <f>J23</f>
        <v>100</v>
      </c>
      <c r="X23" s="1636"/>
      <c r="Y23" s="359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592"/>
      <c r="Q24" s="1586"/>
      <c r="R24" s="1696"/>
      <c r="S24" s="1697"/>
      <c r="T24" s="1696"/>
      <c r="U24" s="1697"/>
      <c r="V24" s="1696"/>
      <c r="W24" s="1697"/>
      <c r="X24" s="1636"/>
      <c r="Y24" s="3592"/>
      <c r="Z24" s="1698"/>
      <c r="AA24" s="1699"/>
      <c r="AB24" s="1699"/>
      <c r="AC24" s="1699"/>
    </row>
    <row r="25" spans="1:29" ht="55.2">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592"/>
      <c r="Q25" s="1586" t="str">
        <f t="shared" si="8"/>
        <v>自然及人文环境状况</v>
      </c>
      <c r="R25" s="1696" t="s">
        <v>25</v>
      </c>
      <c r="S25" s="1697">
        <f>F25</f>
        <v>100</v>
      </c>
      <c r="T25" s="1696" t="s">
        <v>25</v>
      </c>
      <c r="U25" s="1697">
        <f>H25</f>
        <v>100</v>
      </c>
      <c r="V25" s="1696" t="s">
        <v>25</v>
      </c>
      <c r="W25" s="1697">
        <f>J25</f>
        <v>100</v>
      </c>
      <c r="X25" s="1636"/>
      <c r="Y25" s="359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592"/>
      <c r="Q26" s="1586"/>
      <c r="R26" s="1696"/>
      <c r="S26" s="1697"/>
      <c r="T26" s="1696"/>
      <c r="U26" s="1697"/>
      <c r="V26" s="1696"/>
      <c r="W26" s="1697"/>
      <c r="X26" s="1636"/>
      <c r="Y26" s="3592"/>
      <c r="Z26" s="1698"/>
      <c r="AA26" s="1699">
        <v>1</v>
      </c>
      <c r="AB26" s="1699">
        <v>1</v>
      </c>
      <c r="AC26" s="1699">
        <v>1</v>
      </c>
    </row>
    <row r="27" spans="1:29" ht="41.4">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592"/>
      <c r="Q27" s="1605" t="str">
        <f t="shared" ref="Q27" si="9">B27</f>
        <v>公共配套设施</v>
      </c>
      <c r="R27" s="1651" t="s">
        <v>25</v>
      </c>
      <c r="S27" s="1652">
        <f>F27</f>
        <v>100</v>
      </c>
      <c r="T27" s="1651" t="s">
        <v>25</v>
      </c>
      <c r="U27" s="1652">
        <f>H27</f>
        <v>100</v>
      </c>
      <c r="V27" s="1651" t="s">
        <v>25</v>
      </c>
      <c r="W27" s="1652">
        <f>J27</f>
        <v>100</v>
      </c>
      <c r="X27" s="1636"/>
      <c r="Y27" s="359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592"/>
      <c r="Q28" s="1586"/>
      <c r="R28" s="1696"/>
      <c r="S28" s="1697"/>
      <c r="T28" s="1696"/>
      <c r="U28" s="1697"/>
      <c r="V28" s="1696"/>
      <c r="W28" s="1697"/>
      <c r="X28" s="1636"/>
      <c r="Y28" s="3592"/>
      <c r="Z28" s="1664"/>
      <c r="AA28" s="1699">
        <v>1</v>
      </c>
      <c r="AB28" s="1699">
        <v>1</v>
      </c>
      <c r="AC28" s="1699">
        <v>1</v>
      </c>
    </row>
    <row r="29" spans="1:29" s="1655" customFormat="1" ht="41.4">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592"/>
      <c r="Q29" s="1605" t="str">
        <f t="shared" si="8"/>
        <v>基础设施水平</v>
      </c>
      <c r="R29" s="1651" t="s">
        <v>25</v>
      </c>
      <c r="S29" s="1652">
        <f>F29</f>
        <v>100</v>
      </c>
      <c r="T29" s="1651" t="s">
        <v>25</v>
      </c>
      <c r="U29" s="1652">
        <f>H29</f>
        <v>100</v>
      </c>
      <c r="V29" s="1651" t="s">
        <v>25</v>
      </c>
      <c r="W29" s="1652">
        <f>J29</f>
        <v>100</v>
      </c>
      <c r="X29" s="1653"/>
      <c r="Y29" s="359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592"/>
      <c r="Q30" s="1605"/>
      <c r="R30" s="1651"/>
      <c r="S30" s="1652"/>
      <c r="T30" s="1651"/>
      <c r="U30" s="1652"/>
      <c r="V30" s="1651"/>
      <c r="W30" s="1652"/>
      <c r="X30" s="1653"/>
      <c r="Y30" s="3592"/>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59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2"/>
      <c r="Z31" s="1698" t="str">
        <f t="shared" ref="Z31:Z45" si="13">Q31</f>
        <v>临街状况</v>
      </c>
      <c r="AA31" s="1699">
        <f t="shared" si="3"/>
        <v>1</v>
      </c>
      <c r="AB31" s="1699">
        <f t="shared" si="4"/>
        <v>1</v>
      </c>
      <c r="AC31" s="1699">
        <f t="shared" si="5"/>
        <v>1</v>
      </c>
    </row>
    <row r="32" spans="1:29" ht="28.8">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592"/>
      <c r="Q32" s="1586" t="str">
        <f t="shared" si="8"/>
        <v>毗邻道路的类型与等级</v>
      </c>
      <c r="R32" s="1696" t="s">
        <v>25</v>
      </c>
      <c r="S32" s="1697">
        <f t="shared" si="10"/>
        <v>100</v>
      </c>
      <c r="T32" s="1696" t="s">
        <v>25</v>
      </c>
      <c r="U32" s="1697">
        <f t="shared" si="11"/>
        <v>100</v>
      </c>
      <c r="V32" s="1696" t="s">
        <v>25</v>
      </c>
      <c r="W32" s="1697">
        <f t="shared" si="12"/>
        <v>100</v>
      </c>
      <c r="X32" s="1636"/>
      <c r="Y32" s="359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592"/>
      <c r="Q33" s="1586"/>
      <c r="R33" s="1696"/>
      <c r="S33" s="1697"/>
      <c r="T33" s="1696"/>
      <c r="U33" s="1697"/>
      <c r="V33" s="1696"/>
      <c r="W33" s="1697"/>
      <c r="X33" s="1636"/>
      <c r="Y33" s="3592"/>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592"/>
      <c r="Q34" s="1586" t="str">
        <f t="shared" si="8"/>
        <v>土地级别</v>
      </c>
      <c r="R34" s="1696" t="s">
        <v>25</v>
      </c>
      <c r="S34" s="1697">
        <f t="shared" si="10"/>
        <v>100</v>
      </c>
      <c r="T34" s="1696" t="s">
        <v>25</v>
      </c>
      <c r="U34" s="1697">
        <f t="shared" si="11"/>
        <v>100</v>
      </c>
      <c r="V34" s="1696" t="s">
        <v>25</v>
      </c>
      <c r="W34" s="1697">
        <f t="shared" si="12"/>
        <v>100</v>
      </c>
      <c r="X34" s="1636"/>
      <c r="Y34" s="359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592"/>
      <c r="Q35" s="1586">
        <f t="shared" si="8"/>
        <v>111</v>
      </c>
      <c r="R35" s="1696" t="s">
        <v>25</v>
      </c>
      <c r="S35" s="1697">
        <f t="shared" si="10"/>
        <v>100</v>
      </c>
      <c r="T35" s="1696" t="s">
        <v>25</v>
      </c>
      <c r="U35" s="1697">
        <f t="shared" si="11"/>
        <v>100</v>
      </c>
      <c r="V35" s="1696" t="s">
        <v>25</v>
      </c>
      <c r="W35" s="1697">
        <f t="shared" si="12"/>
        <v>100</v>
      </c>
      <c r="X35" s="1636"/>
      <c r="Y35" s="359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31" t="s">
        <v>2219</v>
      </c>
      <c r="Q36" s="1586">
        <f t="shared" si="8"/>
        <v>111</v>
      </c>
      <c r="R36" s="1696" t="s">
        <v>25</v>
      </c>
      <c r="S36" s="1697">
        <f t="shared" si="10"/>
        <v>100</v>
      </c>
      <c r="T36" s="1696" t="s">
        <v>25</v>
      </c>
      <c r="U36" s="1697">
        <f t="shared" si="11"/>
        <v>100</v>
      </c>
      <c r="V36" s="1696" t="s">
        <v>25</v>
      </c>
      <c r="W36" s="1697">
        <f t="shared" si="12"/>
        <v>100</v>
      </c>
      <c r="X36" s="1636"/>
      <c r="Y36" s="3596" t="s">
        <v>2219</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596"/>
      <c r="Q37" s="1586">
        <f t="shared" si="8"/>
        <v>111</v>
      </c>
      <c r="R37" s="1738" t="s">
        <v>25</v>
      </c>
      <c r="S37" s="1739">
        <f t="shared" si="10"/>
        <v>100</v>
      </c>
      <c r="T37" s="1738" t="s">
        <v>25</v>
      </c>
      <c r="U37" s="1739">
        <f t="shared" si="11"/>
        <v>100</v>
      </c>
      <c r="V37" s="1738" t="s">
        <v>25</v>
      </c>
      <c r="W37" s="1739">
        <f t="shared" si="12"/>
        <v>100</v>
      </c>
      <c r="X37" s="1740"/>
      <c r="Y37" s="3596"/>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596"/>
      <c r="Q38" s="1586" t="str">
        <f>B38</f>
        <v>宗地面积</v>
      </c>
      <c r="R38" s="1696" t="s">
        <v>25</v>
      </c>
      <c r="S38" s="1697" t="e">
        <f t="shared" si="10"/>
        <v>#N/A</v>
      </c>
      <c r="T38" s="1696" t="s">
        <v>25</v>
      </c>
      <c r="U38" s="1697" t="e">
        <f t="shared" si="11"/>
        <v>#N/A</v>
      </c>
      <c r="V38" s="1696" t="s">
        <v>25</v>
      </c>
      <c r="W38" s="1697" t="e">
        <f t="shared" si="12"/>
        <v>#N/A</v>
      </c>
      <c r="X38" s="1636"/>
      <c r="Y38" s="3596"/>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596"/>
      <c r="Q39" s="1586" t="str">
        <f t="shared" ref="Q39:Q45" si="14">B39</f>
        <v>宗地形状</v>
      </c>
      <c r="R39" s="1696" t="s">
        <v>25</v>
      </c>
      <c r="S39" s="1697">
        <f t="shared" si="10"/>
        <v>100</v>
      </c>
      <c r="T39" s="1696" t="s">
        <v>25</v>
      </c>
      <c r="U39" s="1697">
        <f t="shared" si="11"/>
        <v>100</v>
      </c>
      <c r="V39" s="1696" t="s">
        <v>25</v>
      </c>
      <c r="W39" s="1697">
        <f t="shared" si="12"/>
        <v>100</v>
      </c>
      <c r="X39" s="1636"/>
      <c r="Y39" s="3596"/>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596"/>
      <c r="Q40" s="1586" t="str">
        <f t="shared" si="14"/>
        <v>临街宽度及深度</v>
      </c>
      <c r="R40" s="1696" t="s">
        <v>25</v>
      </c>
      <c r="S40" s="1697">
        <f t="shared" si="10"/>
        <v>100</v>
      </c>
      <c r="T40" s="1696" t="s">
        <v>25</v>
      </c>
      <c r="U40" s="1697">
        <f t="shared" si="11"/>
        <v>100</v>
      </c>
      <c r="V40" s="1696" t="s">
        <v>25</v>
      </c>
      <c r="W40" s="1697">
        <f t="shared" si="12"/>
        <v>100</v>
      </c>
      <c r="X40" s="1636"/>
      <c r="Y40" s="3596"/>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596"/>
      <c r="Q41" s="1586" t="str">
        <f t="shared" si="14"/>
        <v>宗地开发程度</v>
      </c>
      <c r="R41" s="1651" t="s">
        <v>25</v>
      </c>
      <c r="S41" s="1652">
        <f t="shared" si="10"/>
        <v>100</v>
      </c>
      <c r="T41" s="1651" t="s">
        <v>25</v>
      </c>
      <c r="U41" s="1652">
        <f t="shared" si="11"/>
        <v>100</v>
      </c>
      <c r="V41" s="1651" t="s">
        <v>25</v>
      </c>
      <c r="W41" s="1652">
        <f t="shared" si="12"/>
        <v>100</v>
      </c>
      <c r="X41" s="1653"/>
      <c r="Y41" s="3596"/>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596" t="s">
        <v>2219</v>
      </c>
      <c r="Q42" s="1586" t="str">
        <f t="shared" si="14"/>
        <v>工程地质条件</v>
      </c>
      <c r="R42" s="1696" t="s">
        <v>25</v>
      </c>
      <c r="S42" s="1697">
        <f t="shared" si="10"/>
        <v>100</v>
      </c>
      <c r="T42" s="1696" t="s">
        <v>25</v>
      </c>
      <c r="U42" s="1697">
        <f t="shared" si="11"/>
        <v>100</v>
      </c>
      <c r="V42" s="1696" t="s">
        <v>25</v>
      </c>
      <c r="W42" s="1697">
        <f t="shared" si="12"/>
        <v>100</v>
      </c>
      <c r="X42" s="1636"/>
      <c r="Y42" s="3596"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596"/>
      <c r="Q43" s="1586">
        <f t="shared" si="14"/>
        <v>111</v>
      </c>
      <c r="R43" s="1696" t="s">
        <v>25</v>
      </c>
      <c r="S43" s="1697">
        <f t="shared" si="10"/>
        <v>100</v>
      </c>
      <c r="T43" s="1696" t="s">
        <v>25</v>
      </c>
      <c r="U43" s="1697">
        <f t="shared" si="11"/>
        <v>100</v>
      </c>
      <c r="V43" s="1696" t="s">
        <v>25</v>
      </c>
      <c r="W43" s="1697">
        <f t="shared" si="12"/>
        <v>100</v>
      </c>
      <c r="X43" s="1636"/>
      <c r="Y43" s="3596"/>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596"/>
      <c r="Q44" s="1586">
        <f t="shared" si="14"/>
        <v>111</v>
      </c>
      <c r="R44" s="1696" t="s">
        <v>25</v>
      </c>
      <c r="S44" s="1697">
        <f t="shared" si="10"/>
        <v>100</v>
      </c>
      <c r="T44" s="1696" t="s">
        <v>25</v>
      </c>
      <c r="U44" s="1697">
        <f t="shared" si="11"/>
        <v>100</v>
      </c>
      <c r="V44" s="1696" t="s">
        <v>25</v>
      </c>
      <c r="W44" s="1697">
        <f t="shared" si="12"/>
        <v>100</v>
      </c>
      <c r="X44" s="1636"/>
      <c r="Y44" s="3596"/>
      <c r="Z44" s="1698">
        <f t="shared" si="13"/>
        <v>111</v>
      </c>
      <c r="AA44" s="1699">
        <f t="shared" si="3"/>
        <v>1</v>
      </c>
      <c r="AB44" s="1699">
        <f t="shared" si="4"/>
        <v>1</v>
      </c>
      <c r="AC44" s="1699">
        <f t="shared" si="5"/>
        <v>1</v>
      </c>
    </row>
    <row r="45" spans="1:29" s="1742" customFormat="1" ht="15.6"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596"/>
      <c r="Q45" s="1586">
        <f t="shared" si="14"/>
        <v>111</v>
      </c>
      <c r="R45" s="1738" t="s">
        <v>25</v>
      </c>
      <c r="S45" s="1739">
        <f t="shared" si="10"/>
        <v>100</v>
      </c>
      <c r="T45" s="1738" t="s">
        <v>25</v>
      </c>
      <c r="U45" s="1739">
        <f t="shared" si="11"/>
        <v>100</v>
      </c>
      <c r="V45" s="1738" t="s">
        <v>25</v>
      </c>
      <c r="W45" s="1739">
        <f t="shared" si="12"/>
        <v>100</v>
      </c>
      <c r="X45" s="1740"/>
      <c r="Y45" s="3596"/>
      <c r="Z45" s="1741">
        <f t="shared" si="13"/>
        <v>111</v>
      </c>
      <c r="AA45" s="1699">
        <f t="shared" si="3"/>
        <v>1</v>
      </c>
      <c r="AB45" s="1699">
        <f t="shared" si="4"/>
        <v>1</v>
      </c>
      <c r="AC45" s="1699">
        <f t="shared" si="5"/>
        <v>1</v>
      </c>
    </row>
    <row r="46" spans="1:29" ht="14.4">
      <c r="A46" s="1752" t="s">
        <v>2361</v>
      </c>
      <c r="B46" s="1977" t="s">
        <v>2398</v>
      </c>
      <c r="C46" s="1978" t="s">
        <v>1</v>
      </c>
      <c r="D46" s="1979"/>
      <c r="E46" s="1980"/>
      <c r="F46" s="1981"/>
      <c r="G46" s="1982"/>
      <c r="H46" s="1983"/>
      <c r="I46" s="1980"/>
      <c r="J46" s="1983"/>
      <c r="K46" s="1984"/>
      <c r="L46" s="2972"/>
      <c r="N46" s="2967"/>
      <c r="P46" s="3588" t="str">
        <f>A46</f>
        <v>成交单价</v>
      </c>
      <c r="Q46" s="3588"/>
      <c r="R46" s="3625">
        <f>E46</f>
        <v>0</v>
      </c>
      <c r="S46" s="3625"/>
      <c r="T46" s="3625">
        <f>G46</f>
        <v>0</v>
      </c>
      <c r="U46" s="3625"/>
      <c r="V46" s="3625">
        <f>I46</f>
        <v>0</v>
      </c>
      <c r="W46" s="3625"/>
      <c r="X46" s="1762"/>
      <c r="Y46" s="1763"/>
      <c r="Z46" s="1762"/>
      <c r="AA46" s="1762"/>
      <c r="AB46" s="1762"/>
      <c r="AC46" s="1762"/>
    </row>
    <row r="47" spans="1:29" ht="15" thickBot="1">
      <c r="A47" s="1764" t="s">
        <v>2314</v>
      </c>
      <c r="B47" s="1985"/>
      <c r="C47" s="1986" t="e">
        <f>R48</f>
        <v>#DIV/0!</v>
      </c>
      <c r="D47" s="1767" t="s">
        <v>2687</v>
      </c>
      <c r="E47" s="1986" t="e">
        <f>R47</f>
        <v>#DIV/0!</v>
      </c>
      <c r="F47" s="1769"/>
      <c r="G47" s="1987" t="e">
        <f>T47</f>
        <v>#DIV/0!</v>
      </c>
      <c r="H47" s="1769"/>
      <c r="I47" s="1986" t="e">
        <f>V47</f>
        <v>#DIV/0!</v>
      </c>
      <c r="J47" s="1769"/>
      <c r="K47" s="2480">
        <f>F47+H47+J47</f>
        <v>0</v>
      </c>
      <c r="L47" s="2972"/>
      <c r="P47" s="3588" t="str">
        <f>A47</f>
        <v>比较价值（元/平方米）</v>
      </c>
      <c r="Q47" s="3588"/>
      <c r="R47" s="3674" t="e">
        <f>ROUND(PRODUCT(R46,AA7:AA45),0)</f>
        <v>#DIV/0!</v>
      </c>
      <c r="S47" s="3674"/>
      <c r="T47" s="3674" t="e">
        <f>ROUND(PRODUCT(T46,AB7:AB45),0)</f>
        <v>#DIV/0!</v>
      </c>
      <c r="U47" s="3674"/>
      <c r="V47" s="3674" t="e">
        <f>ROUND(PRODUCT(V46,AC7:AC45),0)</f>
        <v>#DIV/0!</v>
      </c>
      <c r="W47" s="3674"/>
      <c r="X47" s="1762"/>
      <c r="Y47" s="1762"/>
      <c r="Z47" s="1762"/>
      <c r="AA47" s="1762"/>
      <c r="AB47" s="1762"/>
      <c r="AC47" s="1762"/>
    </row>
    <row r="48" spans="1:29" ht="15" thickBot="1">
      <c r="A48" s="1770" t="s">
        <v>2337</v>
      </c>
      <c r="B48" s="1771"/>
      <c r="C48" s="1988" t="e">
        <f>R48</f>
        <v>#DIV/0!</v>
      </c>
      <c r="D48" s="1988"/>
      <c r="E48" s="1988"/>
      <c r="F48" s="1988"/>
      <c r="G48" s="1988"/>
      <c r="H48" s="1988"/>
      <c r="I48" s="1988"/>
      <c r="J48" s="1988"/>
      <c r="K48" s="1989"/>
      <c r="L48" s="2972"/>
      <c r="P48" s="3585" t="str">
        <f>A48</f>
        <v>估价对象XX用房的比较价值（楼面单价，元/平方米）</v>
      </c>
      <c r="Q48" s="3586"/>
      <c r="R48" s="3675" t="e">
        <f>ROUND(IF(D47="简单平均",AVERAGE(R47:W47),R47*F47+T47*H47+V47*J47),0)</f>
        <v>#DIV/0!</v>
      </c>
      <c r="S48" s="3675"/>
      <c r="T48" s="3675"/>
      <c r="U48" s="3675"/>
      <c r="V48" s="3675"/>
      <c r="W48" s="3675"/>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4.4" thickBot="1">
      <c r="B54" s="2977"/>
      <c r="C54" s="2978"/>
      <c r="K54" s="2979"/>
      <c r="L54" s="2973"/>
    </row>
    <row r="55" spans="1:14" ht="28.8">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9"/>
      <c r="L58" s="2973"/>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9"/>
      <c r="L60" s="2973"/>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9"/>
      <c r="L62" s="2973"/>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9"/>
      <c r="L64" s="2973"/>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2.2"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4.4">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4.4">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4.4" thickBot="1">
      <c r="A74" s="1810"/>
      <c r="B74" s="1800"/>
      <c r="C74" s="1801">
        <v>100</v>
      </c>
      <c r="D74" s="1802"/>
      <c r="E74" s="1802"/>
      <c r="F74" s="1802"/>
      <c r="G74" s="1802"/>
      <c r="H74" s="1802"/>
      <c r="I74" s="1802"/>
      <c r="J74" s="1802"/>
      <c r="K74" s="1802"/>
      <c r="L74" s="1802"/>
      <c r="M74" s="1816"/>
      <c r="N74" s="2984"/>
      <c r="O74" s="2984"/>
      <c r="P74" s="1792"/>
      <c r="Q74" s="1792"/>
    </row>
    <row r="75" spans="1:17" ht="14.4">
      <c r="A75" s="1817" t="s">
        <v>2242</v>
      </c>
      <c r="B75" s="1818" t="s">
        <v>2207</v>
      </c>
      <c r="C75" s="1820"/>
      <c r="D75" s="1820"/>
      <c r="E75" s="1820"/>
      <c r="F75" s="1820"/>
      <c r="G75" s="1820"/>
      <c r="H75" s="1820"/>
      <c r="I75" s="1820"/>
      <c r="J75" s="1820"/>
      <c r="K75" s="417"/>
      <c r="L75" s="417"/>
      <c r="M75" s="1821"/>
      <c r="N75" s="2985"/>
      <c r="O75" s="2985"/>
      <c r="P75" s="2028"/>
      <c r="Q75" s="1792"/>
    </row>
    <row r="76" spans="1:17" ht="14.4" thickBot="1">
      <c r="A76" s="1824"/>
      <c r="B76" s="1825"/>
      <c r="C76" s="1826"/>
      <c r="D76" s="1826"/>
      <c r="E76" s="1826"/>
      <c r="F76" s="1826"/>
      <c r="G76" s="1826"/>
      <c r="H76" s="1826"/>
      <c r="I76" s="1826"/>
      <c r="J76" s="1826"/>
      <c r="K76" s="1826"/>
      <c r="L76" s="1826"/>
      <c r="M76" s="1827"/>
      <c r="N76" s="2986"/>
      <c r="O76" s="2986"/>
      <c r="P76" s="2028"/>
      <c r="Q76" s="1792"/>
    </row>
    <row r="77" spans="1:17" ht="29.4" thickTop="1">
      <c r="A77" s="1824"/>
      <c r="B77" s="1829" t="s">
        <v>2210</v>
      </c>
      <c r="C77" s="1830"/>
      <c r="D77" s="1830"/>
      <c r="E77" s="1830"/>
      <c r="F77" s="1830"/>
      <c r="G77" s="1830"/>
      <c r="H77" s="1830"/>
      <c r="I77" s="1830"/>
      <c r="J77" s="1830"/>
      <c r="K77" s="428"/>
      <c r="L77" s="428"/>
      <c r="M77" s="1831"/>
      <c r="N77" s="2985"/>
      <c r="O77" s="2985"/>
      <c r="P77" s="2028"/>
      <c r="Q77" s="1792"/>
    </row>
    <row r="78" spans="1:17" ht="14.4" thickBot="1">
      <c r="A78" s="1824"/>
      <c r="B78" s="1832"/>
      <c r="C78" s="1833"/>
      <c r="D78" s="1833"/>
      <c r="E78" s="1833"/>
      <c r="F78" s="1833"/>
      <c r="G78" s="1833"/>
      <c r="H78" s="1833"/>
      <c r="I78" s="1833"/>
      <c r="J78" s="1833"/>
      <c r="K78" s="1833"/>
      <c r="L78" s="1833"/>
      <c r="M78" s="1834"/>
      <c r="N78" s="2986"/>
      <c r="O78" s="2986"/>
      <c r="P78" s="2028"/>
      <c r="Q78" s="1792"/>
    </row>
    <row r="79" spans="1:17" ht="1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c r="A80" s="1824"/>
      <c r="B80" s="1837"/>
      <c r="C80" s="1838"/>
      <c r="D80" s="1838"/>
      <c r="E80" s="1838"/>
      <c r="F80" s="1838"/>
      <c r="G80" s="1838"/>
      <c r="H80" s="1838"/>
      <c r="I80" s="1838"/>
      <c r="J80" s="1838"/>
      <c r="K80" s="438"/>
      <c r="L80" s="438"/>
      <c r="M80" s="1839"/>
      <c r="N80" s="2985"/>
      <c r="O80" s="2985"/>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4.4"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4.4" thickBot="1">
      <c r="A83" s="1840"/>
      <c r="B83" s="1832"/>
      <c r="C83" s="1845"/>
      <c r="D83" s="1826"/>
      <c r="E83" s="1826"/>
      <c r="F83" s="1826"/>
      <c r="G83" s="1826"/>
      <c r="H83" s="1826"/>
      <c r="I83" s="1826"/>
      <c r="J83" s="1826"/>
      <c r="K83" s="1826"/>
      <c r="L83" s="1826"/>
      <c r="M83" s="1827"/>
      <c r="N83" s="2986"/>
      <c r="O83" s="2986"/>
      <c r="P83" s="2029"/>
      <c r="Q83" s="1844"/>
    </row>
    <row r="84" spans="1:17" s="1742" customFormat="1" ht="14.4"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4.4" thickBot="1">
      <c r="A85" s="1840"/>
      <c r="B85" s="1832"/>
      <c r="C85" s="1845"/>
      <c r="D85" s="1845"/>
      <c r="E85" s="1845"/>
      <c r="F85" s="1845"/>
      <c r="G85" s="1845"/>
      <c r="H85" s="1848"/>
      <c r="I85" s="1848"/>
      <c r="J85" s="1848"/>
      <c r="K85" s="1848"/>
      <c r="L85" s="1848"/>
      <c r="M85" s="1849"/>
      <c r="N85" s="2987"/>
      <c r="O85" s="2987"/>
      <c r="P85" s="2029"/>
      <c r="Q85" s="1844"/>
    </row>
    <row r="86" spans="1:17" s="1742" customFormat="1" ht="14.4"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4.4" thickBot="1">
      <c r="A87" s="1851"/>
      <c r="B87" s="1852"/>
      <c r="C87" s="1853"/>
      <c r="D87" s="1853"/>
      <c r="E87" s="1853"/>
      <c r="F87" s="1853"/>
      <c r="G87" s="1853"/>
      <c r="H87" s="1854"/>
      <c r="I87" s="1854"/>
      <c r="J87" s="1854"/>
      <c r="K87" s="1854"/>
      <c r="L87" s="1854"/>
      <c r="M87" s="1855"/>
      <c r="N87" s="2987"/>
      <c r="O87" s="2987"/>
      <c r="P87" s="2029"/>
      <c r="Q87" s="1844"/>
    </row>
    <row r="88" spans="1:17" ht="14.4">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29.4"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9.4"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9.4" thickTop="1">
      <c r="A106" s="1824"/>
      <c r="B106" s="1829" t="s">
        <v>2331</v>
      </c>
      <c r="C106" s="468"/>
      <c r="D106" s="468"/>
      <c r="E106" s="468"/>
      <c r="F106" s="468"/>
      <c r="G106" s="468"/>
      <c r="H106" s="1548"/>
      <c r="I106" s="1548"/>
      <c r="J106" s="1548"/>
      <c r="K106" s="473"/>
      <c r="L106" s="473"/>
      <c r="M106" s="1864"/>
      <c r="N106" s="2985"/>
      <c r="O106" s="2985"/>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4.4"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4.4" thickBot="1">
      <c r="A111" s="1824"/>
      <c r="B111" s="1852"/>
      <c r="C111" s="1845"/>
      <c r="D111" s="1845"/>
      <c r="E111" s="1845"/>
      <c r="F111" s="1845"/>
      <c r="G111" s="1868"/>
      <c r="H111" s="1868"/>
      <c r="I111" s="1868"/>
      <c r="J111" s="1868"/>
      <c r="K111" s="1868"/>
      <c r="L111" s="1868"/>
      <c r="M111" s="1869"/>
      <c r="N111" s="2986"/>
      <c r="O111" s="2986"/>
      <c r="P111" s="2028"/>
      <c r="Q111" s="1792"/>
    </row>
    <row r="112" spans="1:17" ht="14.4"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4.4"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6"/>
      <c r="O115" s="2986"/>
      <c r="P115" s="2029"/>
      <c r="Q115" s="1844"/>
    </row>
    <row r="116" spans="1:17" ht="14.4">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c r="A117" s="1824"/>
      <c r="B117" s="1835"/>
      <c r="C117" s="1872"/>
      <c r="D117" s="1872"/>
      <c r="E117" s="1872"/>
      <c r="F117" s="1872"/>
      <c r="G117" s="1872"/>
      <c r="H117" s="1872"/>
      <c r="I117" s="1872"/>
      <c r="J117" s="485"/>
      <c r="K117" s="485"/>
      <c r="L117" s="485"/>
      <c r="M117" s="1873"/>
      <c r="N117" s="2985"/>
      <c r="O117" s="2985"/>
      <c r="P117" s="2028"/>
      <c r="Q117" s="1792"/>
    </row>
    <row r="118" spans="1:17" ht="14.4"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4.4"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4.4" thickBot="1">
      <c r="A128" s="1824"/>
      <c r="B128" s="1832"/>
      <c r="C128" s="1845"/>
      <c r="D128" s="1845"/>
      <c r="E128" s="1845"/>
      <c r="F128" s="1845"/>
      <c r="G128" s="1826"/>
      <c r="H128" s="1826"/>
      <c r="I128" s="1826"/>
      <c r="J128" s="1826"/>
      <c r="K128" s="1826"/>
      <c r="L128" s="1826"/>
      <c r="M128" s="1827"/>
      <c r="N128" s="2986"/>
      <c r="O128" s="2986"/>
      <c r="P128" s="2028"/>
      <c r="Q128" s="1792"/>
    </row>
    <row r="129" spans="1:17" ht="14.4"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4.4"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4.4">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 thickBot="1">
      <c r="A7" s="301" t="s">
        <v>2201</v>
      </c>
      <c r="B7" s="302"/>
      <c r="C7" s="303">
        <f>'数据-取费表'!B2</f>
        <v>44624</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40" t="s">
        <v>2202</v>
      </c>
      <c r="Q7" s="3648"/>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ht="14.4">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32" t="s">
        <v>2208</v>
      </c>
      <c r="Q9" s="1297" t="str">
        <f t="shared" ref="Q9:Q15" si="6">B9</f>
        <v>用途</v>
      </c>
      <c r="R9" s="627" t="s">
        <v>25</v>
      </c>
      <c r="S9" s="628">
        <f t="shared" si="0"/>
        <v>100</v>
      </c>
      <c r="T9" s="627" t="s">
        <v>25</v>
      </c>
      <c r="U9" s="628">
        <f t="shared" si="1"/>
        <v>100</v>
      </c>
      <c r="V9" s="627" t="s">
        <v>25</v>
      </c>
      <c r="W9" s="628">
        <f t="shared" si="2"/>
        <v>100</v>
      </c>
      <c r="X9" s="629"/>
      <c r="Y9" s="3651"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134</v>
      </c>
      <c r="G10" s="322"/>
      <c r="H10" s="29">
        <f>ROUND(100/'数据-取费表'!B14,0)</f>
        <v>134</v>
      </c>
      <c r="I10" s="322"/>
      <c r="J10" s="29">
        <f>ROUND(100/'数据-取费表'!B14,0)</f>
        <v>134</v>
      </c>
      <c r="K10" s="553"/>
      <c r="L10" s="2999"/>
      <c r="M10" s="3000"/>
      <c r="N10" s="3000"/>
      <c r="O10" s="3001"/>
      <c r="P10" s="3632"/>
      <c r="Q10" s="1297" t="str">
        <f t="shared" si="6"/>
        <v>土地使用年限（年）</v>
      </c>
      <c r="R10" s="627" t="s">
        <v>25</v>
      </c>
      <c r="S10" s="628">
        <f t="shared" si="0"/>
        <v>134</v>
      </c>
      <c r="T10" s="627" t="s">
        <v>25</v>
      </c>
      <c r="U10" s="628">
        <f t="shared" si="1"/>
        <v>134</v>
      </c>
      <c r="V10" s="627" t="s">
        <v>25</v>
      </c>
      <c r="W10" s="628">
        <f t="shared" si="2"/>
        <v>134</v>
      </c>
      <c r="X10" s="629"/>
      <c r="Y10" s="3651"/>
      <c r="Z10" s="19" t="str">
        <f t="shared" si="7"/>
        <v>土地使用年限（年）</v>
      </c>
      <c r="AA10" s="630">
        <f t="shared" si="3"/>
        <v>0.74626865671641796</v>
      </c>
      <c r="AB10" s="630">
        <f t="shared" si="4"/>
        <v>0.74626865671641796</v>
      </c>
      <c r="AC10" s="630">
        <f t="shared" si="5"/>
        <v>0.74626865671641796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2"/>
      <c r="Q11" s="1297"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2"/>
      <c r="Q14" s="1297">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69">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9" t="s">
        <v>2213</v>
      </c>
      <c r="Q15" s="1304" t="str">
        <f t="shared" si="6"/>
        <v>产业集聚程度</v>
      </c>
      <c r="R15" s="631" t="s">
        <v>25</v>
      </c>
      <c r="S15" s="632">
        <f t="shared" si="0"/>
        <v>100</v>
      </c>
      <c r="T15" s="631" t="s">
        <v>25</v>
      </c>
      <c r="U15" s="632">
        <f t="shared" si="1"/>
        <v>100</v>
      </c>
      <c r="V15" s="631" t="s">
        <v>25</v>
      </c>
      <c r="W15" s="632">
        <f t="shared" si="2"/>
        <v>100</v>
      </c>
      <c r="X15" s="1305"/>
      <c r="Y15" s="364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50"/>
      <c r="Q16" s="1304"/>
      <c r="R16" s="631"/>
      <c r="S16" s="632"/>
      <c r="T16" s="631"/>
      <c r="U16" s="632"/>
      <c r="V16" s="631"/>
      <c r="W16" s="632"/>
      <c r="X16" s="1305"/>
      <c r="Y16" s="3650"/>
      <c r="Z16" s="1306"/>
      <c r="AA16" s="1307">
        <v>1</v>
      </c>
      <c r="AB16" s="1307">
        <v>1</v>
      </c>
      <c r="AC16" s="1307">
        <v>1</v>
      </c>
    </row>
    <row r="17" spans="1:29" ht="96.6">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50"/>
      <c r="Q17" s="1304" t="str">
        <f>B17</f>
        <v>交通便捷度</v>
      </c>
      <c r="R17" s="631" t="s">
        <v>25</v>
      </c>
      <c r="S17" s="632">
        <f>F17</f>
        <v>100</v>
      </c>
      <c r="T17" s="631" t="s">
        <v>25</v>
      </c>
      <c r="U17" s="632">
        <f>H17</f>
        <v>100</v>
      </c>
      <c r="V17" s="631" t="s">
        <v>25</v>
      </c>
      <c r="W17" s="632">
        <f>J17</f>
        <v>100</v>
      </c>
      <c r="X17" s="1305"/>
      <c r="Y17" s="365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50"/>
      <c r="Q18" s="1304"/>
      <c r="R18" s="631"/>
      <c r="S18" s="632"/>
      <c r="T18" s="631"/>
      <c r="U18" s="632"/>
      <c r="V18" s="631"/>
      <c r="W18" s="632"/>
      <c r="X18" s="1305"/>
      <c r="Y18" s="3650"/>
      <c r="Z18" s="1306"/>
      <c r="AA18" s="1307">
        <v>1</v>
      </c>
      <c r="AB18" s="1307">
        <v>1</v>
      </c>
      <c r="AC18" s="1307">
        <v>1</v>
      </c>
    </row>
    <row r="19" spans="1:29" ht="28.8">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50"/>
      <c r="Q19" s="1304" t="str">
        <f t="shared" ref="Q19:Q33" si="8">B19</f>
        <v>区域土地利用方向</v>
      </c>
      <c r="R19" s="631" t="s">
        <v>25</v>
      </c>
      <c r="S19" s="632">
        <f>F19</f>
        <v>100</v>
      </c>
      <c r="T19" s="631" t="s">
        <v>25</v>
      </c>
      <c r="U19" s="632">
        <f>H19</f>
        <v>100</v>
      </c>
      <c r="V19" s="631" t="s">
        <v>25</v>
      </c>
      <c r="W19" s="632">
        <f>J19</f>
        <v>100</v>
      </c>
      <c r="X19" s="1305"/>
      <c r="Y19" s="365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50"/>
      <c r="Q20" s="1304"/>
      <c r="R20" s="631"/>
      <c r="S20" s="632"/>
      <c r="T20" s="631"/>
      <c r="U20" s="632"/>
      <c r="V20" s="631"/>
      <c r="W20" s="632"/>
      <c r="X20" s="1305"/>
      <c r="Y20" s="3650"/>
      <c r="Z20" s="1306"/>
      <c r="AA20" s="1307"/>
      <c r="AB20" s="1307"/>
      <c r="AC20" s="1307"/>
    </row>
    <row r="21" spans="1:29" ht="82.8">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50"/>
      <c r="Q21" s="1304" t="str">
        <f t="shared" si="8"/>
        <v>环境状况</v>
      </c>
      <c r="R21" s="631" t="s">
        <v>25</v>
      </c>
      <c r="S21" s="632">
        <f>F21</f>
        <v>100</v>
      </c>
      <c r="T21" s="631" t="s">
        <v>25</v>
      </c>
      <c r="U21" s="632">
        <f>H21</f>
        <v>100</v>
      </c>
      <c r="V21" s="631" t="s">
        <v>25</v>
      </c>
      <c r="W21" s="632">
        <f>J21</f>
        <v>100</v>
      </c>
      <c r="X21" s="1305"/>
      <c r="Y21" s="365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50"/>
      <c r="Q22" s="1304"/>
      <c r="R22" s="631"/>
      <c r="S22" s="632"/>
      <c r="T22" s="631"/>
      <c r="U22" s="632"/>
      <c r="V22" s="631"/>
      <c r="W22" s="632"/>
      <c r="X22" s="1305"/>
      <c r="Y22" s="3650"/>
      <c r="Z22" s="1306"/>
      <c r="AA22" s="1307">
        <v>1</v>
      </c>
      <c r="AB22" s="1307">
        <v>1</v>
      </c>
      <c r="AC22" s="1307">
        <v>1</v>
      </c>
    </row>
    <row r="23" spans="1:29" s="25" customFormat="1" ht="41.4">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50"/>
      <c r="Q23" s="1297" t="str">
        <f t="shared" si="8"/>
        <v>公共配套设施</v>
      </c>
      <c r="R23" s="627" t="s">
        <v>25</v>
      </c>
      <c r="S23" s="628">
        <f>F23</f>
        <v>100</v>
      </c>
      <c r="T23" s="627" t="s">
        <v>25</v>
      </c>
      <c r="U23" s="628">
        <f>H23</f>
        <v>100</v>
      </c>
      <c r="V23" s="627" t="s">
        <v>25</v>
      </c>
      <c r="W23" s="628">
        <f>J23</f>
        <v>100</v>
      </c>
      <c r="X23" s="629"/>
      <c r="Y23" s="365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50"/>
      <c r="Q24" s="1297"/>
      <c r="R24" s="627"/>
      <c r="S24" s="628"/>
      <c r="T24" s="627"/>
      <c r="U24" s="628"/>
      <c r="V24" s="627"/>
      <c r="W24" s="628"/>
      <c r="X24" s="629"/>
      <c r="Y24" s="3650"/>
      <c r="Z24" s="19"/>
      <c r="AA24" s="630">
        <v>1</v>
      </c>
      <c r="AB24" s="630">
        <v>1</v>
      </c>
      <c r="AC24" s="630">
        <v>1</v>
      </c>
    </row>
    <row r="25" spans="1:29" s="25" customFormat="1" ht="41.4">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50"/>
      <c r="Q25" s="1297" t="str">
        <f t="shared" ref="Q25" si="9">B25</f>
        <v>基础设施水平</v>
      </c>
      <c r="R25" s="627" t="s">
        <v>25</v>
      </c>
      <c r="S25" s="628">
        <f>F25</f>
        <v>100</v>
      </c>
      <c r="T25" s="627" t="s">
        <v>25</v>
      </c>
      <c r="U25" s="628">
        <f>H25</f>
        <v>100</v>
      </c>
      <c r="V25" s="627" t="s">
        <v>25</v>
      </c>
      <c r="W25" s="628">
        <f>J25</f>
        <v>100</v>
      </c>
      <c r="X25" s="629"/>
      <c r="Y25" s="365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50"/>
      <c r="Q26" s="1297"/>
      <c r="R26" s="627"/>
      <c r="S26" s="628"/>
      <c r="T26" s="627"/>
      <c r="U26" s="628"/>
      <c r="V26" s="627"/>
      <c r="W26" s="628"/>
      <c r="X26" s="629"/>
      <c r="Y26" s="365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5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0"/>
      <c r="Z27" s="1306" t="str">
        <f t="shared" ref="Z27:Z40" si="13">Q27</f>
        <v>临街状况</v>
      </c>
      <c r="AA27" s="1307">
        <f t="shared" si="3"/>
        <v>1</v>
      </c>
      <c r="AB27" s="1307">
        <f t="shared" si="4"/>
        <v>1</v>
      </c>
      <c r="AC27" s="1307">
        <f t="shared" si="5"/>
        <v>1</v>
      </c>
    </row>
    <row r="28" spans="1:29" ht="28.8">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50"/>
      <c r="Q28" s="1304" t="str">
        <f t="shared" si="8"/>
        <v>毗邻道路的类型与等级</v>
      </c>
      <c r="R28" s="631" t="s">
        <v>25</v>
      </c>
      <c r="S28" s="632">
        <f t="shared" si="10"/>
        <v>100</v>
      </c>
      <c r="T28" s="631" t="s">
        <v>25</v>
      </c>
      <c r="U28" s="632">
        <f t="shared" si="11"/>
        <v>100</v>
      </c>
      <c r="V28" s="631" t="s">
        <v>25</v>
      </c>
      <c r="W28" s="632">
        <f t="shared" si="12"/>
        <v>100</v>
      </c>
      <c r="X28" s="1305"/>
      <c r="Y28" s="365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50"/>
      <c r="Q29" s="1304"/>
      <c r="R29" s="631"/>
      <c r="S29" s="632"/>
      <c r="T29" s="631"/>
      <c r="U29" s="632"/>
      <c r="V29" s="631"/>
      <c r="W29" s="632"/>
      <c r="X29" s="1305"/>
      <c r="Y29" s="365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50"/>
      <c r="Q30" s="1304" t="str">
        <f t="shared" si="8"/>
        <v>土地级别</v>
      </c>
      <c r="R30" s="631" t="s">
        <v>25</v>
      </c>
      <c r="S30" s="632">
        <f t="shared" si="10"/>
        <v>100</v>
      </c>
      <c r="T30" s="631" t="s">
        <v>25</v>
      </c>
      <c r="U30" s="632">
        <f t="shared" si="11"/>
        <v>100</v>
      </c>
      <c r="V30" s="631" t="s">
        <v>25</v>
      </c>
      <c r="W30" s="632">
        <f t="shared" si="12"/>
        <v>100</v>
      </c>
      <c r="X30" s="1305"/>
      <c r="Y30" s="365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50"/>
      <c r="Q31" s="1304">
        <f t="shared" si="8"/>
        <v>111</v>
      </c>
      <c r="R31" s="631" t="s">
        <v>25</v>
      </c>
      <c r="S31" s="632">
        <f t="shared" si="10"/>
        <v>100</v>
      </c>
      <c r="T31" s="631" t="s">
        <v>25</v>
      </c>
      <c r="U31" s="632">
        <f t="shared" si="11"/>
        <v>100</v>
      </c>
      <c r="V31" s="631" t="s">
        <v>25</v>
      </c>
      <c r="W31" s="632">
        <f t="shared" si="12"/>
        <v>100</v>
      </c>
      <c r="X31" s="1305"/>
      <c r="Y31" s="365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7" t="s">
        <v>2219</v>
      </c>
      <c r="Q32" s="1304">
        <f t="shared" si="8"/>
        <v>111</v>
      </c>
      <c r="R32" s="631" t="s">
        <v>25</v>
      </c>
      <c r="S32" s="632">
        <f t="shared" si="10"/>
        <v>100</v>
      </c>
      <c r="T32" s="631" t="s">
        <v>25</v>
      </c>
      <c r="U32" s="632">
        <f t="shared" si="11"/>
        <v>100</v>
      </c>
      <c r="V32" s="631" t="s">
        <v>25</v>
      </c>
      <c r="W32" s="632">
        <f t="shared" si="12"/>
        <v>100</v>
      </c>
      <c r="X32" s="1305"/>
      <c r="Y32" s="3638" t="s">
        <v>2219</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8"/>
      <c r="Q33" s="1304">
        <f t="shared" si="8"/>
        <v>111</v>
      </c>
      <c r="R33" s="634" t="s">
        <v>25</v>
      </c>
      <c r="S33" s="635">
        <f t="shared" si="10"/>
        <v>100</v>
      </c>
      <c r="T33" s="634" t="s">
        <v>25</v>
      </c>
      <c r="U33" s="635">
        <f t="shared" si="11"/>
        <v>100</v>
      </c>
      <c r="V33" s="634" t="s">
        <v>25</v>
      </c>
      <c r="W33" s="635">
        <f t="shared" si="12"/>
        <v>100</v>
      </c>
      <c r="X33" s="636"/>
      <c r="Y33" s="3638"/>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8"/>
      <c r="Q34" s="1304" t="str">
        <f>B34</f>
        <v>宗地面积</v>
      </c>
      <c r="R34" s="631" t="s">
        <v>25</v>
      </c>
      <c r="S34" s="632" t="e">
        <f t="shared" si="10"/>
        <v>#N/A</v>
      </c>
      <c r="T34" s="631" t="s">
        <v>25</v>
      </c>
      <c r="U34" s="632" t="e">
        <f t="shared" si="11"/>
        <v>#N/A</v>
      </c>
      <c r="V34" s="631" t="s">
        <v>25</v>
      </c>
      <c r="W34" s="632" t="e">
        <f t="shared" si="12"/>
        <v>#N/A</v>
      </c>
      <c r="X34" s="1305"/>
      <c r="Y34" s="363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38"/>
      <c r="Q35" s="1304" t="str">
        <f t="shared" ref="Q35:Q40" si="14">B35</f>
        <v>宗地形状</v>
      </c>
      <c r="R35" s="631" t="s">
        <v>25</v>
      </c>
      <c r="S35" s="632">
        <f t="shared" si="10"/>
        <v>100</v>
      </c>
      <c r="T35" s="631" t="s">
        <v>25</v>
      </c>
      <c r="U35" s="632">
        <f t="shared" si="11"/>
        <v>100</v>
      </c>
      <c r="V35" s="631" t="s">
        <v>25</v>
      </c>
      <c r="W35" s="632">
        <f t="shared" si="12"/>
        <v>100</v>
      </c>
      <c r="X35" s="1305"/>
      <c r="Y35" s="363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38"/>
      <c r="Q36" s="1304"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38" t="s">
        <v>2219</v>
      </c>
      <c r="Q37" s="1304" t="str">
        <f t="shared" si="14"/>
        <v>工程地质条件</v>
      </c>
      <c r="R37" s="631" t="s">
        <v>25</v>
      </c>
      <c r="S37" s="632">
        <f t="shared" si="10"/>
        <v>100</v>
      </c>
      <c r="T37" s="631" t="s">
        <v>25</v>
      </c>
      <c r="U37" s="632">
        <f t="shared" si="11"/>
        <v>100</v>
      </c>
      <c r="V37" s="631" t="s">
        <v>25</v>
      </c>
      <c r="W37" s="632">
        <f t="shared" si="12"/>
        <v>100</v>
      </c>
      <c r="X37" s="1305"/>
      <c r="Y37" s="363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8"/>
      <c r="Q38" s="1304">
        <f t="shared" si="14"/>
        <v>111</v>
      </c>
      <c r="R38" s="631" t="s">
        <v>25</v>
      </c>
      <c r="S38" s="632">
        <f t="shared" si="10"/>
        <v>100</v>
      </c>
      <c r="T38" s="631" t="s">
        <v>25</v>
      </c>
      <c r="U38" s="632">
        <f t="shared" si="11"/>
        <v>100</v>
      </c>
      <c r="V38" s="631" t="s">
        <v>25</v>
      </c>
      <c r="W38" s="632">
        <f t="shared" si="12"/>
        <v>100</v>
      </c>
      <c r="X38" s="1305"/>
      <c r="Y38" s="363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8"/>
      <c r="Q39" s="1304">
        <f t="shared" si="14"/>
        <v>111</v>
      </c>
      <c r="R39" s="631" t="s">
        <v>25</v>
      </c>
      <c r="S39" s="632">
        <f t="shared" si="10"/>
        <v>100</v>
      </c>
      <c r="T39" s="631" t="s">
        <v>25</v>
      </c>
      <c r="U39" s="632">
        <f t="shared" si="11"/>
        <v>100</v>
      </c>
      <c r="V39" s="631" t="s">
        <v>25</v>
      </c>
      <c r="W39" s="632">
        <f t="shared" si="12"/>
        <v>100</v>
      </c>
      <c r="X39" s="1305"/>
      <c r="Y39" s="3638"/>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8"/>
      <c r="Q40" s="1304">
        <f t="shared" si="14"/>
        <v>111</v>
      </c>
      <c r="R40" s="634" t="s">
        <v>25</v>
      </c>
      <c r="S40" s="635">
        <f t="shared" si="10"/>
        <v>100</v>
      </c>
      <c r="T40" s="634" t="s">
        <v>25</v>
      </c>
      <c r="U40" s="635">
        <f t="shared" si="11"/>
        <v>100</v>
      </c>
      <c r="V40" s="634" t="s">
        <v>25</v>
      </c>
      <c r="W40" s="635">
        <f t="shared" si="12"/>
        <v>100</v>
      </c>
      <c r="X40" s="636"/>
      <c r="Y40" s="3638"/>
      <c r="Z40" s="637">
        <f t="shared" si="13"/>
        <v>111</v>
      </c>
      <c r="AA40" s="1307">
        <f t="shared" si="3"/>
        <v>1</v>
      </c>
      <c r="AB40" s="1307">
        <f t="shared" si="4"/>
        <v>1</v>
      </c>
      <c r="AC40" s="1307">
        <f t="shared" si="5"/>
        <v>1</v>
      </c>
    </row>
    <row r="41" spans="1:29" ht="14.4">
      <c r="A41" s="367" t="s">
        <v>2361</v>
      </c>
      <c r="B41" s="1561" t="s">
        <v>2436</v>
      </c>
      <c r="C41" s="562" t="s">
        <v>1</v>
      </c>
      <c r="D41" s="369"/>
      <c r="E41" s="370"/>
      <c r="F41" s="371"/>
      <c r="G41" s="372"/>
      <c r="H41" s="373"/>
      <c r="I41" s="370"/>
      <c r="J41" s="373"/>
      <c r="K41" s="640"/>
      <c r="L41" s="3006"/>
      <c r="M41" s="2995"/>
      <c r="N41" s="2995"/>
      <c r="P41" s="3632" t="str">
        <f>A41</f>
        <v>成交单价</v>
      </c>
      <c r="Q41" s="3632"/>
      <c r="R41" s="3665">
        <f>E41</f>
        <v>0</v>
      </c>
      <c r="S41" s="3665"/>
      <c r="T41" s="3665">
        <f>G41</f>
        <v>0</v>
      </c>
      <c r="U41" s="3665"/>
      <c r="V41" s="3665">
        <f>I41</f>
        <v>0</v>
      </c>
      <c r="W41" s="3665"/>
      <c r="X41" s="618"/>
      <c r="Y41" s="638"/>
      <c r="Z41" s="618"/>
      <c r="AA41" s="618"/>
      <c r="AB41" s="618"/>
      <c r="AC41" s="618"/>
    </row>
    <row r="42" spans="1:29" ht="15" thickBot="1">
      <c r="A42" s="374" t="s">
        <v>2314</v>
      </c>
      <c r="B42" s="563"/>
      <c r="C42" s="377" t="e">
        <f>R43</f>
        <v>#DIV/0!</v>
      </c>
      <c r="D42" s="1767" t="s">
        <v>2687</v>
      </c>
      <c r="E42" s="377" t="e">
        <f>R42</f>
        <v>#DIV/0!</v>
      </c>
      <c r="F42" s="1769"/>
      <c r="G42" s="376" t="e">
        <f>T42</f>
        <v>#DIV/0!</v>
      </c>
      <c r="H42" s="1769"/>
      <c r="I42" s="377" t="e">
        <f>V42</f>
        <v>#DIV/0!</v>
      </c>
      <c r="J42" s="1769"/>
      <c r="K42" s="2480">
        <f>F42+H42+J42</f>
        <v>0</v>
      </c>
      <c r="L42" s="3006"/>
      <c r="M42" s="2995"/>
      <c r="N42" s="2995"/>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6"/>
      <c r="M43" s="2995"/>
      <c r="N43" s="2995"/>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4.4" thickBot="1">
      <c r="B49" s="3008"/>
      <c r="C49" s="3011"/>
      <c r="K49" s="3010"/>
      <c r="L49" s="3007"/>
    </row>
    <row r="50" spans="1:17" ht="28.8">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估价对象为北京市房地产，为XX所有。根据《》[]，估价对象建筑面积为215.26平方米。根据《》[]，估价对象（分摊）出让国有建设用地使用权面积为平方米。估价对象用途为。</v>
      </c>
      <c r="B6" s="1319"/>
      <c r="C6" s="1319"/>
      <c r="D6" s="1319"/>
      <c r="E6" s="1319"/>
      <c r="F6" s="1319"/>
      <c r="G6" s="1319"/>
    </row>
    <row r="7" spans="1:7" ht="17.399999999999999">
      <c r="A7" s="1320" t="s">
        <v>1198</v>
      </c>
    </row>
    <row r="8" spans="1:7" ht="52.2">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2022年3月4日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本次估价的“房地产价值”是指在正常市场情况下，在价值时点2022年3月4日，估价对象规划用途为，假定未设立法定优先受偿款下的房地产市场价值。</v>
      </c>
      <c r="B13" s="1319"/>
      <c r="C13" s="1319"/>
      <c r="D13" s="1319"/>
      <c r="E13" s="1319"/>
      <c r="F13" s="1319"/>
      <c r="G13" s="1319"/>
    </row>
    <row r="14" spans="1:7" ht="34.79999999999999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19" sqref="E19"/>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1.2">
      <c r="A1" s="2067" t="s">
        <v>2439</v>
      </c>
      <c r="B1" s="2068"/>
      <c r="C1" s="2069" t="s">
        <v>2440</v>
      </c>
      <c r="D1" s="2070">
        <f>SUM(D29:D30,D33:D39)</f>
        <v>215.26</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5.2">
      <c r="A2" s="1931" t="s">
        <v>2447</v>
      </c>
      <c r="B2" s="1629">
        <f>C26</f>
        <v>0</v>
      </c>
      <c r="C2" s="2078" t="s">
        <v>2448</v>
      </c>
      <c r="D2" s="1572" t="s">
        <v>2449</v>
      </c>
      <c r="E2" s="2079" t="s">
        <v>2985</v>
      </c>
      <c r="F2" s="1572" t="s">
        <v>2450</v>
      </c>
      <c r="G2" s="2080" t="str">
        <f>项目基本情况!F9</f>
        <v>四级</v>
      </c>
      <c r="H2" s="1573" t="s">
        <v>2451</v>
      </c>
      <c r="I2" s="2080" t="str">
        <f>项目基本情况!F10</f>
        <v>Ⅳ-15</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f>ROUND(IF(G3&gt;1,IF(R2&lt;7,SUMPRODUCT((B93:B98=R2)*(C92:N92=G2)*(C93:N98)),SUMIF(C92:N92,G2,C100:N100)),IF(R2&lt;7,SUMPRODUCT((B102:B107=R2)*(C92:N92=G2)*(C102:N107)),SUMIF(C92:N92,G2,C109:N109))),4)</f>
        <v>1.8629</v>
      </c>
      <c r="T2" s="2074">
        <f>ROUND($C$5*$C$18*$C$19*$C$20*S2*$C$24,0)</f>
        <v>35546</v>
      </c>
      <c r="U2" s="2085"/>
      <c r="V2" s="2074">
        <f t="shared" ref="V2:V8" si="0">ROUND(T2*U2,0)</f>
        <v>0</v>
      </c>
      <c r="W2" s="2075"/>
      <c r="X2" s="2075"/>
      <c r="Y2" s="2075"/>
      <c r="Z2" s="2075"/>
      <c r="AA2" s="2075"/>
      <c r="AB2" s="2075"/>
      <c r="AC2" s="2075"/>
      <c r="AD2" s="2076"/>
      <c r="AE2" s="2076"/>
      <c r="AF2" s="2076"/>
      <c r="AG2" s="2076"/>
      <c r="AH2" s="2076"/>
      <c r="AI2" s="2076"/>
      <c r="AJ2" s="2077"/>
    </row>
    <row r="3" spans="1:36" ht="15.6">
      <c r="A3" s="1629" t="s">
        <v>2453</v>
      </c>
      <c r="B3" s="1629">
        <f>ROUND(B2/D1,0)</f>
        <v>0</v>
      </c>
      <c r="C3" s="2078" t="s">
        <v>2454</v>
      </c>
      <c r="D3" s="1572" t="s">
        <v>2455</v>
      </c>
      <c r="E3" s="2079" t="s">
        <v>2991</v>
      </c>
      <c r="F3" s="1574" t="s">
        <v>2456</v>
      </c>
      <c r="G3" s="2086">
        <f>项目基本情况!C15</f>
        <v>3.5</v>
      </c>
      <c r="H3" s="50" t="s">
        <v>2457</v>
      </c>
      <c r="I3" s="2087">
        <v>1</v>
      </c>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1.3371999999999999</v>
      </c>
      <c r="T3" s="2074">
        <f t="shared" ref="T3:T16" si="1">ROUND($C$5*$C$18*$C$19*$C$20*S3*$C$24,0)</f>
        <v>25515</v>
      </c>
      <c r="U3" s="2085"/>
      <c r="V3" s="2074">
        <f t="shared" si="0"/>
        <v>0</v>
      </c>
      <c r="W3" s="2075"/>
      <c r="X3" s="2075"/>
      <c r="Y3" s="2075"/>
      <c r="Z3" s="2075"/>
      <c r="AA3" s="2075"/>
      <c r="AB3" s="2075"/>
      <c r="AC3" s="2075"/>
      <c r="AD3" s="2076"/>
      <c r="AE3" s="2076"/>
      <c r="AF3" s="2076"/>
      <c r="AG3" s="2076"/>
      <c r="AH3" s="2076"/>
      <c r="AI3" s="2076"/>
      <c r="AJ3" s="2077"/>
    </row>
    <row r="4" spans="1:36" ht="15.6">
      <c r="A4" s="3680"/>
      <c r="B4" s="3681"/>
      <c r="C4" s="3681"/>
      <c r="D4" s="3682"/>
      <c r="E4" s="3682"/>
      <c r="F4" s="3682"/>
      <c r="G4" s="3682"/>
      <c r="H4" s="3682"/>
      <c r="I4" s="3682"/>
      <c r="J4" s="3683"/>
      <c r="K4" s="3019"/>
      <c r="L4" s="2082" t="s">
        <v>2460</v>
      </c>
      <c r="M4" s="2083">
        <f>SUMPRODUCT((区片价!B49:B75=I2)*(区片价!C3:F3=E2)*(区片价!C49:F75))</f>
        <v>17610</v>
      </c>
      <c r="N4" s="2084">
        <f>SUMPRODUCT((因素修正幅度!B49:B75=I2)*(因素修正幅度!C3:F3=E2)*(因素修正幅度!C49:F75))</f>
        <v>9.6000000000000002E-2</v>
      </c>
      <c r="O4" s="3019"/>
      <c r="P4" s="3019"/>
      <c r="Q4" s="3019"/>
      <c r="R4" s="2074">
        <v>3</v>
      </c>
      <c r="S4" s="2074">
        <f>ROUND(IF(G3&gt;1,IF(R4&lt;7,SUMPRODUCT((B93:B98=R4)*(C92:N92=G2)*(C93:N98)),SUMIF(C92:N92,G2,C100:N100)),IF(R4&lt;7,SUMPRODUCT((B102:B107=R4)*(C92:N92=G2)*(C102:N107)),SUMIF(C92:N92,G2,C109:N109))),4)</f>
        <v>1.0788</v>
      </c>
      <c r="T4" s="2074">
        <f t="shared" si="1"/>
        <v>20584</v>
      </c>
      <c r="U4" s="2085"/>
      <c r="V4" s="2074">
        <f t="shared" si="0"/>
        <v>0</v>
      </c>
      <c r="W4" s="2075"/>
      <c r="X4" s="2075"/>
      <c r="Y4" s="2075"/>
      <c r="Z4" s="2075"/>
      <c r="AA4" s="2075"/>
      <c r="AB4" s="2075"/>
      <c r="AC4" s="2075"/>
      <c r="AD4" s="2076"/>
      <c r="AE4" s="2076"/>
      <c r="AF4" s="2076"/>
      <c r="AG4" s="2076"/>
      <c r="AH4" s="2076"/>
      <c r="AI4" s="2076"/>
      <c r="AJ4" s="2077"/>
    </row>
    <row r="5" spans="1:36" s="2095" customFormat="1" ht="15.6" thickBot="1">
      <c r="A5" s="1575" t="s">
        <v>2461</v>
      </c>
      <c r="B5" s="1575" t="s">
        <v>2462</v>
      </c>
      <c r="C5" s="2088">
        <f>ROUND(IF(E2="商业",C6*C7+C16,(IF(E2="住宅",C6*C12+C16,C6+C16))),0)</f>
        <v>17574</v>
      </c>
      <c r="D5" s="2089">
        <f>ROUND(C6+C16,0)</f>
        <v>17574</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0.86560000000000004</v>
      </c>
      <c r="T5" s="2074">
        <f t="shared" si="1"/>
        <v>16516</v>
      </c>
      <c r="U5" s="2085"/>
      <c r="V5" s="2074">
        <f t="shared" si="0"/>
        <v>0</v>
      </c>
      <c r="W5" s="2075"/>
      <c r="X5" s="2075"/>
      <c r="Y5" s="2075"/>
      <c r="Z5" s="2075"/>
      <c r="AA5" s="2075"/>
      <c r="AB5" s="2075"/>
      <c r="AC5" s="2092"/>
      <c r="AD5" s="2093"/>
      <c r="AE5" s="2093"/>
      <c r="AF5" s="2093"/>
      <c r="AG5" s="2093"/>
      <c r="AH5" s="2093"/>
      <c r="AI5" s="2093"/>
      <c r="AJ5" s="2094"/>
    </row>
    <row r="6" spans="1:36" ht="15.6" thickBot="1">
      <c r="A6" s="2096">
        <v>1</v>
      </c>
      <c r="B6" s="1576" t="s">
        <v>2464</v>
      </c>
      <c r="C6" s="2097">
        <f>SUMIF(L1:L12,G2,M1:M12)</f>
        <v>17610</v>
      </c>
      <c r="D6" s="2098" t="s">
        <v>2465</v>
      </c>
      <c r="E6" s="1576"/>
      <c r="F6" s="1576"/>
      <c r="G6" s="2099"/>
      <c r="H6" s="2099"/>
      <c r="I6" s="2099"/>
      <c r="J6" s="2100"/>
      <c r="K6" s="3020"/>
      <c r="L6" s="2082" t="s">
        <v>2466</v>
      </c>
      <c r="M6" s="2083">
        <f>SUMPRODUCT((区片价!B110:B157=I2)*(区片价!C3:F3=E2)*(区片价!C110:F157))</f>
        <v>0</v>
      </c>
      <c r="N6" s="2084">
        <f>SUMPRODUCT((因素修正幅度!B110:B157=I2)*(因素修正幅度!C3:F3=E2)*(因素修正幅度!C110:F157))</f>
        <v>0</v>
      </c>
      <c r="O6" s="3019"/>
      <c r="P6" s="3019"/>
      <c r="Q6" s="3019"/>
      <c r="R6" s="2074">
        <v>5</v>
      </c>
      <c r="S6" s="2074">
        <f>ROUND(IF(G3&gt;1,IF(R6&lt;7,SUMPRODUCT((B93:B98=R6)*(C92:N92=G2)*(C93:N98)),SUMIF(C92:N92,G2,C100:N100)),IF(R6&lt;7,SUMPRODUCT((B102:B107=R6)*(C92:N92=G2)*(C102:N107)),SUMIF(C92:N92,G2,C109:N109))),4)</f>
        <v>0.73709999999999998</v>
      </c>
      <c r="T6" s="2074">
        <f t="shared" si="1"/>
        <v>14065</v>
      </c>
      <c r="U6" s="2085"/>
      <c r="V6" s="2074">
        <f t="shared" si="0"/>
        <v>0</v>
      </c>
      <c r="W6" s="2075"/>
      <c r="X6" s="2075"/>
      <c r="Y6" s="2075"/>
      <c r="Z6" s="2075"/>
      <c r="AA6" s="2075"/>
      <c r="AB6" s="2075"/>
      <c r="AC6" s="2092"/>
      <c r="AD6" s="2093"/>
      <c r="AE6" s="2093"/>
      <c r="AF6" s="2093"/>
      <c r="AG6" s="2093"/>
      <c r="AH6" s="2093"/>
      <c r="AI6" s="2093"/>
      <c r="AJ6" s="2094"/>
    </row>
    <row r="7" spans="1:36" ht="24">
      <c r="A7" s="3684" t="str">
        <f>IF(E2="商业",IF(C8="不临58条商业街","",2),"")</f>
        <v/>
      </c>
      <c r="B7" s="1577" t="s">
        <v>2467</v>
      </c>
      <c r="C7" s="2101">
        <f>IF(C8="不临58条商业街",1,ROUND(1+(1.6*E8+1.2*E9+0.8*E10+0.4*E11)*C9,4))</f>
        <v>1</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0.6482</v>
      </c>
      <c r="T7" s="2074">
        <f t="shared" si="1"/>
        <v>12368</v>
      </c>
      <c r="U7" s="2085"/>
      <c r="V7" s="2074">
        <f t="shared" si="0"/>
        <v>0</v>
      </c>
      <c r="W7" s="2106" t="s">
        <v>2470</v>
      </c>
      <c r="X7" s="2107" t="str">
        <f>G2</f>
        <v>四级</v>
      </c>
      <c r="Y7" s="2107" t="s">
        <v>2471</v>
      </c>
      <c r="Z7" s="2108">
        <f>G3</f>
        <v>3.5</v>
      </c>
      <c r="AA7" s="2075"/>
      <c r="AB7" s="2075"/>
      <c r="AC7" s="2075"/>
      <c r="AD7" s="2076"/>
      <c r="AE7" s="2076"/>
      <c r="AF7" s="2076"/>
      <c r="AG7" s="2076"/>
      <c r="AH7" s="2076"/>
      <c r="AI7" s="2076"/>
      <c r="AJ7" s="2077"/>
    </row>
    <row r="8" spans="1:36" ht="29.25" customHeight="1">
      <c r="A8" s="3685"/>
      <c r="B8" s="50" t="s">
        <v>2472</v>
      </c>
      <c r="C8" s="2109" t="s">
        <v>2998</v>
      </c>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78" t="s">
        <v>2475</v>
      </c>
      <c r="X8" s="367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5"/>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7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5"/>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7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685"/>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79" t="s">
        <v>2499</v>
      </c>
      <c r="X11" s="2123" t="s">
        <v>2500</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8" thickBot="1">
      <c r="A12" s="3684" t="str">
        <f>IF(E2="住宅",2,"")</f>
        <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7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6"/>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679"/>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86"/>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6" thickBot="1">
      <c r="A15" s="368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8">
        <f>IF(E2="办公",2,IF(E2="工业",2,IF(E2="住宅",3,IF(E2="商业",IF(C8="不临58条商业街",2,3)))))</f>
        <v>2</v>
      </c>
      <c r="B16" s="1601" t="s">
        <v>2521</v>
      </c>
      <c r="C16" s="1577">
        <f>ROUND(IF(F17="与级别开发程度一致",0,(G17-E17)/C17),0)</f>
        <v>-36</v>
      </c>
      <c r="D16" s="3701" t="s">
        <v>2525</v>
      </c>
      <c r="E16" s="3702"/>
      <c r="F16" s="3701" t="s">
        <v>2522</v>
      </c>
      <c r="G16" s="3702"/>
      <c r="H16" s="2145" t="s">
        <v>2992</v>
      </c>
      <c r="I16" s="2145" t="s">
        <v>2993</v>
      </c>
      <c r="J16" s="2146" t="s">
        <v>2994</v>
      </c>
      <c r="K16" s="2145" t="s">
        <v>2995</v>
      </c>
      <c r="L16" s="2145" t="s">
        <v>2996</v>
      </c>
      <c r="M16" s="2145" t="s">
        <v>2997</v>
      </c>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7" thickBot="1">
      <c r="A17" s="3689"/>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3005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4"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44624</v>
      </c>
      <c r="H19" s="2163" t="s">
        <v>2667</v>
      </c>
      <c r="I19" s="2164" t="str">
        <f>IF(H19="季度增幅（自定义）",SUMIF(N21:N24,E2,O21:O24),"")</f>
        <v/>
      </c>
      <c r="J19" s="2165"/>
      <c r="K19" s="3021"/>
      <c r="L19" s="2046" t="s">
        <v>2533</v>
      </c>
      <c r="M19" s="2166">
        <f>ROUND(SUMIF(地价!B2:F2,E2,地价!B37:F37),0)</f>
        <v>258</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9.4" thickBot="1">
      <c r="A20" s="1688" t="s">
        <v>2535</v>
      </c>
      <c r="B20" s="1584" t="s">
        <v>2536</v>
      </c>
      <c r="C20" s="2171">
        <f>ROUND(POWER(1+G20,J20-I20)*(POWER(1+G20,I20)-1)/(POWER(1+G20,J20)-1),4)</f>
        <v>0.76149999999999995</v>
      </c>
      <c r="D20" s="2172" t="s">
        <v>2537</v>
      </c>
      <c r="E20" s="3124">
        <f>存贷款利率!E20/100</f>
        <v>4.3499999999999997E-2</v>
      </c>
      <c r="F20" s="2172" t="s">
        <v>2526</v>
      </c>
      <c r="G20" s="3125">
        <f>SUMIF(M26:P26,E2,M28:P28)</f>
        <v>5.3999999999999999E-2</v>
      </c>
      <c r="H20" s="2172" t="s">
        <v>2538</v>
      </c>
      <c r="I20" s="2173">
        <f>'数据-取费表'!B13</f>
        <v>21</v>
      </c>
      <c r="J20" s="2174">
        <f>IF(E2="住宅",70,IF(E2="商业",40,50))</f>
        <v>40</v>
      </c>
      <c r="K20" s="3021"/>
      <c r="L20" s="2175" t="s">
        <v>2539</v>
      </c>
      <c r="M20" s="2176">
        <f>ROUND(SUMPRODUCT((地价!A4:A37=YEAR(G19)&amp;"-"&amp;ROUNDUP(MONTH(G19)/3,0))*(地价!B2:F2=E2)*(地价!B4:F37)),0)</f>
        <v>352</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4.4">
      <c r="A21" s="2180" t="s">
        <v>2543</v>
      </c>
      <c r="B21" s="1585" t="s">
        <v>3004</v>
      </c>
      <c r="C21" s="2181">
        <f>IF(B21="容积率修正",IF(G3&lt;=10,D22,J22),C23)</f>
        <v>1.8629</v>
      </c>
      <c r="D21" s="2182"/>
      <c r="E21" s="2182"/>
      <c r="F21" s="2182"/>
      <c r="G21" s="2182"/>
      <c r="H21" s="2182"/>
      <c r="I21" s="2182"/>
      <c r="J21" s="2047"/>
      <c r="K21" s="3021"/>
      <c r="L21" s="3021"/>
      <c r="M21" s="3021"/>
      <c r="N21" s="2183" t="s">
        <v>2544</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4">
      <c r="A22" s="2043">
        <v>1</v>
      </c>
      <c r="B22" s="2042" t="s">
        <v>2545</v>
      </c>
      <c r="C22" s="2042" t="s">
        <v>2546</v>
      </c>
      <c r="D22" s="2042">
        <f>IF(E22=G22,F22,IF(G3&lt;=10,ROUND(F22+(H22-F22)*(G3-E22)/(G22-E22),4),"——"))</f>
        <v>0.89870000000000005</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2" t="s">
        <v>104</v>
      </c>
      <c r="J22" s="2186" t="str">
        <f>IF(G3&gt;10,D113,"——")</f>
        <v>——</v>
      </c>
      <c r="K22" s="3021"/>
      <c r="L22" s="3021"/>
      <c r="M22" s="3021"/>
      <c r="N22" s="2183" t="s">
        <v>2547</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8.8">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19"/>
      <c r="L23" s="3019"/>
      <c r="M23" s="3019"/>
      <c r="N23" s="2183" t="s">
        <v>2549</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 thickBot="1">
      <c r="A24" s="2190" t="s">
        <v>2550</v>
      </c>
      <c r="B24" s="1587" t="s">
        <v>2551</v>
      </c>
      <c r="C24" s="2191">
        <f>SUMIF(A46:A88,E2,B46:B88)</f>
        <v>1.0449999999999999</v>
      </c>
      <c r="D24" s="2192"/>
      <c r="E24" s="2193"/>
      <c r="F24" s="2193"/>
      <c r="G24" s="2193"/>
      <c r="H24" s="2193"/>
      <c r="I24" s="2193"/>
      <c r="J24" s="2194"/>
      <c r="K24" s="3021"/>
      <c r="L24" s="3021"/>
      <c r="M24" s="3021"/>
      <c r="N24" s="2195" t="s">
        <v>2552</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4.4">
      <c r="A26" s="1673"/>
      <c r="B26" s="2042" t="s">
        <v>2556</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 thickBot="1">
      <c r="A27" s="1673"/>
      <c r="B27" s="1589" t="s">
        <v>2557</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 thickBot="1">
      <c r="A28" s="1688"/>
      <c r="B28" s="2208" t="s">
        <v>2558</v>
      </c>
      <c r="C28" s="2209" t="s">
        <v>2559</v>
      </c>
      <c r="D28" s="2209" t="s">
        <v>2560</v>
      </c>
      <c r="E28" s="1588" t="s">
        <v>2561</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ht="25.2">
      <c r="A29" s="2213"/>
      <c r="B29" s="1590" t="s">
        <v>2562</v>
      </c>
      <c r="C29" s="54">
        <f>ROUND(C5*C18*C19*C20*C21*C24,0)</f>
        <v>35546</v>
      </c>
      <c r="D29" s="2214">
        <f>项目基本情况!C12</f>
        <v>215.26</v>
      </c>
      <c r="E29" s="2001">
        <f>ROUND(C29*D29,0)</f>
        <v>7651632</v>
      </c>
      <c r="F29" s="2215" t="s">
        <v>2563</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8" thickBot="1">
      <c r="A30" s="2218"/>
      <c r="B30" s="1591" t="s">
        <v>2564</v>
      </c>
      <c r="C30" s="2142">
        <f>ROUND(IF(E2="工业",C29*M39,C29*M38),0)</f>
        <v>8887</v>
      </c>
      <c r="D30" s="2219"/>
      <c r="E30" s="2001">
        <f>ROUND(C30*D30,0)</f>
        <v>0</v>
      </c>
      <c r="F30" s="2220" t="s">
        <v>2565</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36">
      <c r="A32" s="2213"/>
      <c r="B32" s="2226"/>
      <c r="C32" s="1781" t="s">
        <v>2559</v>
      </c>
      <c r="D32" s="1778" t="s">
        <v>2560</v>
      </c>
      <c r="E32" s="1778" t="s">
        <v>2561</v>
      </c>
      <c r="F32" s="50" t="s">
        <v>2569</v>
      </c>
      <c r="G32" s="2187" t="s">
        <v>2559</v>
      </c>
      <c r="H32" s="2187" t="s">
        <v>2560</v>
      </c>
      <c r="I32" s="2187" t="s">
        <v>2561</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98" t="s">
        <v>2570</v>
      </c>
      <c r="B33" s="2227" t="s">
        <v>2571</v>
      </c>
      <c r="C33" s="54">
        <f>ROUND(D5*C19*C20*C24*F33,0)</f>
        <v>13357</v>
      </c>
      <c r="D33" s="2214"/>
      <c r="E33" s="50">
        <f t="shared" ref="E33:E39" si="7">ROUND(C33*D33,0)</f>
        <v>0</v>
      </c>
      <c r="F33" s="50">
        <f>SUMIF(修正!A45:A56,G2,修正!B45:B56)</f>
        <v>0.7</v>
      </c>
      <c r="G33" s="50">
        <f t="shared" ref="G33" si="8">ROUND(IF(E2="工业",C33*$M$39,C33*$M$38),0)</f>
        <v>3339</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99"/>
      <c r="B34" s="2132" t="s">
        <v>2572</v>
      </c>
      <c r="C34" s="54">
        <f>ROUND(D5*C19*C20*C24*F34,0)</f>
        <v>7632</v>
      </c>
      <c r="D34" s="2214"/>
      <c r="E34" s="50">
        <f t="shared" si="7"/>
        <v>0</v>
      </c>
      <c r="F34" s="50">
        <f>SUMIF(修正!A45:A56,G2,修正!C45:C56)</f>
        <v>0.4</v>
      </c>
      <c r="G34" s="50">
        <f>ROUND(IF(E2="工业",C34*$M$39,C34*$M$38),0)</f>
        <v>1908</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99"/>
      <c r="B35" s="2132" t="s">
        <v>2573</v>
      </c>
      <c r="C35" s="54">
        <f>ROUND(D5*C19*C20*C24*F35,0)</f>
        <v>5343</v>
      </c>
      <c r="D35" s="2214"/>
      <c r="E35" s="50">
        <f t="shared" si="7"/>
        <v>0</v>
      </c>
      <c r="F35" s="50">
        <f>SUMIF(修正!A45:A56,G2,修正!D45:D56)</f>
        <v>0.28000000000000003</v>
      </c>
      <c r="G35" s="50">
        <f>ROUND(IF(E2="工业",C35*$M$39,C35*$M$38),0)</f>
        <v>1336</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8" thickBot="1">
      <c r="A36" s="3700"/>
      <c r="B36" s="2132" t="s">
        <v>2574</v>
      </c>
      <c r="C36" s="54">
        <f>ROUND(D5*C19*C20*C24*F36,0)</f>
        <v>4770</v>
      </c>
      <c r="D36" s="2214"/>
      <c r="E36" s="50">
        <f t="shared" si="7"/>
        <v>0</v>
      </c>
      <c r="F36" s="50">
        <f>SUMIF(修正!A45:A56,G2,修正!E45:E56)</f>
        <v>0.25</v>
      </c>
      <c r="G36" s="50">
        <f>ROUND(IF(E2="工业",C36*$M$39,C36*$M$38),0)</f>
        <v>1193</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2575</v>
      </c>
      <c r="C37" s="50">
        <f>ROUND(D5*C19*C20*C24*F37,0)</f>
        <v>4770</v>
      </c>
      <c r="D37" s="2214"/>
      <c r="E37" s="50">
        <f t="shared" si="7"/>
        <v>0</v>
      </c>
      <c r="F37" s="54">
        <f>SUMIF(修正!A45:A56,G2,修正!F45:F56)</f>
        <v>0.25</v>
      </c>
      <c r="G37" s="50">
        <f>ROUND(IF(E2="工业",C37*$M$39,C37*$M$38),0)</f>
        <v>1193</v>
      </c>
      <c r="H37" s="50">
        <f t="shared" si="10"/>
        <v>0</v>
      </c>
      <c r="I37" s="50">
        <f t="shared" si="9"/>
        <v>0</v>
      </c>
      <c r="J37" s="2201"/>
      <c r="K37" s="3019"/>
      <c r="L37" s="2229" t="s">
        <v>2576</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19"/>
      <c r="L38" s="2230" t="s">
        <v>2578</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8"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ht="24">
      <c r="A41" s="1593"/>
      <c r="B41" s="2236" t="s">
        <v>2659</v>
      </c>
      <c r="C41" s="50">
        <f>ROUND(POWER(1+E41,H41-G41)*(POWER(1+E41,G41)-1)/(POWER(1+E41,H41)-1),4)</f>
        <v>0</v>
      </c>
      <c r="D41" s="50" t="s">
        <v>2657</v>
      </c>
      <c r="E41" s="2237">
        <f>G20</f>
        <v>5.3999999999999999E-2</v>
      </c>
      <c r="F41" s="50" t="s">
        <v>2658</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 thickBot="1">
      <c r="A45" s="2239" t="s">
        <v>2580</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4.4">
      <c r="A46" s="2241" t="s">
        <v>2581</v>
      </c>
      <c r="B46" s="2242">
        <f>1+E48</f>
        <v>1.0449999999999999</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5.2">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52.8">
      <c r="A48" s="2248" t="s">
        <v>2596</v>
      </c>
      <c r="B48" s="2252" t="str">
        <f>估价对象房地状况!C16</f>
        <v>估价对象位于XX商圈，周边商业氛围成熟，人流量大，商业繁华度好</v>
      </c>
      <c r="C48" s="2136" t="s">
        <v>30</v>
      </c>
      <c r="D48" s="2253">
        <f t="shared" ref="D48:D56" si="11">SUMIF($J$47:$N$47,C48,J48:N48)</f>
        <v>1.5800000000000002E-2</v>
      </c>
      <c r="E48" s="2254">
        <f>ROUND(SUM(D48:D56),4)</f>
        <v>4.4999999999999998E-2</v>
      </c>
      <c r="F48" s="2255">
        <f>IF(E2="商业",SUMIF(L1:L12,G2,N1:N12),"——")</f>
        <v>9.6000000000000002E-2</v>
      </c>
      <c r="G48" s="2256">
        <v>1.5800000000000002E-2</v>
      </c>
      <c r="H48" s="2257">
        <f t="shared" ref="H48:H56" si="12">IFERROR(ROUNDDOWN($F$48*I48/2,4),"——")</f>
        <v>1.5800000000000002E-2</v>
      </c>
      <c r="I48" s="2258">
        <v>0.33</v>
      </c>
      <c r="J48" s="2259">
        <f t="shared" ref="J48:J56" si="13">K48+$G48</f>
        <v>3.1600000000000003E-2</v>
      </c>
      <c r="K48" s="2259">
        <f t="shared" ref="K48:K56" si="14">$L48+$G48</f>
        <v>1.5800000000000002E-2</v>
      </c>
      <c r="L48" s="2259">
        <v>0</v>
      </c>
      <c r="M48" s="2259">
        <f t="shared" ref="M48:N56" si="15">L48-$G48</f>
        <v>-1.5800000000000002E-2</v>
      </c>
      <c r="N48" s="2259">
        <f t="shared" si="15"/>
        <v>-3.1600000000000003E-2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66">
      <c r="A49" s="2248" t="s">
        <v>2597</v>
      </c>
      <c r="B49" s="2260" t="str">
        <f>估价对象房地状况!C18</f>
        <v>估价对象周边道路状况、公共交通通达情况、停车便捷程度，综合评价交通便捷度较好</v>
      </c>
      <c r="C49" s="2136" t="s">
        <v>30</v>
      </c>
      <c r="D49" s="2253">
        <f t="shared" si="11"/>
        <v>1.2E-2</v>
      </c>
      <c r="E49" s="2261"/>
      <c r="F49" s="2255"/>
      <c r="G49" s="2256">
        <v>1.2E-2</v>
      </c>
      <c r="H49" s="2257">
        <f t="shared" si="12"/>
        <v>1.2E-2</v>
      </c>
      <c r="I49" s="2258">
        <v>0.25</v>
      </c>
      <c r="J49" s="2259">
        <f t="shared" si="13"/>
        <v>2.4E-2</v>
      </c>
      <c r="K49" s="2259">
        <f t="shared" si="14"/>
        <v>1.2E-2</v>
      </c>
      <c r="L49" s="2259">
        <v>0</v>
      </c>
      <c r="M49" s="2259">
        <f t="shared" si="15"/>
        <v>-1.2E-2</v>
      </c>
      <c r="N49" s="2259">
        <f t="shared" si="15"/>
        <v>-2.4E-2</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2.3999999999999998E-3</v>
      </c>
      <c r="E50" s="2261"/>
      <c r="F50" s="2255"/>
      <c r="G50" s="225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50.4">
      <c r="A51" s="2248" t="s">
        <v>2599</v>
      </c>
      <c r="B51" s="2262" t="s">
        <v>2600</v>
      </c>
      <c r="C51" s="2136" t="s">
        <v>30</v>
      </c>
      <c r="D51" s="2253">
        <f t="shared" si="11"/>
        <v>2.3999999999999998E-3</v>
      </c>
      <c r="E51" s="2261"/>
      <c r="F51" s="2255"/>
      <c r="G51" s="225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2601</v>
      </c>
      <c r="B52" s="2260">
        <f>估价对象房地状况!C24</f>
        <v>0</v>
      </c>
      <c r="C52" s="2136" t="s">
        <v>32</v>
      </c>
      <c r="D52" s="2253">
        <f t="shared" si="11"/>
        <v>-3.8E-3</v>
      </c>
      <c r="E52" s="2261"/>
      <c r="F52" s="2255"/>
      <c r="G52" s="2256">
        <v>3.8E-3</v>
      </c>
      <c r="H52" s="2257">
        <f t="shared" si="12"/>
        <v>3.8E-3</v>
      </c>
      <c r="I52" s="2258">
        <v>0.08</v>
      </c>
      <c r="J52" s="2259">
        <f t="shared" si="13"/>
        <v>7.6E-3</v>
      </c>
      <c r="K52" s="2259">
        <f t="shared" si="14"/>
        <v>3.8E-3</v>
      </c>
      <c r="L52" s="2259">
        <v>0</v>
      </c>
      <c r="M52" s="2259">
        <f t="shared" si="15"/>
        <v>-3.8E-3</v>
      </c>
      <c r="N52" s="2259">
        <f t="shared" si="15"/>
        <v>-7.6E-3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36">
      <c r="A53" s="2248" t="s">
        <v>2602</v>
      </c>
      <c r="B53" s="2263" t="s">
        <v>2603</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6.4">
      <c r="A54" s="2264" t="s">
        <v>2604</v>
      </c>
      <c r="B54" s="2265" t="str">
        <f>估价对象房地状况!C21</f>
        <v>估价对象所在区域公共配套设施齐备情况</v>
      </c>
      <c r="C54" s="2136" t="s">
        <v>30</v>
      </c>
      <c r="D54" s="2253">
        <f t="shared" si="11"/>
        <v>2.3999999999999998E-3</v>
      </c>
      <c r="E54" s="2261"/>
      <c r="F54" s="2255"/>
      <c r="G54" s="225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6.4">
      <c r="A55" s="2264" t="s">
        <v>2605</v>
      </c>
      <c r="B55" s="2260" t="str">
        <f>估价对象房地状况!C22</f>
        <v>估价对象所在区域基础设施水平</v>
      </c>
      <c r="C55" s="2136" t="s">
        <v>29</v>
      </c>
      <c r="D55" s="2253">
        <f t="shared" si="11"/>
        <v>9.5999999999999992E-3</v>
      </c>
      <c r="E55" s="2261"/>
      <c r="F55" s="2255"/>
      <c r="G55" s="2256">
        <v>4.7999999999999996E-3</v>
      </c>
      <c r="H55" s="2257">
        <f t="shared" si="12"/>
        <v>4.7999999999999996E-3</v>
      </c>
      <c r="I55" s="2258">
        <v>0.1</v>
      </c>
      <c r="J55" s="2259">
        <f t="shared" si="13"/>
        <v>9.5999999999999992E-3</v>
      </c>
      <c r="K55" s="2259">
        <f t="shared" si="14"/>
        <v>4.7999999999999996E-3</v>
      </c>
      <c r="L55" s="2259">
        <v>0</v>
      </c>
      <c r="M55" s="2259">
        <f t="shared" si="15"/>
        <v>-4.7999999999999996E-3</v>
      </c>
      <c r="N55" s="2259">
        <f t="shared" si="15"/>
        <v>-9.5999999999999992E-3</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40.200000000000003" thickBot="1">
      <c r="A56" s="2266" t="s">
        <v>2606</v>
      </c>
      <c r="B56" s="2267" t="str">
        <f>估价对象房地状况!C20</f>
        <v>区域自然环境：；人文环境；综合评价环境状况一般</v>
      </c>
      <c r="C56" s="2136" t="s">
        <v>30</v>
      </c>
      <c r="D56" s="2253">
        <f t="shared" si="11"/>
        <v>2.8E-3</v>
      </c>
      <c r="E56" s="2268"/>
      <c r="F56" s="2255"/>
      <c r="G56" s="2256">
        <v>2.8E-3</v>
      </c>
      <c r="H56" s="2257">
        <f t="shared" si="12"/>
        <v>2.8E-3</v>
      </c>
      <c r="I56" s="2269">
        <v>0.06</v>
      </c>
      <c r="J56" s="2259">
        <f t="shared" si="13"/>
        <v>5.5999999999999999E-3</v>
      </c>
      <c r="K56" s="2259">
        <f t="shared" si="14"/>
        <v>2.8E-3</v>
      </c>
      <c r="L56" s="2259">
        <v>0</v>
      </c>
      <c r="M56" s="2259">
        <f t="shared" si="15"/>
        <v>-2.8E-3</v>
      </c>
      <c r="N56" s="2259">
        <f t="shared" si="15"/>
        <v>-5.5999999999999999E-3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4.4">
      <c r="A57" s="2241" t="s">
        <v>2607</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5.2">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52.8">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66">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50.4">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36">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6.4">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6.4">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40.200000000000003"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4.4">
      <c r="A68" s="2241" t="s">
        <v>2612</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5.2">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66">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66">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3.8">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6.4">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6.4">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36">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9.6">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36.6"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4.4">
      <c r="A79" s="2241" t="s">
        <v>2616</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5.2">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7"/>
      <c r="R80" s="3027"/>
      <c r="S80" s="3027"/>
      <c r="T80" s="3027"/>
      <c r="U80" s="3027"/>
      <c r="V80" s="3027"/>
      <c r="W80" s="3027"/>
      <c r="AA80" s="1594"/>
      <c r="AG80" s="2235"/>
    </row>
    <row r="81" spans="1:33" ht="39.6">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66">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3.8">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6.4">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6.4">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36">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53.4"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90" t="s">
        <v>2619</v>
      </c>
      <c r="B90" s="3690"/>
      <c r="C90" s="3690"/>
      <c r="D90" s="3690"/>
      <c r="E90" s="3690"/>
      <c r="F90" s="3690"/>
      <c r="G90" s="3690"/>
      <c r="H90" s="3690"/>
      <c r="I90" s="3690"/>
      <c r="J90" s="3690"/>
      <c r="K90" s="2276"/>
      <c r="L90" s="2276"/>
      <c r="M90" s="2276"/>
      <c r="N90" s="2276"/>
      <c r="Q90" s="3027"/>
      <c r="R90" s="3027"/>
      <c r="S90" s="3027"/>
      <c r="T90" s="3027"/>
      <c r="U90" s="3027"/>
      <c r="V90" s="3027"/>
      <c r="W90" s="3027"/>
    </row>
    <row r="91" spans="1:33">
      <c r="A91" s="3692" t="s">
        <v>2620</v>
      </c>
      <c r="B91" s="3692" t="s">
        <v>2621</v>
      </c>
      <c r="C91" s="2215" t="s">
        <v>2622</v>
      </c>
      <c r="D91" s="2216"/>
      <c r="E91" s="2216"/>
      <c r="F91" s="2216"/>
      <c r="G91" s="2216"/>
      <c r="H91" s="2216"/>
      <c r="I91" s="2216"/>
      <c r="J91" s="2278"/>
      <c r="K91" s="2038"/>
      <c r="L91" s="2038"/>
      <c r="M91" s="2038"/>
      <c r="N91" s="2038"/>
      <c r="Q91" s="3027"/>
      <c r="R91" s="3027"/>
      <c r="S91" s="3027"/>
      <c r="T91" s="3027"/>
      <c r="U91" s="3027"/>
      <c r="V91" s="3027"/>
      <c r="W91" s="3027"/>
    </row>
    <row r="92" spans="1:33">
      <c r="A92" s="3692"/>
      <c r="B92" s="369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693"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9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9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9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9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9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94"/>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7"/>
      <c r="R99" s="3027"/>
      <c r="S99" s="3027"/>
      <c r="T99" s="3027"/>
      <c r="U99" s="3027"/>
      <c r="V99" s="3027"/>
      <c r="W99" s="3027"/>
    </row>
    <row r="100" spans="1:23">
      <c r="A100" s="3695"/>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693" t="s">
        <v>2624</v>
      </c>
      <c r="B101" s="2283" t="s">
        <v>2625</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7"/>
      <c r="R101" s="3027"/>
      <c r="S101" s="3027"/>
      <c r="T101" s="3027"/>
      <c r="U101" s="3027"/>
      <c r="V101" s="3027"/>
      <c r="W101" s="3027"/>
    </row>
    <row r="102" spans="1:23">
      <c r="A102" s="3694"/>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7"/>
      <c r="R102" s="3027"/>
      <c r="S102" s="3027"/>
      <c r="T102" s="3027"/>
      <c r="U102" s="3027"/>
      <c r="V102" s="3027"/>
      <c r="W102" s="3027"/>
    </row>
    <row r="103" spans="1:23">
      <c r="A103" s="3694"/>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7"/>
      <c r="R103" s="3027"/>
      <c r="S103" s="3027"/>
      <c r="T103" s="3027"/>
      <c r="U103" s="3027"/>
      <c r="V103" s="3027"/>
      <c r="W103" s="3027"/>
    </row>
    <row r="104" spans="1:23">
      <c r="A104" s="3694"/>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7"/>
      <c r="R104" s="3027"/>
      <c r="S104" s="3027"/>
      <c r="T104" s="3027"/>
      <c r="U104" s="3027"/>
      <c r="V104" s="3027"/>
      <c r="W104" s="3027"/>
    </row>
    <row r="105" spans="1:23">
      <c r="A105" s="3694"/>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7"/>
      <c r="R105" s="3027"/>
      <c r="S105" s="3027"/>
      <c r="T105" s="3027"/>
      <c r="U105" s="3027"/>
      <c r="V105" s="3027"/>
      <c r="W105" s="3027"/>
    </row>
    <row r="106" spans="1:23">
      <c r="A106" s="3694"/>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7"/>
      <c r="R106" s="3027"/>
      <c r="S106" s="3027"/>
      <c r="T106" s="3027"/>
      <c r="U106" s="3027"/>
      <c r="V106" s="3027"/>
      <c r="W106" s="3027"/>
    </row>
    <row r="107" spans="1:23">
      <c r="A107" s="3694"/>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7"/>
      <c r="R107" s="3027"/>
      <c r="S107" s="3027"/>
      <c r="T107" s="3027"/>
      <c r="U107" s="3027"/>
      <c r="V107" s="3027"/>
      <c r="W107" s="3027"/>
    </row>
    <row r="108" spans="1:23">
      <c r="A108" s="3694"/>
      <c r="B108" s="3696"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7"/>
      <c r="R108" s="3027"/>
      <c r="S108" s="3027"/>
      <c r="T108" s="3027"/>
      <c r="U108" s="3027"/>
      <c r="V108" s="3027"/>
      <c r="W108" s="3027"/>
    </row>
    <row r="109" spans="1:23">
      <c r="A109" s="3695"/>
      <c r="B109" s="3697"/>
      <c r="C109" s="2282">
        <f>(-0.163*(C108^2)-0.59*C108+7617)*(10^(-4))/C101</f>
        <v>0.21760705714285716</v>
      </c>
      <c r="D109" s="2282">
        <f>(-0.163*(D108^2)-0.59*D108+7617)*(10^(-4))/D101</f>
        <v>0.21760705714285716</v>
      </c>
      <c r="E109" s="2282">
        <f>(-0.161*(E108^2)-7.509*E108+6533)*(10^(-4))/E101</f>
        <v>0.18643800000000002</v>
      </c>
      <c r="F109" s="2282">
        <f>(-0.161*(F108^2)-7.509*F108+6533)*(10^(-4))/F101</f>
        <v>0.18643800000000002</v>
      </c>
      <c r="G109" s="2282">
        <f>(-0.161*(G108^2)-7.509*G108+6533)*(10^(-4))/G101</f>
        <v>0.18643800000000002</v>
      </c>
      <c r="H109" s="2282">
        <f>(-0.161*(H108^2)-7.509*H108+6533)*(10^(-4))/H101</f>
        <v>0.18643800000000002</v>
      </c>
      <c r="I109" s="2282">
        <f>(-0.161*(I108^2)-7.509*I108+6533)*(10^(-4))/I101</f>
        <v>0.18643800000000002</v>
      </c>
      <c r="J109" s="2282">
        <f>(-0.214*(J108^2)-21.991*J108+4665)*(10^(-4))/J101</f>
        <v>0.13265128571428572</v>
      </c>
      <c r="K109" s="2282">
        <f>(-0.214*(K108^2)-21.991*K108+4665)*(10^(-4))/K101</f>
        <v>0.13265128571428572</v>
      </c>
      <c r="L109" s="2282">
        <f>(-0.214*(L108^2)-21.991*L108+4665)*(10^(-4))/L101</f>
        <v>0.13265128571428572</v>
      </c>
      <c r="M109" s="2282">
        <f>(-0.214*(M108^2)-21.991*M108+4665)*(10^(-4))/M101</f>
        <v>0.13265128571428572</v>
      </c>
      <c r="N109" s="2282">
        <f>(-0.214*(N108^2)-21.991*N108+4665)*(10^(-4))/N101</f>
        <v>0.13265128571428572</v>
      </c>
      <c r="Q109" s="3027"/>
      <c r="R109" s="3027"/>
      <c r="S109" s="3027"/>
      <c r="T109" s="3027"/>
      <c r="U109" s="3027"/>
      <c r="V109" s="3027"/>
      <c r="W109" s="3027"/>
    </row>
    <row r="110" spans="1:23">
      <c r="A110" s="3691" t="s">
        <v>2627</v>
      </c>
      <c r="B110" s="3691"/>
      <c r="C110" s="3691"/>
      <c r="D110" s="3691"/>
      <c r="E110" s="3691"/>
      <c r="F110" s="3691"/>
      <c r="G110" s="3691"/>
      <c r="H110" s="3691"/>
      <c r="I110" s="3691"/>
      <c r="J110" s="3691"/>
      <c r="K110" s="2050"/>
      <c r="L110" s="2050"/>
      <c r="M110" s="2050"/>
      <c r="N110" s="2050"/>
      <c r="Q110" s="3027"/>
      <c r="R110" s="3027"/>
      <c r="S110" s="3027"/>
      <c r="T110" s="3027"/>
      <c r="U110" s="3027"/>
      <c r="V110" s="3027"/>
      <c r="W110" s="3027"/>
    </row>
    <row r="112" spans="1:23" ht="13.8" thickBot="1"/>
    <row r="113" spans="1:13" ht="25.8" thickBot="1">
      <c r="A113" s="2285" t="s">
        <v>2628</v>
      </c>
      <c r="B113" s="2286">
        <f>G3</f>
        <v>3.5</v>
      </c>
      <c r="C113" s="2287" t="s">
        <v>2629</v>
      </c>
      <c r="D113" s="2288">
        <f>SUMPRODUCT((A115:A118=F113)*(B114:M114=H113)*B115:M118)</f>
        <v>0.79500000000000004</v>
      </c>
      <c r="E113" s="1572" t="s">
        <v>2516</v>
      </c>
      <c r="F113" s="2289" t="str">
        <f>E2</f>
        <v>商业</v>
      </c>
      <c r="G113" s="1572" t="s">
        <v>2450</v>
      </c>
      <c r="H113" s="2289" t="str">
        <f>G2</f>
        <v>四级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2518</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2519</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8" thickBot="1">
      <c r="A118" s="2300" t="s">
        <v>2520</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3" t="s">
        <v>779</v>
      </c>
      <c r="B1" s="3703"/>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9.6000000000000002E-2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3" t="s">
        <v>105</v>
      </c>
      <c r="B1" s="3703"/>
      <c r="C1" s="3703"/>
      <c r="D1" s="3703"/>
      <c r="E1" s="3703"/>
      <c r="F1" s="370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4" t="s">
        <v>118</v>
      </c>
      <c r="B2" s="3704"/>
      <c r="C2" s="3704"/>
      <c r="D2" s="3704"/>
      <c r="E2" s="3704"/>
      <c r="F2" s="370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17610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7" t="s">
        <v>132</v>
      </c>
      <c r="B18" s="768" t="s">
        <v>517</v>
      </c>
      <c r="C18" s="769" t="s">
        <v>518</v>
      </c>
      <c r="D18" s="770"/>
      <c r="E18" s="768">
        <v>1</v>
      </c>
      <c r="F18" s="771" t="s">
        <v>519</v>
      </c>
      <c r="G18" s="772"/>
      <c r="H18" s="764"/>
      <c r="I18" s="764"/>
    </row>
    <row r="19" spans="1:9" s="773" customFormat="1" ht="19.5" customHeight="1">
      <c r="A19" s="3707"/>
      <c r="B19" s="3707" t="s">
        <v>520</v>
      </c>
      <c r="C19" s="769" t="s">
        <v>521</v>
      </c>
      <c r="D19" s="770"/>
      <c r="E19" s="768">
        <v>0.9</v>
      </c>
      <c r="F19" s="771" t="s">
        <v>522</v>
      </c>
      <c r="G19" s="772"/>
      <c r="H19" s="764"/>
      <c r="I19" s="764"/>
    </row>
    <row r="20" spans="1:9" s="773" customFormat="1" ht="19.5" customHeight="1">
      <c r="A20" s="3707"/>
      <c r="B20" s="3707"/>
      <c r="C20" s="769" t="s">
        <v>523</v>
      </c>
      <c r="D20" s="770"/>
      <c r="E20" s="768">
        <v>1.1000000000000001</v>
      </c>
      <c r="F20" s="771" t="s">
        <v>524</v>
      </c>
      <c r="G20" s="772"/>
      <c r="H20" s="764"/>
      <c r="I20" s="764"/>
    </row>
    <row r="21" spans="1:9" s="773" customFormat="1" ht="19.5" customHeight="1">
      <c r="A21" s="3707"/>
      <c r="B21" s="3707"/>
      <c r="C21" s="769" t="s">
        <v>525</v>
      </c>
      <c r="D21" s="770"/>
      <c r="E21" s="768">
        <v>0.8</v>
      </c>
      <c r="F21" s="771" t="s">
        <v>526</v>
      </c>
      <c r="G21" s="772"/>
      <c r="H21" s="764"/>
      <c r="I21" s="764"/>
    </row>
    <row r="22" spans="1:9" s="773" customFormat="1" ht="19.5" customHeight="1">
      <c r="A22" s="3707"/>
      <c r="B22" s="3707"/>
      <c r="C22" s="769" t="s">
        <v>527</v>
      </c>
      <c r="D22" s="770"/>
      <c r="E22" s="768">
        <v>0.5</v>
      </c>
      <c r="F22" s="771"/>
      <c r="G22" s="772"/>
      <c r="H22" s="764"/>
      <c r="I22" s="764"/>
    </row>
    <row r="23" spans="1:9" s="773" customFormat="1" ht="19.5" customHeight="1">
      <c r="A23" s="3707" t="s">
        <v>133</v>
      </c>
      <c r="B23" s="768" t="s">
        <v>517</v>
      </c>
      <c r="C23" s="769" t="s">
        <v>528</v>
      </c>
      <c r="D23" s="770"/>
      <c r="E23" s="768">
        <v>1</v>
      </c>
      <c r="F23" s="771" t="s">
        <v>529</v>
      </c>
      <c r="G23" s="772"/>
      <c r="H23" s="764"/>
      <c r="I23" s="764"/>
    </row>
    <row r="24" spans="1:9" s="773" customFormat="1" ht="19.5" customHeight="1">
      <c r="A24" s="3707"/>
      <c r="B24" s="3707" t="s">
        <v>520</v>
      </c>
      <c r="C24" s="769" t="s">
        <v>530</v>
      </c>
      <c r="D24" s="770"/>
      <c r="E24" s="768">
        <v>0.5</v>
      </c>
      <c r="F24" s="771"/>
      <c r="G24" s="772"/>
      <c r="H24" s="764"/>
      <c r="I24" s="764"/>
    </row>
    <row r="25" spans="1:9" s="773" customFormat="1" ht="19.5" customHeight="1">
      <c r="A25" s="3707"/>
      <c r="B25" s="3707"/>
      <c r="C25" s="769" t="s">
        <v>531</v>
      </c>
      <c r="D25" s="770"/>
      <c r="E25" s="768">
        <v>1.1000000000000001</v>
      </c>
      <c r="F25" s="771"/>
      <c r="G25" s="772"/>
      <c r="H25" s="764"/>
      <c r="I25" s="764"/>
    </row>
    <row r="26" spans="1:9" s="773" customFormat="1" ht="19.5" customHeight="1">
      <c r="A26" s="3707"/>
      <c r="B26" s="3707"/>
      <c r="C26" s="769" t="s">
        <v>532</v>
      </c>
      <c r="D26" s="770"/>
      <c r="E26" s="768">
        <v>1.1000000000000001</v>
      </c>
      <c r="F26" s="771"/>
      <c r="G26" s="772"/>
      <c r="H26" s="764"/>
      <c r="I26" s="764"/>
    </row>
    <row r="27" spans="1:9" s="773" customFormat="1" ht="19.5" customHeight="1">
      <c r="A27" s="3707"/>
      <c r="B27" s="3707"/>
      <c r="C27" s="769" t="s">
        <v>533</v>
      </c>
      <c r="D27" s="770"/>
      <c r="E27" s="768">
        <v>0.9</v>
      </c>
      <c r="F27" s="771" t="s">
        <v>534</v>
      </c>
      <c r="G27" s="772"/>
      <c r="H27" s="764"/>
      <c r="I27" s="764"/>
    </row>
    <row r="28" spans="1:9" s="773" customFormat="1" ht="19.5" customHeight="1">
      <c r="A28" s="3707"/>
      <c r="B28" s="3707"/>
      <c r="C28" s="769" t="s">
        <v>535</v>
      </c>
      <c r="D28" s="770"/>
      <c r="E28" s="768">
        <v>0.9</v>
      </c>
      <c r="F28" s="771" t="s">
        <v>536</v>
      </c>
      <c r="G28" s="772"/>
      <c r="H28" s="764"/>
      <c r="I28" s="764"/>
    </row>
    <row r="29" spans="1:9" s="773" customFormat="1" ht="19.5" customHeight="1">
      <c r="A29" s="3707"/>
      <c r="B29" s="3707"/>
      <c r="C29" s="769" t="s">
        <v>537</v>
      </c>
      <c r="D29" s="770"/>
      <c r="E29" s="768">
        <v>0.9</v>
      </c>
      <c r="F29" s="771" t="s">
        <v>538</v>
      </c>
      <c r="G29" s="772"/>
      <c r="H29" s="764"/>
      <c r="I29" s="764"/>
    </row>
    <row r="30" spans="1:9" s="773" customFormat="1" ht="19.5" customHeight="1">
      <c r="A30" s="3707"/>
      <c r="B30" s="3707"/>
      <c r="C30" s="769" t="s">
        <v>539</v>
      </c>
      <c r="D30" s="770"/>
      <c r="E30" s="768">
        <v>0.9</v>
      </c>
      <c r="F30" s="771" t="s">
        <v>540</v>
      </c>
      <c r="G30" s="772"/>
      <c r="H30" s="764"/>
      <c r="I30" s="764"/>
    </row>
    <row r="31" spans="1:9" s="773" customFormat="1" ht="19.5" customHeight="1">
      <c r="A31" s="3707"/>
      <c r="B31" s="3707"/>
      <c r="C31" s="769" t="s">
        <v>541</v>
      </c>
      <c r="D31" s="770"/>
      <c r="E31" s="768">
        <v>0.8</v>
      </c>
      <c r="F31" s="771" t="s">
        <v>542</v>
      </c>
      <c r="G31" s="772"/>
      <c r="H31" s="764"/>
      <c r="I31" s="764"/>
    </row>
    <row r="32" spans="1:9" s="773" customFormat="1" ht="19.5" customHeight="1">
      <c r="A32" s="3707"/>
      <c r="B32" s="3707"/>
      <c r="C32" s="769" t="s">
        <v>543</v>
      </c>
      <c r="D32" s="770"/>
      <c r="E32" s="768">
        <v>0.8</v>
      </c>
      <c r="F32" s="771" t="s">
        <v>544</v>
      </c>
      <c r="G32" s="772"/>
      <c r="H32" s="764"/>
      <c r="I32" s="764"/>
    </row>
    <row r="33" spans="1:9" s="773" customFormat="1" ht="19.5" customHeight="1">
      <c r="A33" s="3707" t="s">
        <v>134</v>
      </c>
      <c r="B33" s="768" t="s">
        <v>517</v>
      </c>
      <c r="C33" s="769" t="s">
        <v>545</v>
      </c>
      <c r="D33" s="770"/>
      <c r="E33" s="768">
        <v>1</v>
      </c>
      <c r="F33" s="771" t="s">
        <v>546</v>
      </c>
      <c r="G33" s="772"/>
      <c r="H33" s="764"/>
      <c r="I33" s="764"/>
    </row>
    <row r="34" spans="1:9" s="773" customFormat="1" ht="19.5" customHeight="1">
      <c r="A34" s="3707"/>
      <c r="B34" s="768" t="s">
        <v>520</v>
      </c>
      <c r="C34" s="769" t="s">
        <v>547</v>
      </c>
      <c r="D34" s="770"/>
      <c r="E34" s="768">
        <v>1.5</v>
      </c>
      <c r="F34" s="771" t="s">
        <v>548</v>
      </c>
      <c r="G34" s="772"/>
      <c r="H34" s="764"/>
      <c r="I34" s="764"/>
    </row>
    <row r="35" spans="1:9" s="773" customFormat="1" ht="19.5" customHeight="1">
      <c r="A35" s="3707" t="s">
        <v>135</v>
      </c>
      <c r="B35" s="768" t="s">
        <v>517</v>
      </c>
      <c r="C35" s="769" t="s">
        <v>549</v>
      </c>
      <c r="D35" s="770"/>
      <c r="E35" s="768">
        <v>1</v>
      </c>
      <c r="F35" s="771" t="s">
        <v>550</v>
      </c>
      <c r="G35" s="772"/>
      <c r="H35" s="764"/>
      <c r="I35" s="764"/>
    </row>
    <row r="36" spans="1:9" s="773" customFormat="1" ht="19.5" customHeight="1">
      <c r="A36" s="3707"/>
      <c r="B36" s="3707" t="s">
        <v>520</v>
      </c>
      <c r="C36" s="769" t="s">
        <v>551</v>
      </c>
      <c r="D36" s="770"/>
      <c r="E36" s="768">
        <v>1</v>
      </c>
      <c r="F36" s="771" t="s">
        <v>552</v>
      </c>
      <c r="G36" s="772"/>
      <c r="H36" s="764"/>
      <c r="I36" s="764"/>
    </row>
    <row r="37" spans="1:9" s="773" customFormat="1" ht="19.5" customHeight="1">
      <c r="A37" s="3707"/>
      <c r="B37" s="3707"/>
      <c r="C37" s="769" t="s">
        <v>553</v>
      </c>
      <c r="D37" s="770"/>
      <c r="E37" s="768">
        <v>1.5</v>
      </c>
      <c r="F37" s="771" t="s">
        <v>554</v>
      </c>
      <c r="G37" s="772"/>
      <c r="H37" s="764"/>
      <c r="I37" s="764"/>
    </row>
    <row r="38" spans="1:9" s="773" customFormat="1" ht="19.5" customHeight="1">
      <c r="A38" s="3707"/>
      <c r="B38" s="3707"/>
      <c r="C38" s="769" t="s">
        <v>555</v>
      </c>
      <c r="D38" s="770"/>
      <c r="E38" s="768">
        <v>1</v>
      </c>
      <c r="F38" s="771" t="s">
        <v>556</v>
      </c>
      <c r="G38" s="772"/>
      <c r="H38" s="764"/>
      <c r="I38" s="764"/>
    </row>
    <row r="39" spans="1:9" s="773" customFormat="1" ht="19.5" customHeight="1">
      <c r="A39" s="3707"/>
      <c r="B39" s="370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07" t="s">
        <v>571</v>
      </c>
      <c r="C61" s="682" t="s">
        <v>572</v>
      </c>
      <c r="D61" s="682" t="s">
        <v>573</v>
      </c>
      <c r="E61" s="781">
        <v>0.5</v>
      </c>
      <c r="F61" s="768">
        <v>80</v>
      </c>
    </row>
    <row r="62" spans="1:8" s="764" customFormat="1" ht="36">
      <c r="A62" s="768">
        <v>2</v>
      </c>
      <c r="B62" s="3707"/>
      <c r="C62" s="682" t="s">
        <v>574</v>
      </c>
      <c r="D62" s="682" t="s">
        <v>575</v>
      </c>
      <c r="E62" s="781">
        <v>0.5</v>
      </c>
      <c r="F62" s="768">
        <v>80</v>
      </c>
    </row>
    <row r="63" spans="1:8" s="764" customFormat="1" ht="48">
      <c r="A63" s="768">
        <v>3</v>
      </c>
      <c r="B63" s="3707"/>
      <c r="C63" s="682" t="s">
        <v>576</v>
      </c>
      <c r="D63" s="682" t="s">
        <v>577</v>
      </c>
      <c r="E63" s="781">
        <v>0.5</v>
      </c>
      <c r="F63" s="768">
        <v>80</v>
      </c>
    </row>
    <row r="64" spans="1:8" s="764" customFormat="1" ht="48">
      <c r="A64" s="768">
        <v>4</v>
      </c>
      <c r="B64" s="3707"/>
      <c r="C64" s="682" t="s">
        <v>578</v>
      </c>
      <c r="D64" s="682" t="s">
        <v>579</v>
      </c>
      <c r="E64" s="781">
        <v>0.4</v>
      </c>
      <c r="F64" s="768">
        <v>60</v>
      </c>
    </row>
    <row r="65" spans="1:6" s="764" customFormat="1" ht="48">
      <c r="A65" s="768">
        <v>5</v>
      </c>
      <c r="B65" s="3707"/>
      <c r="C65" s="682" t="s">
        <v>580</v>
      </c>
      <c r="D65" s="682" t="s">
        <v>581</v>
      </c>
      <c r="E65" s="781">
        <v>0.2</v>
      </c>
      <c r="F65" s="768">
        <v>30</v>
      </c>
    </row>
    <row r="66" spans="1:6" s="764" customFormat="1" ht="48">
      <c r="A66" s="768">
        <v>6</v>
      </c>
      <c r="B66" s="3707"/>
      <c r="C66" s="682" t="s">
        <v>582</v>
      </c>
      <c r="D66" s="682" t="s">
        <v>583</v>
      </c>
      <c r="E66" s="781">
        <v>0.3</v>
      </c>
      <c r="F66" s="768">
        <v>50</v>
      </c>
    </row>
    <row r="67" spans="1:6" s="764" customFormat="1" ht="48">
      <c r="A67" s="768">
        <v>7</v>
      </c>
      <c r="B67" s="3707"/>
      <c r="C67" s="682" t="s">
        <v>584</v>
      </c>
      <c r="D67" s="682" t="s">
        <v>585</v>
      </c>
      <c r="E67" s="781">
        <v>0.2</v>
      </c>
      <c r="F67" s="768">
        <v>30</v>
      </c>
    </row>
    <row r="68" spans="1:6" s="764" customFormat="1" ht="48">
      <c r="A68" s="768">
        <v>8</v>
      </c>
      <c r="B68" s="3707"/>
      <c r="C68" s="682" t="s">
        <v>586</v>
      </c>
      <c r="D68" s="682" t="s">
        <v>587</v>
      </c>
      <c r="E68" s="781">
        <v>0.2</v>
      </c>
      <c r="F68" s="768">
        <v>30</v>
      </c>
    </row>
    <row r="69" spans="1:6" s="764" customFormat="1" ht="48">
      <c r="A69" s="768">
        <v>9</v>
      </c>
      <c r="B69" s="3707"/>
      <c r="C69" s="682" t="s">
        <v>588</v>
      </c>
      <c r="D69" s="682" t="s">
        <v>589</v>
      </c>
      <c r="E69" s="781">
        <v>0.2</v>
      </c>
      <c r="F69" s="768">
        <v>30</v>
      </c>
    </row>
    <row r="70" spans="1:6" s="764" customFormat="1" ht="60">
      <c r="A70" s="768">
        <v>10</v>
      </c>
      <c r="B70" s="3707"/>
      <c r="C70" s="682" t="s">
        <v>590</v>
      </c>
      <c r="D70" s="682" t="s">
        <v>591</v>
      </c>
      <c r="E70" s="781">
        <v>0.2</v>
      </c>
      <c r="F70" s="768">
        <v>30</v>
      </c>
    </row>
    <row r="71" spans="1:6" s="764" customFormat="1" ht="60">
      <c r="A71" s="768">
        <v>11</v>
      </c>
      <c r="B71" s="3707"/>
      <c r="C71" s="682" t="s">
        <v>592</v>
      </c>
      <c r="D71" s="682" t="s">
        <v>593</v>
      </c>
      <c r="E71" s="781">
        <v>0.2</v>
      </c>
      <c r="F71" s="768">
        <v>30</v>
      </c>
    </row>
    <row r="72" spans="1:6" s="764" customFormat="1" ht="36">
      <c r="A72" s="768">
        <v>12</v>
      </c>
      <c r="B72" s="3707"/>
      <c r="C72" s="682" t="s">
        <v>594</v>
      </c>
      <c r="D72" s="682" t="s">
        <v>595</v>
      </c>
      <c r="E72" s="781">
        <v>0.5</v>
      </c>
      <c r="F72" s="768">
        <v>80</v>
      </c>
    </row>
    <row r="73" spans="1:6" s="764" customFormat="1" ht="36">
      <c r="A73" s="768">
        <v>13</v>
      </c>
      <c r="B73" s="3707"/>
      <c r="C73" s="682" t="s">
        <v>596</v>
      </c>
      <c r="D73" s="682" t="s">
        <v>597</v>
      </c>
      <c r="E73" s="781">
        <v>0.4</v>
      </c>
      <c r="F73" s="768">
        <v>60</v>
      </c>
    </row>
    <row r="74" spans="1:6" s="764" customFormat="1" ht="36">
      <c r="A74" s="768">
        <v>14</v>
      </c>
      <c r="B74" s="3707"/>
      <c r="C74" s="682" t="s">
        <v>598</v>
      </c>
      <c r="D74" s="682" t="s">
        <v>599</v>
      </c>
      <c r="E74" s="781">
        <v>0.2</v>
      </c>
      <c r="F74" s="768">
        <v>30</v>
      </c>
    </row>
    <row r="75" spans="1:6" s="764" customFormat="1" ht="36">
      <c r="A75" s="768">
        <v>15</v>
      </c>
      <c r="B75" s="3707"/>
      <c r="C75" s="682" t="s">
        <v>600</v>
      </c>
      <c r="D75" s="682" t="s">
        <v>601</v>
      </c>
      <c r="E75" s="781">
        <v>0.2</v>
      </c>
      <c r="F75" s="768">
        <v>30</v>
      </c>
    </row>
    <row r="76" spans="1:6" s="764" customFormat="1" ht="36">
      <c r="A76" s="768">
        <v>16</v>
      </c>
      <c r="B76" s="3707" t="s">
        <v>602</v>
      </c>
      <c r="C76" s="682" t="s">
        <v>603</v>
      </c>
      <c r="D76" s="682" t="s">
        <v>604</v>
      </c>
      <c r="E76" s="781">
        <v>0.5</v>
      </c>
      <c r="F76" s="768">
        <v>80</v>
      </c>
    </row>
    <row r="77" spans="1:6" s="764" customFormat="1" ht="36">
      <c r="A77" s="768">
        <v>17</v>
      </c>
      <c r="B77" s="3707"/>
      <c r="C77" s="682" t="s">
        <v>605</v>
      </c>
      <c r="D77" s="682" t="s">
        <v>606</v>
      </c>
      <c r="E77" s="781">
        <v>0.5</v>
      </c>
      <c r="F77" s="768">
        <v>80</v>
      </c>
    </row>
    <row r="78" spans="1:6" s="764" customFormat="1" ht="36">
      <c r="A78" s="768">
        <v>18</v>
      </c>
      <c r="B78" s="3707"/>
      <c r="C78" s="682" t="s">
        <v>607</v>
      </c>
      <c r="D78" s="682" t="s">
        <v>608</v>
      </c>
      <c r="E78" s="781">
        <v>0.2</v>
      </c>
      <c r="F78" s="768">
        <v>30</v>
      </c>
    </row>
    <row r="79" spans="1:6" s="764" customFormat="1" ht="36">
      <c r="A79" s="768">
        <v>19</v>
      </c>
      <c r="B79" s="3707"/>
      <c r="C79" s="682" t="s">
        <v>609</v>
      </c>
      <c r="D79" s="682" t="s">
        <v>610</v>
      </c>
      <c r="E79" s="781">
        <v>0.5</v>
      </c>
      <c r="F79" s="768">
        <v>80</v>
      </c>
    </row>
    <row r="80" spans="1:6" s="764" customFormat="1" ht="36">
      <c r="A80" s="768">
        <v>20</v>
      </c>
      <c r="B80" s="3707"/>
      <c r="C80" s="682" t="s">
        <v>611</v>
      </c>
      <c r="D80" s="682" t="s">
        <v>612</v>
      </c>
      <c r="E80" s="781">
        <v>0.2</v>
      </c>
      <c r="F80" s="768">
        <v>30</v>
      </c>
    </row>
    <row r="81" spans="1:6" s="764" customFormat="1" ht="36">
      <c r="A81" s="768">
        <v>21</v>
      </c>
      <c r="B81" s="3707"/>
      <c r="C81" s="682" t="s">
        <v>613</v>
      </c>
      <c r="D81" s="682" t="s">
        <v>614</v>
      </c>
      <c r="E81" s="781">
        <v>0.2</v>
      </c>
      <c r="F81" s="768">
        <v>30</v>
      </c>
    </row>
    <row r="82" spans="1:6" s="764" customFormat="1" ht="60">
      <c r="A82" s="768">
        <v>22</v>
      </c>
      <c r="B82" s="3707"/>
      <c r="C82" s="682" t="s">
        <v>615</v>
      </c>
      <c r="D82" s="682" t="s">
        <v>616</v>
      </c>
      <c r="E82" s="781">
        <v>0.2</v>
      </c>
      <c r="F82" s="768">
        <v>30</v>
      </c>
    </row>
    <row r="83" spans="1:6" s="764" customFormat="1" ht="60">
      <c r="A83" s="768">
        <v>23</v>
      </c>
      <c r="B83" s="3707"/>
      <c r="C83" s="682" t="s">
        <v>617</v>
      </c>
      <c r="D83" s="682" t="s">
        <v>618</v>
      </c>
      <c r="E83" s="781">
        <v>0.2</v>
      </c>
      <c r="F83" s="768">
        <v>30</v>
      </c>
    </row>
    <row r="84" spans="1:6" s="764" customFormat="1" ht="48">
      <c r="A84" s="768">
        <v>24</v>
      </c>
      <c r="B84" s="3707"/>
      <c r="C84" s="682" t="s">
        <v>619</v>
      </c>
      <c r="D84" s="682" t="s">
        <v>620</v>
      </c>
      <c r="E84" s="781">
        <v>0.2</v>
      </c>
      <c r="F84" s="768">
        <v>30</v>
      </c>
    </row>
    <row r="85" spans="1:6" s="764" customFormat="1" ht="36">
      <c r="A85" s="768">
        <v>25</v>
      </c>
      <c r="B85" s="3707"/>
      <c r="C85" s="682" t="s">
        <v>621</v>
      </c>
      <c r="D85" s="682" t="s">
        <v>622</v>
      </c>
      <c r="E85" s="781">
        <v>0.5</v>
      </c>
      <c r="F85" s="768">
        <v>80</v>
      </c>
    </row>
    <row r="86" spans="1:6" s="764" customFormat="1" ht="36">
      <c r="A86" s="768">
        <v>26</v>
      </c>
      <c r="B86" s="3707"/>
      <c r="C86" s="682" t="s">
        <v>623</v>
      </c>
      <c r="D86" s="682" t="s">
        <v>624</v>
      </c>
      <c r="E86" s="781">
        <v>0.2</v>
      </c>
      <c r="F86" s="768">
        <v>30</v>
      </c>
    </row>
    <row r="87" spans="1:6" s="764" customFormat="1" ht="36">
      <c r="A87" s="768">
        <v>27</v>
      </c>
      <c r="B87" s="3707"/>
      <c r="C87" s="682" t="s">
        <v>625</v>
      </c>
      <c r="D87" s="682" t="s">
        <v>626</v>
      </c>
      <c r="E87" s="781">
        <v>0.2</v>
      </c>
      <c r="F87" s="768">
        <v>30</v>
      </c>
    </row>
    <row r="88" spans="1:6" s="764" customFormat="1" ht="36">
      <c r="A88" s="768">
        <v>28</v>
      </c>
      <c r="B88" s="3707"/>
      <c r="C88" s="682" t="s">
        <v>627</v>
      </c>
      <c r="D88" s="682" t="s">
        <v>628</v>
      </c>
      <c r="E88" s="781">
        <v>0.2</v>
      </c>
      <c r="F88" s="768">
        <v>30</v>
      </c>
    </row>
    <row r="89" spans="1:6" s="764" customFormat="1" ht="36">
      <c r="A89" s="768">
        <v>29</v>
      </c>
      <c r="B89" s="3707"/>
      <c r="C89" s="682" t="s">
        <v>629</v>
      </c>
      <c r="D89" s="682" t="s">
        <v>630</v>
      </c>
      <c r="E89" s="781">
        <v>0.2</v>
      </c>
      <c r="F89" s="768">
        <v>30</v>
      </c>
    </row>
    <row r="90" spans="1:6" s="764" customFormat="1" ht="36">
      <c r="A90" s="768">
        <v>30</v>
      </c>
      <c r="B90" s="3707"/>
      <c r="C90" s="682" t="s">
        <v>631</v>
      </c>
      <c r="D90" s="682" t="s">
        <v>632</v>
      </c>
      <c r="E90" s="781">
        <v>0.2</v>
      </c>
      <c r="F90" s="768">
        <v>30</v>
      </c>
    </row>
    <row r="91" spans="1:6" s="764" customFormat="1" ht="48">
      <c r="A91" s="768">
        <v>31</v>
      </c>
      <c r="B91" s="3707"/>
      <c r="C91" s="682" t="s">
        <v>633</v>
      </c>
      <c r="D91" s="682" t="s">
        <v>634</v>
      </c>
      <c r="E91" s="781">
        <v>0.2</v>
      </c>
      <c r="F91" s="768">
        <v>30</v>
      </c>
    </row>
    <row r="92" spans="1:6" s="764" customFormat="1" ht="36">
      <c r="A92" s="768">
        <v>32</v>
      </c>
      <c r="B92" s="3707" t="s">
        <v>635</v>
      </c>
      <c r="C92" s="768" t="s">
        <v>636</v>
      </c>
      <c r="D92" s="682" t="s">
        <v>637</v>
      </c>
      <c r="E92" s="781">
        <v>0.2</v>
      </c>
      <c r="F92" s="768">
        <v>30</v>
      </c>
    </row>
    <row r="93" spans="1:6" s="764" customFormat="1" ht="36">
      <c r="A93" s="768">
        <v>33</v>
      </c>
      <c r="B93" s="3707"/>
      <c r="C93" s="768" t="s">
        <v>638</v>
      </c>
      <c r="D93" s="682" t="s">
        <v>639</v>
      </c>
      <c r="E93" s="781">
        <v>0.2</v>
      </c>
      <c r="F93" s="768">
        <v>30</v>
      </c>
    </row>
    <row r="94" spans="1:6" s="764" customFormat="1" ht="60">
      <c r="A94" s="768">
        <v>34</v>
      </c>
      <c r="B94" s="3707"/>
      <c r="C94" s="768" t="s">
        <v>640</v>
      </c>
      <c r="D94" s="682" t="s">
        <v>641</v>
      </c>
      <c r="E94" s="781">
        <v>0.2</v>
      </c>
      <c r="F94" s="768">
        <v>30</v>
      </c>
    </row>
    <row r="95" spans="1:6" s="764" customFormat="1" ht="48">
      <c r="A95" s="768">
        <v>35</v>
      </c>
      <c r="B95" s="3707"/>
      <c r="C95" s="768" t="s">
        <v>642</v>
      </c>
      <c r="D95" s="682" t="s">
        <v>643</v>
      </c>
      <c r="E95" s="781">
        <v>0.2</v>
      </c>
      <c r="F95" s="768">
        <v>30</v>
      </c>
    </row>
    <row r="96" spans="1:6" s="764" customFormat="1" ht="72">
      <c r="A96" s="768">
        <v>36</v>
      </c>
      <c r="B96" s="3707"/>
      <c r="C96" s="682" t="s">
        <v>644</v>
      </c>
      <c r="D96" s="682" t="s">
        <v>645</v>
      </c>
      <c r="E96" s="781">
        <v>0.2</v>
      </c>
      <c r="F96" s="768">
        <v>30</v>
      </c>
    </row>
    <row r="97" spans="1:6" s="764" customFormat="1" ht="36">
      <c r="A97" s="768">
        <v>37</v>
      </c>
      <c r="B97" s="3707"/>
      <c r="C97" s="768" t="s">
        <v>646</v>
      </c>
      <c r="D97" s="682" t="s">
        <v>647</v>
      </c>
      <c r="E97" s="781">
        <v>0.2</v>
      </c>
      <c r="F97" s="768">
        <v>30</v>
      </c>
    </row>
    <row r="98" spans="1:6" s="764" customFormat="1" ht="36">
      <c r="A98" s="768">
        <v>38</v>
      </c>
      <c r="B98" s="3707"/>
      <c r="C98" s="768" t="s">
        <v>648</v>
      </c>
      <c r="D98" s="682" t="s">
        <v>649</v>
      </c>
      <c r="E98" s="781">
        <v>0.2</v>
      </c>
      <c r="F98" s="768">
        <v>30</v>
      </c>
    </row>
    <row r="99" spans="1:6" s="764" customFormat="1" ht="36">
      <c r="A99" s="768">
        <v>39</v>
      </c>
      <c r="B99" s="3707" t="s">
        <v>650</v>
      </c>
      <c r="C99" s="768" t="s">
        <v>651</v>
      </c>
      <c r="D99" s="682" t="s">
        <v>652</v>
      </c>
      <c r="E99" s="781">
        <v>0.3</v>
      </c>
      <c r="F99" s="768">
        <v>50</v>
      </c>
    </row>
    <row r="100" spans="1:6" s="764" customFormat="1" ht="36">
      <c r="A100" s="768">
        <v>40</v>
      </c>
      <c r="B100" s="3707"/>
      <c r="C100" s="768" t="s">
        <v>653</v>
      </c>
      <c r="D100" s="682" t="s">
        <v>654</v>
      </c>
      <c r="E100" s="781">
        <v>0.2</v>
      </c>
      <c r="F100" s="768">
        <v>30</v>
      </c>
    </row>
    <row r="101" spans="1:6" s="764" customFormat="1" ht="36">
      <c r="A101" s="768">
        <v>41</v>
      </c>
      <c r="B101" s="3707"/>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07" t="s">
        <v>665</v>
      </c>
      <c r="C105" s="768" t="s">
        <v>666</v>
      </c>
      <c r="D105" s="682" t="s">
        <v>667</v>
      </c>
      <c r="E105" s="781">
        <v>0.2</v>
      </c>
      <c r="F105" s="768">
        <v>30</v>
      </c>
    </row>
    <row r="106" spans="1:6" s="764" customFormat="1" ht="48">
      <c r="A106" s="768">
        <v>46</v>
      </c>
      <c r="B106" s="3707"/>
      <c r="C106" s="768" t="s">
        <v>668</v>
      </c>
      <c r="D106" s="682" t="s">
        <v>669</v>
      </c>
      <c r="E106" s="781">
        <v>0.2</v>
      </c>
      <c r="F106" s="768">
        <v>30</v>
      </c>
    </row>
    <row r="107" spans="1:6" s="764" customFormat="1" ht="36">
      <c r="A107" s="768">
        <v>47</v>
      </c>
      <c r="B107" s="3707" t="s">
        <v>670</v>
      </c>
      <c r="C107" s="768" t="s">
        <v>671</v>
      </c>
      <c r="D107" s="682" t="s">
        <v>672</v>
      </c>
      <c r="E107" s="781">
        <v>0.3</v>
      </c>
      <c r="F107" s="768">
        <v>50</v>
      </c>
    </row>
    <row r="108" spans="1:6" s="764" customFormat="1" ht="48">
      <c r="A108" s="768">
        <v>48</v>
      </c>
      <c r="B108" s="370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07" t="s">
        <v>681</v>
      </c>
      <c r="C111" s="768" t="s">
        <v>682</v>
      </c>
      <c r="D111" s="682" t="s">
        <v>683</v>
      </c>
      <c r="E111" s="781">
        <v>0.2</v>
      </c>
      <c r="F111" s="768">
        <v>30</v>
      </c>
    </row>
    <row r="112" spans="1:6" s="764" customFormat="1" ht="36">
      <c r="A112" s="768">
        <v>52</v>
      </c>
      <c r="B112" s="3707"/>
      <c r="C112" s="768" t="s">
        <v>684</v>
      </c>
      <c r="D112" s="682" t="s">
        <v>685</v>
      </c>
      <c r="E112" s="781">
        <v>0.2</v>
      </c>
      <c r="F112" s="768">
        <v>30</v>
      </c>
    </row>
    <row r="113" spans="1:6" s="764" customFormat="1" ht="36">
      <c r="A113" s="768">
        <v>53</v>
      </c>
      <c r="B113" s="3707"/>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07" t="s">
        <v>694</v>
      </c>
      <c r="C116" s="768" t="s">
        <v>695</v>
      </c>
      <c r="D116" s="682" t="s">
        <v>696</v>
      </c>
      <c r="E116" s="781">
        <v>0.2</v>
      </c>
      <c r="F116" s="768">
        <v>30</v>
      </c>
    </row>
    <row r="117" spans="1:6" ht="36">
      <c r="A117" s="768">
        <v>57</v>
      </c>
      <c r="B117" s="3707"/>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0.89929999999999999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3" t="s">
        <v>964</v>
      </c>
      <c r="C1" s="3713"/>
      <c r="D1" s="3713"/>
      <c r="E1" s="3713"/>
      <c r="F1" s="3713"/>
      <c r="G1" s="3709" t="s">
        <v>965</v>
      </c>
      <c r="H1" s="3709"/>
      <c r="I1" s="3709"/>
      <c r="J1" s="3709"/>
      <c r="K1" s="3709"/>
      <c r="L1" s="3709"/>
      <c r="N1" s="3709" t="s">
        <v>966</v>
      </c>
      <c r="O1" s="3709"/>
      <c r="P1" s="3709"/>
      <c r="Q1" s="3709"/>
      <c r="S1" s="3709" t="s">
        <v>967</v>
      </c>
      <c r="T1" s="3709"/>
      <c r="U1" s="3709"/>
      <c r="V1" s="3709"/>
      <c r="X1" s="3708" t="s">
        <v>968</v>
      </c>
      <c r="Y1" s="3709"/>
      <c r="Z1" s="3709"/>
      <c r="AA1" s="3709"/>
      <c r="AB1" s="3709"/>
      <c r="AD1" s="3708" t="s">
        <v>969</v>
      </c>
      <c r="AE1" s="3709"/>
      <c r="AF1" s="3709"/>
      <c r="AG1" s="3709"/>
      <c r="AH1" s="3709"/>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1">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1"/>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1"/>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8"/>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4">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1"/>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1"/>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8"/>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4">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1"/>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1"/>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8"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2"/>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8" thickBot="1">
      <c r="A30" s="2339" t="s">
        <v>101</v>
      </c>
      <c r="B30" s="2349">
        <v>333</v>
      </c>
      <c r="C30" s="2349">
        <v>277</v>
      </c>
      <c r="D30" s="2349">
        <f t="shared" si="194"/>
        <v>277</v>
      </c>
      <c r="E30" s="2349">
        <v>459</v>
      </c>
      <c r="F30" s="2350">
        <v>249</v>
      </c>
      <c r="G30" s="3710">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1"/>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1"/>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2"/>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8" thickBot="1">
      <c r="A34" s="2339" t="s">
        <v>97</v>
      </c>
      <c r="B34" s="2371">
        <v>318</v>
      </c>
      <c r="C34" s="2371">
        <v>268</v>
      </c>
      <c r="D34" s="2371">
        <f t="shared" si="194"/>
        <v>268</v>
      </c>
      <c r="E34" s="2371">
        <v>437</v>
      </c>
      <c r="F34" s="2372">
        <v>237</v>
      </c>
      <c r="G34" s="3710">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1"/>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8"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1"/>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8"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2"/>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8" thickBot="1">
      <c r="A38" s="2339" t="s">
        <v>982</v>
      </c>
      <c r="B38" s="2349">
        <v>299</v>
      </c>
      <c r="C38" s="2349">
        <v>252</v>
      </c>
      <c r="D38" s="2349">
        <f t="shared" si="194"/>
        <v>252</v>
      </c>
      <c r="E38" s="2349">
        <v>409</v>
      </c>
      <c r="F38" s="2350">
        <v>227</v>
      </c>
      <c r="G38" s="3715">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6"/>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6"/>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7"/>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8" thickBot="1">
      <c r="A42" s="2339" t="s">
        <v>986</v>
      </c>
      <c r="B42" s="2392">
        <v>278</v>
      </c>
      <c r="C42" s="2392">
        <v>234</v>
      </c>
      <c r="D42" s="2392">
        <f t="shared" si="194"/>
        <v>234</v>
      </c>
      <c r="E42" s="2392">
        <v>379</v>
      </c>
      <c r="F42" s="2393">
        <v>220</v>
      </c>
      <c r="G42" s="3710">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1"/>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1"/>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8" thickBot="1">
      <c r="A45" s="2339" t="s">
        <v>989</v>
      </c>
      <c r="B45" s="2356">
        <f>B44/(1+N44)</f>
        <v>275.19025476197027</v>
      </c>
      <c r="C45" s="2394">
        <v>232</v>
      </c>
      <c r="D45" s="2394">
        <f t="shared" si="194"/>
        <v>232</v>
      </c>
      <c r="E45" s="2356">
        <f t="shared" si="205"/>
        <v>375.65990977608692</v>
      </c>
      <c r="F45" s="2356">
        <f t="shared" si="205"/>
        <v>214.12518283971252</v>
      </c>
      <c r="G45" s="3712"/>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8" thickBot="1">
      <c r="A46" s="2339" t="s">
        <v>990</v>
      </c>
      <c r="B46" s="2349">
        <v>275</v>
      </c>
      <c r="C46" s="2349">
        <v>232</v>
      </c>
      <c r="D46" s="2349">
        <f t="shared" si="194"/>
        <v>232</v>
      </c>
      <c r="E46" s="2349">
        <v>376</v>
      </c>
      <c r="F46" s="2350">
        <v>213</v>
      </c>
      <c r="G46" s="3710">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1">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1">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8"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2">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8" thickBot="1">
      <c r="A50" s="2339" t="s">
        <v>994</v>
      </c>
      <c r="B50" s="2349">
        <v>269</v>
      </c>
      <c r="C50" s="2349">
        <v>221</v>
      </c>
      <c r="D50" s="2349">
        <f t="shared" si="194"/>
        <v>221</v>
      </c>
      <c r="E50" s="2349">
        <v>373</v>
      </c>
      <c r="F50" s="2350">
        <v>196</v>
      </c>
      <c r="G50" s="3710">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1">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1">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8"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2">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8" thickBot="1">
      <c r="A54" s="2339" t="s">
        <v>998</v>
      </c>
      <c r="B54" s="2349">
        <v>220</v>
      </c>
      <c r="C54" s="2349">
        <v>187</v>
      </c>
      <c r="D54" s="2349">
        <f t="shared" si="194"/>
        <v>187</v>
      </c>
      <c r="E54" s="2349">
        <v>301</v>
      </c>
      <c r="F54" s="2350">
        <v>168</v>
      </c>
      <c r="G54" s="3710">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1">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1">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2">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8" thickBot="1">
      <c r="A58" s="2339" t="s">
        <v>1002</v>
      </c>
      <c r="B58" s="2392">
        <v>214</v>
      </c>
      <c r="C58" s="2392">
        <v>188</v>
      </c>
      <c r="D58" s="2392">
        <f t="shared" si="194"/>
        <v>188</v>
      </c>
      <c r="E58" s="2392">
        <v>289</v>
      </c>
      <c r="F58" s="2393">
        <v>166</v>
      </c>
      <c r="G58" s="3710">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1">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1">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8"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2">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8" thickBot="1">
      <c r="A62" s="2339" t="s">
        <v>1006</v>
      </c>
      <c r="B62" s="2349">
        <v>188</v>
      </c>
      <c r="C62" s="2349">
        <v>165</v>
      </c>
      <c r="D62" s="2349">
        <f t="shared" si="194"/>
        <v>165</v>
      </c>
      <c r="E62" s="2349">
        <v>254</v>
      </c>
      <c r="F62" s="2350">
        <v>148</v>
      </c>
      <c r="G62" s="3710">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1">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1">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2">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8" thickBot="1">
      <c r="A66" s="2339" t="s">
        <v>1010</v>
      </c>
      <c r="B66" s="2371">
        <v>159</v>
      </c>
      <c r="C66" s="2371">
        <v>141</v>
      </c>
      <c r="D66" s="2371">
        <f t="shared" si="194"/>
        <v>141</v>
      </c>
      <c r="E66" s="2371">
        <v>195</v>
      </c>
      <c r="F66" s="2372">
        <v>122</v>
      </c>
      <c r="G66" s="3710">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1">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1">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2">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8" thickBot="1">
      <c r="A70" s="2339" t="s">
        <v>1014</v>
      </c>
      <c r="B70" s="2371">
        <v>138</v>
      </c>
      <c r="C70" s="2371">
        <v>131</v>
      </c>
      <c r="D70" s="2371">
        <f t="shared" si="194"/>
        <v>131</v>
      </c>
      <c r="E70" s="2371">
        <v>155</v>
      </c>
      <c r="F70" s="2372">
        <v>114</v>
      </c>
      <c r="G70" s="3710">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1">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1">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2">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8" thickBot="1">
      <c r="A74" s="2339" t="s">
        <v>1018</v>
      </c>
      <c r="B74" s="2392">
        <v>121</v>
      </c>
      <c r="C74" s="2392">
        <v>122</v>
      </c>
      <c r="D74" s="2392">
        <f t="shared" si="194"/>
        <v>122</v>
      </c>
      <c r="E74" s="2392">
        <v>124</v>
      </c>
      <c r="F74" s="2393">
        <v>107</v>
      </c>
      <c r="G74" s="3710">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1">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1">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8"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2">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8" thickBot="1">
      <c r="A78" s="2339" t="s">
        <v>1022</v>
      </c>
      <c r="B78" s="2412">
        <v>111</v>
      </c>
      <c r="C78" s="2412">
        <v>114</v>
      </c>
      <c r="D78" s="2412">
        <f t="shared" si="194"/>
        <v>114</v>
      </c>
      <c r="E78" s="2412">
        <v>108</v>
      </c>
      <c r="F78" s="2413">
        <v>104</v>
      </c>
      <c r="G78" s="3710">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1">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1">
        <v>2003</v>
      </c>
      <c r="H80" s="2359">
        <v>2</v>
      </c>
      <c r="I80" s="2414"/>
      <c r="J80" s="2414"/>
      <c r="K80" s="2414"/>
      <c r="L80" s="2414"/>
      <c r="X80" s="2406"/>
      <c r="Y80" s="2406"/>
      <c r="Z80" s="2406"/>
    </row>
    <row r="81" spans="1:26" ht="13.8" thickBot="1">
      <c r="A81" s="2339" t="s">
        <v>1025</v>
      </c>
      <c r="B81" s="2416">
        <f t="shared" si="230"/>
        <v>107.25</v>
      </c>
      <c r="C81" s="2416">
        <f t="shared" si="230"/>
        <v>108.75</v>
      </c>
      <c r="D81" s="2416">
        <f t="shared" si="194"/>
        <v>108.75</v>
      </c>
      <c r="E81" s="2416">
        <f t="shared" si="231"/>
        <v>105.75</v>
      </c>
      <c r="F81" s="2416">
        <f t="shared" si="231"/>
        <v>102.5</v>
      </c>
      <c r="G81" s="3712">
        <v>2003</v>
      </c>
      <c r="H81" s="2417">
        <v>1</v>
      </c>
      <c r="I81" s="2414"/>
      <c r="J81" s="2414"/>
      <c r="K81" s="2414"/>
      <c r="L81" s="2414"/>
      <c r="S81" s="2357"/>
      <c r="T81" s="2326"/>
      <c r="U81" s="2326"/>
      <c r="X81" s="2406"/>
      <c r="Y81" s="2406"/>
      <c r="Z81" s="2406"/>
    </row>
    <row r="82" spans="1:26" ht="13.8" thickBot="1">
      <c r="A82" s="2339" t="s">
        <v>1026</v>
      </c>
      <c r="B82" s="2418">
        <v>106</v>
      </c>
      <c r="C82" s="2418">
        <v>107</v>
      </c>
      <c r="D82" s="2418">
        <f t="shared" si="194"/>
        <v>107</v>
      </c>
      <c r="E82" s="2418">
        <v>105</v>
      </c>
      <c r="F82" s="2419">
        <v>102</v>
      </c>
      <c r="G82" s="3710">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1">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1">
        <v>2002</v>
      </c>
      <c r="H84" s="2359">
        <v>2</v>
      </c>
      <c r="I84" s="2414"/>
      <c r="J84" s="2414"/>
      <c r="K84" s="2414"/>
      <c r="L84" s="2414"/>
      <c r="X84" s="2406"/>
      <c r="Y84" s="2406"/>
      <c r="Z84" s="2406"/>
    </row>
    <row r="85" spans="1:26" s="2379" customFormat="1" ht="13.8" thickBot="1">
      <c r="A85" s="2375" t="s">
        <v>1029</v>
      </c>
      <c r="B85" s="2382">
        <f t="shared" si="232"/>
        <v>103</v>
      </c>
      <c r="C85" s="2382">
        <f t="shared" si="232"/>
        <v>104</v>
      </c>
      <c r="D85" s="2382">
        <f t="shared" si="194"/>
        <v>104</v>
      </c>
      <c r="E85" s="2382">
        <f t="shared" si="233"/>
        <v>103.5</v>
      </c>
      <c r="F85" s="2382">
        <f t="shared" si="233"/>
        <v>100.5</v>
      </c>
      <c r="G85" s="3712">
        <v>2002</v>
      </c>
      <c r="H85" s="2420">
        <v>1</v>
      </c>
      <c r="I85" s="2421"/>
      <c r="J85" s="2421"/>
      <c r="K85" s="2421"/>
      <c r="L85" s="2421"/>
      <c r="N85" s="2422"/>
      <c r="S85" s="2422"/>
      <c r="X85" s="2423"/>
      <c r="Y85" s="2423"/>
      <c r="Z85" s="2423"/>
    </row>
    <row r="86" spans="1:26" ht="13.8"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8"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8"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44624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5.6">
      <c r="A19" s="3120"/>
      <c r="B19" s="1251" t="s">
        <v>2829</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26"/>
  <sheetViews>
    <sheetView tabSelected="1" zoomScale="70" zoomScaleNormal="70" workbookViewId="0">
      <selection activeCell="W7" sqref="W7"/>
    </sheetView>
  </sheetViews>
  <sheetFormatPr defaultRowHeight="14.4"/>
  <sheetData>
    <row r="1" spans="18:25">
      <c r="S1" s="1311" t="s">
        <v>3034</v>
      </c>
      <c r="T1" s="1311" t="s">
        <v>3035</v>
      </c>
      <c r="U1" s="1311" t="s">
        <v>3039</v>
      </c>
    </row>
    <row r="2" spans="18:25">
      <c r="R2">
        <v>2021</v>
      </c>
      <c r="S2">
        <v>693600</v>
      </c>
      <c r="T2" s="3720">
        <f>S2/项目基本情况!$C$12/365</f>
        <v>8.8278081046303996</v>
      </c>
      <c r="V2">
        <v>2021</v>
      </c>
      <c r="W2" s="3720">
        <v>8.5</v>
      </c>
      <c r="Y2">
        <f>W2*项目基本情况!$C$12*365</f>
        <v>667844.15</v>
      </c>
    </row>
    <row r="3" spans="18:25">
      <c r="R3">
        <v>2022</v>
      </c>
      <c r="S3">
        <v>693600</v>
      </c>
      <c r="T3" s="3720">
        <f>S3/项目基本情况!$C$12/365</f>
        <v>8.8278081046303996</v>
      </c>
      <c r="V3">
        <v>2022</v>
      </c>
      <c r="W3" s="3720">
        <f>W2*(1+X3)</f>
        <v>8.7550000000000008</v>
      </c>
      <c r="X3" s="3719">
        <v>0.03</v>
      </c>
      <c r="Y3">
        <f>W3*项目基本情况!$C$12*365</f>
        <v>687879.47450000001</v>
      </c>
    </row>
    <row r="4" spans="18:25">
      <c r="R4">
        <v>2023</v>
      </c>
      <c r="S4">
        <v>728280</v>
      </c>
      <c r="T4" s="3720">
        <f>S4/项目基本情况!$C$12/365</f>
        <v>9.2691985098619192</v>
      </c>
      <c r="U4" s="3719">
        <f>S4/S3-1</f>
        <v>5.0000000000000044E-2</v>
      </c>
      <c r="W4" s="3720">
        <f t="shared" ref="W4:W6" si="0">W3*(1+X4)</f>
        <v>9.0176500000000015</v>
      </c>
      <c r="X4" s="3719">
        <v>0.03</v>
      </c>
      <c r="Y4">
        <f>W4*项目基本情况!$C$12*365</f>
        <v>708515.85873500013</v>
      </c>
    </row>
    <row r="5" spans="18:25">
      <c r="R5">
        <v>2024</v>
      </c>
      <c r="S5">
        <v>764694</v>
      </c>
      <c r="T5" s="3720">
        <f>S5/项目基本情况!$C$12/365</f>
        <v>9.7326584353550167</v>
      </c>
      <c r="U5" s="3719">
        <f t="shared" ref="U5:U6" si="1">S5/S4-1</f>
        <v>5.0000000000000044E-2</v>
      </c>
      <c r="W5" s="3720">
        <f t="shared" si="0"/>
        <v>9.2881795000000018</v>
      </c>
      <c r="X5" s="3719">
        <v>0.03</v>
      </c>
      <c r="Y5">
        <f>W5*项目基本情况!$C$12*365</f>
        <v>729771.33449705003</v>
      </c>
    </row>
    <row r="6" spans="18:25">
      <c r="R6">
        <v>2025</v>
      </c>
      <c r="S6">
        <v>802928</v>
      </c>
      <c r="T6" s="3720">
        <f>S6/项目基本情况!$C$12/365</f>
        <v>10.219282447858532</v>
      </c>
      <c r="U6" s="3719">
        <f t="shared" si="1"/>
        <v>4.9999084601160648E-2</v>
      </c>
      <c r="W6" s="3720">
        <f t="shared" si="0"/>
        <v>9.5668248850000026</v>
      </c>
      <c r="X6" s="3719">
        <v>0.03</v>
      </c>
      <c r="Y6">
        <f>W6*项目基本情况!$C$12*365</f>
        <v>751664.47453196172</v>
      </c>
    </row>
    <row r="7" spans="18:25">
      <c r="S7">
        <f>SUM(S2:S6)</f>
        <v>3683102</v>
      </c>
      <c r="T7" s="3720">
        <f>S7/5/'数据-取费表'!B5/365</f>
        <v>9.3753511204672542</v>
      </c>
      <c r="W7" s="3720">
        <f>Y7/365/项目基本情况!C12/5</f>
        <v>9.0255308770000013</v>
      </c>
      <c r="Y7">
        <f>SUM(Y2:Y6)</f>
        <v>3545675.2922640117</v>
      </c>
    </row>
    <row r="26" spans="3:4">
      <c r="C26" s="1311"/>
      <c r="D26" s="131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8"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5.6">
      <c r="A6" s="1329"/>
      <c r="B6" s="1334" t="str">
        <f>项目基本情况!I1</f>
        <v>北京市房地产</v>
      </c>
      <c r="C6" s="3344">
        <f>项目基本情况!C12</f>
        <v>215.26</v>
      </c>
      <c r="D6" s="3344"/>
      <c r="E6" s="1329"/>
    </row>
    <row r="7" spans="1:5" ht="15.6">
      <c r="A7" s="1329"/>
      <c r="B7" s="3338" t="s">
        <v>776</v>
      </c>
      <c r="C7" s="1335" t="str">
        <f>IF('数据-取费表'!B3="万元","总价（万元）","总价（元）")</f>
        <v>总价（万元）</v>
      </c>
      <c r="D7" s="1336">
        <f>IF('数据-取费表'!E3="否",结果表!I102,'结果表 (1修多)'!I104)</f>
        <v>0</v>
      </c>
      <c r="E7" s="1329"/>
    </row>
    <row r="8" spans="1:5" ht="15.6">
      <c r="A8" s="1329"/>
      <c r="B8" s="3338"/>
      <c r="C8" s="1337" t="s">
        <v>1106</v>
      </c>
      <c r="D8" s="1338" t="str">
        <f>IF('数据-取费表'!B3="万元",NUMBERSTRING(INT(D7*10000),2)&amp;"元整",NUMBERSTRING(INT(D7),2)&amp;"元整")</f>
        <v>零元整</v>
      </c>
      <c r="E8" s="1329"/>
    </row>
    <row r="9" spans="1:5" ht="15.6">
      <c r="A9" s="1329"/>
      <c r="B9" s="3338"/>
      <c r="C9" s="1339" t="s">
        <v>1202</v>
      </c>
      <c r="D9" s="1336" t="e">
        <f>IF('数据-取费表'!E3="否",结果表!I103,'结果表 (1修多)'!I105)</f>
        <v>#DIV/0!</v>
      </c>
      <c r="E9" s="1329"/>
    </row>
    <row r="10" spans="1:5" ht="15.6">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45"/>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45" t="str">
        <f>IF('数据-取费表'!E3="否",结果表!F110,'结果表 (1修多)'!F112)</f>
        <v>3.房地产抵押价值</v>
      </c>
      <c r="C15" s="1330" t="str">
        <f>C7</f>
        <v>总价（万元）</v>
      </c>
      <c r="D15" s="1336">
        <f>IF('数据-取费表'!E3="否",结果表!I110,'结果表 (1修多)'!I112)</f>
        <v>0</v>
      </c>
      <c r="E15" s="1329"/>
    </row>
    <row r="16" spans="1:5" ht="15.6">
      <c r="A16" s="1329"/>
      <c r="B16" s="3345"/>
      <c r="C16" s="1337" t="s">
        <v>1106</v>
      </c>
      <c r="D16" s="1336" t="str">
        <f>IF('数据-取费表'!B3="万元",NUMBERSTRING(INT(D15*10000),2)&amp;"元整",NUMBERSTRING(INT(D15),2)&amp;"元整")</f>
        <v>零元整</v>
      </c>
      <c r="E16" s="1329"/>
    </row>
    <row r="17" spans="1:5" ht="15.6">
      <c r="A17" s="1329"/>
      <c r="B17" s="3345"/>
      <c r="C17" s="1339" t="s">
        <v>1202</v>
      </c>
      <c r="D17" s="1336" t="e">
        <f>IF('数据-取费表'!E3="否",结果表!I111,'结果表 (1修多)'!I113)</f>
        <v>#DIV/0!</v>
      </c>
      <c r="E17" s="1329"/>
    </row>
    <row r="18" spans="1:5" ht="15.6">
      <c r="A18" s="1329"/>
      <c r="B18" s="3345" t="str">
        <f>IF('数据-取费表'!E3="否",结果表!F112,'结果表 (1修多)'!F114)</f>
        <v>——</v>
      </c>
      <c r="C18" s="1330" t="str">
        <f>C7</f>
        <v>总价（万元）</v>
      </c>
      <c r="D18" s="1336" t="str">
        <f>IF('数据-取费表'!E3="否",结果表!I112,'结果表 (1修多)'!I114)</f>
        <v>——</v>
      </c>
      <c r="E18" s="1329"/>
    </row>
    <row r="19" spans="1:5" ht="15.6">
      <c r="A19" s="1329"/>
      <c r="B19" s="3345"/>
      <c r="C19" s="1337" t="s">
        <v>1106</v>
      </c>
      <c r="D19" s="1336" t="e">
        <f>IF('数据-取费表'!B3="万元",NUMBERSTRING(INT(D18*10000),2)&amp;"元整",NUMBERSTRING(INT(D18),2)&amp;"元整")</f>
        <v>#VALUE!</v>
      </c>
      <c r="E19" s="1329"/>
    </row>
    <row r="20" spans="1:5" ht="15.6">
      <c r="A20" s="1329"/>
      <c r="B20" s="3345"/>
      <c r="C20" s="1339" t="s">
        <v>1202</v>
      </c>
      <c r="D20" s="1336" t="str">
        <f>IF('数据-取费表'!E3="否",结果表!I113,'结果表 (1修多)'!I115)</f>
        <v>——</v>
      </c>
      <c r="E20" s="1329"/>
    </row>
    <row r="21" spans="1:5" ht="15.6">
      <c r="A21" s="1329"/>
      <c r="B21" s="3338" t="str">
        <f>IF('数据-取费表'!E3="否",结果表!F114,'结果表 (1修多)'!F116)</f>
        <v>——</v>
      </c>
      <c r="C21" s="1335" t="str">
        <f>C7</f>
        <v>总价（万元）</v>
      </c>
      <c r="D21" s="1336" t="str">
        <f>IF('数据-取费表'!E3="否",结果表!I114,'结果表 (1修多)'!I116)</f>
        <v>——</v>
      </c>
      <c r="E21" s="1329"/>
    </row>
    <row r="22" spans="1:5" ht="15.6">
      <c r="A22" s="1329"/>
      <c r="B22" s="3338"/>
      <c r="C22" s="1337" t="s">
        <v>1106</v>
      </c>
      <c r="D22" s="1338" t="e">
        <f>IF('数据-取费表'!B3="万元",NUMBERSTRING(INT(D21*10000),2)&amp;"元整",NUMBERSTRING(INT(D21),2)&amp;"元整")</f>
        <v>#VALUE!</v>
      </c>
      <c r="E22" s="1329"/>
    </row>
    <row r="23" spans="1:5" ht="16.2" thickBot="1">
      <c r="A23" s="1329"/>
      <c r="B23" s="3339"/>
      <c r="C23" s="1344" t="s">
        <v>1202</v>
      </c>
      <c r="D23" s="1345" t="str">
        <f>IF('数据-取费表'!E3="否",结果表!I115,'结果表 (1修多)'!I117)</f>
        <v>——</v>
      </c>
      <c r="E23" s="1329"/>
    </row>
    <row r="24" spans="1:5" ht="1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5.6">
      <c r="A28" s="1329"/>
      <c r="B28" s="3323" t="s">
        <v>776</v>
      </c>
      <c r="C28" s="1346" t="s">
        <v>1107</v>
      </c>
      <c r="D28" s="1347">
        <f>IF('数据-取费表'!E3="否",结果表!I102,'结果表 (1修多)'!I104)</f>
        <v>0</v>
      </c>
      <c r="E28" s="1329"/>
    </row>
    <row r="29" spans="1:5" ht="15.6">
      <c r="A29" s="1329"/>
      <c r="B29" s="3324"/>
      <c r="C29" s="1348" t="s">
        <v>1106</v>
      </c>
      <c r="D29" s="1349" t="str">
        <f>IF('数据-取费表'!B3="万元",NUMBERSTRING(INT(D28*10000),2)&amp;"元整",NUMBERSTRING(INT(D28),2)&amp;"元整")</f>
        <v>零元整</v>
      </c>
      <c r="E29" s="1329"/>
    </row>
    <row r="30" spans="1:5" ht="15.6">
      <c r="A30" s="1329"/>
      <c r="B30" s="3325"/>
      <c r="C30" s="1339" t="s">
        <v>1109</v>
      </c>
      <c r="D30" s="1350" t="e">
        <f>IF('数据-取费表'!E3="否",结果表!I103,'结果表 (1修多)'!I105)</f>
        <v>#DIV/0!</v>
      </c>
      <c r="E30" s="1329"/>
    </row>
    <row r="31" spans="1:5" ht="15.6">
      <c r="A31" s="1329"/>
      <c r="B31" s="3328" t="str">
        <f>B10</f>
        <v>2.估价师所知悉的法定优先受偿款</v>
      </c>
      <c r="C31" s="1351" t="s">
        <v>1108</v>
      </c>
      <c r="D31" s="1352">
        <f>IF('数据-取费表'!E3="否",结果表!I105,'结果表 (1修多)'!I107)</f>
        <v>0</v>
      </c>
      <c r="E31" s="1329"/>
    </row>
    <row r="32" spans="1:5" ht="15.6">
      <c r="A32" s="1329"/>
      <c r="B32" s="3337"/>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26" t="str">
        <f>B15</f>
        <v>3.房地产抵押价值</v>
      </c>
      <c r="C36" s="1351" t="str">
        <f>C28</f>
        <v>总价</v>
      </c>
      <c r="D36" s="1352">
        <f>IF('数据-取费表'!E3="否",结果表!I110,'结果表 (1修多)'!I112)</f>
        <v>0</v>
      </c>
      <c r="E36" s="1329"/>
    </row>
    <row r="37" spans="1:5" ht="15.6">
      <c r="A37" s="1329"/>
      <c r="B37" s="3326"/>
      <c r="C37" s="1348" t="s">
        <v>1106</v>
      </c>
      <c r="D37" s="1353" t="str">
        <f>IF('数据-取费表'!B3="万元",NUMBERSTRING(INT(D36*10000),2)&amp;"元整",NUMBERSTRING(INT(D36),2)&amp;"元整")</f>
        <v>零元整</v>
      </c>
      <c r="E37" s="1329"/>
    </row>
    <row r="38" spans="1:5" ht="15.6">
      <c r="A38" s="1329"/>
      <c r="B38" s="3326"/>
      <c r="C38" s="1339" t="s">
        <v>1110</v>
      </c>
      <c r="D38" s="1350" t="e">
        <f>IF('数据-取费表'!E3="否",结果表!D113,'结果表 (1修多)'!D117)</f>
        <v>#DIV/0!</v>
      </c>
      <c r="E38" s="1329"/>
    </row>
    <row r="39" spans="1:5" ht="15.6">
      <c r="A39" s="1329"/>
      <c r="B39" s="3327" t="str">
        <f>B18</f>
        <v>——</v>
      </c>
      <c r="C39" s="1351" t="str">
        <f>C28</f>
        <v>总价</v>
      </c>
      <c r="D39" s="1352" t="str">
        <f>IF('数据-取费表'!E3="否",结果表!I112,'结果表 (1修多)'!I114)</f>
        <v>——</v>
      </c>
      <c r="E39" s="1329"/>
    </row>
    <row r="40" spans="1:5" ht="15.6">
      <c r="A40" s="1329"/>
      <c r="B40" s="3327"/>
      <c r="C40" s="1348" t="s">
        <v>1106</v>
      </c>
      <c r="D40" s="1353" t="e">
        <f>IF('数据-取费表'!B3="万元",NUMBERSTRING(INT(D39*10000),2)&amp;"元整",NUMBERSTRING(INT(D39),2)&amp;"元整")</f>
        <v>#VALUE!</v>
      </c>
      <c r="E40" s="1329"/>
    </row>
    <row r="41" spans="1:5" ht="15.6">
      <c r="A41" s="1329"/>
      <c r="B41" s="3327"/>
      <c r="C41" s="1339" t="s">
        <v>1110</v>
      </c>
      <c r="D41" s="1350" t="str">
        <f>IF('数据-取费表'!E3="否",结果表!D115,'结果表 (1修多)'!D119)</f>
        <v>——</v>
      </c>
      <c r="E41" s="1329"/>
    </row>
    <row r="42" spans="1:5" ht="15.6">
      <c r="A42" s="1329"/>
      <c r="B42" s="3326" t="str">
        <f>B21</f>
        <v>——</v>
      </c>
      <c r="C42" s="1351" t="str">
        <f>C28</f>
        <v>总价</v>
      </c>
      <c r="D42" s="1352" t="str">
        <f>IF('数据-取费表'!E3="否",结果表!I114,'结果表 (1修多)'!I116)</f>
        <v>——</v>
      </c>
      <c r="E42" s="1329"/>
    </row>
    <row r="43" spans="1:5" ht="15.6">
      <c r="A43" s="1329"/>
      <c r="B43" s="3328"/>
      <c r="C43" s="1348" t="s">
        <v>1106</v>
      </c>
      <c r="D43" s="1354" t="e">
        <f>IF('数据-取费表'!B3="万元",NUMBERSTRING(INT(D42*10000),2)&amp;"元整",NUMBERSTRING(INT(D42),2)&amp;"元整")</f>
        <v>#VALUE!</v>
      </c>
      <c r="E43" s="1329"/>
    </row>
    <row r="44" spans="1:5" ht="16.2" thickBot="1">
      <c r="A44" s="1329"/>
      <c r="B44" s="3329"/>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6">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215.26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6" t="s">
        <v>1212</v>
      </c>
      <c r="B5" s="3346"/>
      <c r="C5" s="3346"/>
      <c r="D5" s="3347" t="str">
        <f>IF('数据-取费表'!E3="否",结果表!D122,'结果表 (1修多)'!D126)</f>
        <v>零元整</v>
      </c>
      <c r="E5" s="3347"/>
      <c r="F5" s="3347" t="str">
        <f>IF('数据-取费表'!E3="否",结果表!F122,'结果表 (1修多)'!F126)</f>
        <v>零元整</v>
      </c>
      <c r="G5" s="3347"/>
      <c r="H5" s="3347" t="str">
        <f>IF('数据-取费表'!E3="否",结果表!H122,'结果表 (1修多)'!H126)</f>
        <v>零元整</v>
      </c>
      <c r="I5" s="3347"/>
    </row>
    <row r="6" spans="1:9" ht="15.6">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1212</v>
      </c>
      <c r="B7" s="3346"/>
      <c r="C7" s="3346"/>
      <c r="D7" s="3354">
        <f>IF('数据-取费表'!E3="否",结果表!D124,'结果表 (1修多)'!D128)</f>
        <v>0</v>
      </c>
      <c r="E7" s="3355"/>
      <c r="F7" s="3355"/>
      <c r="G7" s="3355"/>
      <c r="H7" s="3355"/>
      <c r="I7" s="3356"/>
    </row>
    <row r="8" spans="1:9" ht="15.6">
      <c r="A8" s="3348" t="str">
        <f>IF('数据-取费表'!E3="否",结果表!A125,'结果表 (1修多)'!A129)</f>
        <v>房地产抵押价值</v>
      </c>
      <c r="B8" s="3348"/>
      <c r="C8" s="3348"/>
      <c r="D8" s="3348">
        <f>IF('数据-取费表'!E3="否",结果表!D125,'结果表 (1修多)'!D129)</f>
        <v>0</v>
      </c>
      <c r="E8" s="3348"/>
      <c r="F8" s="3348"/>
      <c r="G8" s="3348"/>
      <c r="H8" s="3348"/>
      <c r="I8" s="3348"/>
    </row>
    <row r="9" spans="1:9" ht="15">
      <c r="A9" s="3346" t="s">
        <v>1212</v>
      </c>
      <c r="B9" s="3346"/>
      <c r="C9" s="3346"/>
      <c r="D9" s="3347" t="e">
        <f>IF('数据-取费表'!E3="否",结果表!D126,'结果表 (1修多)'!D130)</f>
        <v>#DIV/0!</v>
      </c>
      <c r="E9" s="3347"/>
      <c r="F9" s="3347"/>
      <c r="G9" s="3347"/>
      <c r="H9" s="3347"/>
      <c r="I9" s="3347"/>
    </row>
    <row r="10" spans="1:9" ht="15.6">
      <c r="A10" s="3348" t="str">
        <f>IF('数据-取费表'!E3="否",结果表!A127,'结果表 (1修多)'!A131)</f>
        <v/>
      </c>
      <c r="B10" s="3348"/>
      <c r="C10" s="3348"/>
      <c r="D10" s="3348" t="e">
        <f>IF('数据-取费表'!E3="否",结果表!D127,'结果表 (1修多)'!D130)</f>
        <v>#DIV/0!</v>
      </c>
      <c r="E10" s="3348"/>
      <c r="F10" s="3348"/>
      <c r="G10" s="3348"/>
      <c r="H10" s="3348"/>
      <c r="I10" s="3348"/>
    </row>
    <row r="11" spans="1:9" ht="15">
      <c r="A11" s="3346" t="s">
        <v>1212</v>
      </c>
      <c r="B11" s="3346"/>
      <c r="C11" s="3346"/>
      <c r="D11" s="3347" t="str">
        <f>IF('数据-取费表'!E3="否",结果表!D128,'结果表 (1修多)'!D132)</f>
        <v>——</v>
      </c>
      <c r="E11" s="3347"/>
      <c r="F11" s="3347"/>
      <c r="G11" s="3347"/>
      <c r="H11" s="3347"/>
      <c r="I11" s="3347"/>
    </row>
    <row r="12" spans="1:9" ht="15.6">
      <c r="A12" s="3348" t="str">
        <f>IF('数据-取费表'!E3="否",结果表!A129,'结果表 (1修多)'!A133)</f>
        <v/>
      </c>
      <c r="B12" s="3348"/>
      <c r="C12" s="3348"/>
      <c r="D12" s="3348" t="str">
        <f>IF('数据-取费表'!E3="否",结果表!D129,'结果表 (1修多)'!D133)</f>
        <v>——</v>
      </c>
      <c r="E12" s="3348"/>
      <c r="F12" s="3348"/>
      <c r="G12" s="3348"/>
      <c r="H12" s="3348"/>
      <c r="I12" s="3348"/>
    </row>
    <row r="13" spans="1:9" ht="15.6" thickBot="1">
      <c r="A13" s="3349" t="s">
        <v>1212</v>
      </c>
      <c r="B13" s="3349"/>
      <c r="C13" s="3349"/>
      <c r="D13" s="3350">
        <f>IF('数据-取费表'!E3="否",结果表!D130,'结果表 (1修多)'!D134)</f>
        <v>0</v>
      </c>
      <c r="E13" s="3350"/>
      <c r="F13" s="3350"/>
      <c r="G13" s="3350"/>
      <c r="H13" s="3350"/>
      <c r="I13" s="3350"/>
    </row>
    <row r="14" spans="1:9" ht="14.4"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58" t="s">
        <v>1225</v>
      </c>
      <c r="B1" s="3358"/>
      <c r="C1" s="3358"/>
      <c r="D1" s="3358"/>
    </row>
    <row r="2" spans="1:4" ht="17.399999999999999">
      <c r="A2" s="3357" t="s">
        <v>1214</v>
      </c>
      <c r="B2" s="3357"/>
      <c r="C2" s="3357"/>
      <c r="D2" s="3357"/>
    </row>
    <row r="3" spans="1:4" ht="17.399999999999999">
      <c r="A3" s="1358" t="s">
        <v>1215</v>
      </c>
      <c r="B3" s="1358" t="s">
        <v>1216</v>
      </c>
      <c r="C3" s="1358" t="s">
        <v>1217</v>
      </c>
      <c r="D3" s="1358" t="s">
        <v>1218</v>
      </c>
    </row>
    <row r="4" spans="1:4" ht="56.25" customHeight="1">
      <c r="A4" s="1359" t="str">
        <f>项目基本情况!B3</f>
        <v>郑燚</v>
      </c>
      <c r="B4" s="1360">
        <f ca="1">项目基本情况!C3</f>
        <v>1120070131</v>
      </c>
      <c r="C4" s="1361"/>
      <c r="D4" s="1362" t="s">
        <v>1226</v>
      </c>
    </row>
    <row r="5" spans="1:4" ht="56.25" customHeight="1">
      <c r="A5" s="1359" t="str">
        <f>项目基本情况!D3</f>
        <v>崔锴</v>
      </c>
      <c r="B5" s="1360">
        <f ca="1">项目基本情况!E3</f>
        <v>1120100036</v>
      </c>
      <c r="C5" s="1363"/>
      <c r="D5" s="1362" t="s">
        <v>1226</v>
      </c>
    </row>
    <row r="6" spans="1:4" ht="12" customHeight="1">
      <c r="A6" s="1359"/>
      <c r="B6" s="1360"/>
      <c r="C6" s="1364"/>
      <c r="D6" s="1362"/>
    </row>
    <row r="7" spans="1:4" ht="17.399999999999999">
      <c r="A7" s="3357" t="s">
        <v>1219</v>
      </c>
      <c r="B7" s="3357"/>
      <c r="C7" s="3357"/>
      <c r="D7" s="3357"/>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59" t="s">
        <v>2680</v>
      </c>
      <c r="B12" s="3360"/>
      <c r="C12" s="3360"/>
      <c r="D12" s="3360"/>
    </row>
    <row r="13" spans="1:4" ht="15.6">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1227</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2681</v>
      </c>
      <c r="B20" s="3361"/>
      <c r="C20" s="3361"/>
      <c r="D20" s="3361"/>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67" t="s">
        <v>1306</v>
      </c>
      <c r="B15" s="3362" t="s">
        <v>1307</v>
      </c>
      <c r="C15" s="3363"/>
    </row>
    <row r="16" spans="1:7" ht="14.4">
      <c r="A16" s="3368"/>
      <c r="B16" s="3362" t="s">
        <v>1308</v>
      </c>
      <c r="C16" s="3363"/>
    </row>
    <row r="17" spans="1:3" ht="14.4">
      <c r="A17" s="3368"/>
      <c r="B17" s="3362" t="s">
        <v>1309</v>
      </c>
      <c r="C17" s="3363"/>
    </row>
    <row r="18" spans="1:3" ht="14.4">
      <c r="A18" s="3369"/>
      <c r="B18" s="3364" t="s">
        <v>1310</v>
      </c>
      <c r="C18" s="3363"/>
    </row>
    <row r="19" spans="1:3" ht="14.4">
      <c r="A19" s="1382" t="s">
        <v>1311</v>
      </c>
      <c r="B19" s="1383"/>
      <c r="C19" s="1384"/>
    </row>
    <row r="20" spans="1:3" ht="14.4">
      <c r="A20" s="3365" t="s">
        <v>1312</v>
      </c>
      <c r="B20" s="3364" t="s">
        <v>1313</v>
      </c>
      <c r="C20" s="3363"/>
    </row>
    <row r="21" spans="1:3" ht="14.4">
      <c r="A21" s="3365"/>
      <c r="B21" s="3364" t="s">
        <v>1314</v>
      </c>
      <c r="C21" s="3363"/>
    </row>
    <row r="22" spans="1:3" ht="14.4">
      <c r="A22" s="3365"/>
      <c r="B22" s="3364" t="s">
        <v>1315</v>
      </c>
      <c r="C22" s="3363"/>
    </row>
    <row r="23" spans="1:3" ht="14.4">
      <c r="A23" s="3365"/>
      <c r="B23" s="3366" t="s">
        <v>1316</v>
      </c>
      <c r="C23" s="1385" t="s">
        <v>1317</v>
      </c>
    </row>
    <row r="24" spans="1:3" ht="14.4">
      <c r="A24" s="3365"/>
      <c r="B24" s="3366"/>
      <c r="C24" s="1385" t="s">
        <v>1318</v>
      </c>
    </row>
    <row r="25" spans="1:3" ht="14.4">
      <c r="A25" s="3365"/>
      <c r="B25" s="3366"/>
      <c r="C25" s="1385" t="s">
        <v>1319</v>
      </c>
    </row>
    <row r="26" spans="1:3" ht="14.4">
      <c r="A26" s="3365"/>
      <c r="B26" s="3366"/>
      <c r="C26" s="1385" t="s">
        <v>1320</v>
      </c>
    </row>
    <row r="27" spans="1:3" ht="14.4">
      <c r="A27" s="3365"/>
      <c r="B27" s="3366"/>
      <c r="C27" s="1385" t="s">
        <v>1321</v>
      </c>
    </row>
    <row r="28" spans="1:3" ht="14.4">
      <c r="A28" s="3365"/>
      <c r="B28" s="3366"/>
      <c r="C28" s="1385" t="s">
        <v>1322</v>
      </c>
    </row>
    <row r="29" spans="1:3" ht="14.4">
      <c r="A29" s="3365"/>
      <c r="B29" s="3366"/>
      <c r="C29" s="1385" t="s">
        <v>1323</v>
      </c>
    </row>
    <row r="30" spans="1:3" ht="14.4">
      <c r="A30" s="3365"/>
      <c r="B30" s="3366"/>
      <c r="C30" s="1385" t="s">
        <v>1324</v>
      </c>
    </row>
    <row r="31" spans="1:3" ht="14.4">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29" customWidth="1"/>
    <col min="2" max="2" width="38.6640625" style="3029" customWidth="1"/>
    <col min="3" max="3" width="26" style="3029" customWidth="1"/>
    <col min="4" max="4" width="35" style="3029" hidden="1" customWidth="1"/>
    <col min="5" max="5" width="30.109375" style="3029" customWidth="1"/>
    <col min="6" max="6" width="35.44140625" style="3029" customWidth="1"/>
    <col min="7" max="7" width="31" style="3029" customWidth="1"/>
    <col min="8" max="8" width="37.44140625" style="3029" hidden="1" customWidth="1"/>
    <col min="9" max="16384" width="22.6640625" style="3029"/>
  </cols>
  <sheetData>
    <row r="1" spans="1:8" ht="24" customHeight="1">
      <c r="A1" s="3032"/>
      <c r="B1" s="3032"/>
      <c r="C1" s="3032"/>
      <c r="D1" s="3032"/>
      <c r="E1" s="3032"/>
      <c r="F1" s="3032"/>
      <c r="G1" s="3032"/>
      <c r="H1" s="3032"/>
    </row>
    <row r="2" spans="1:8" ht="24" customHeight="1">
      <c r="A2" s="3033" t="s">
        <v>746</v>
      </c>
      <c r="B2" s="3034">
        <f ca="1">TODAY()</f>
        <v>44638</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2656</v>
      </c>
      <c r="B12" s="1272">
        <f ca="1">IF(C12&lt;B2,"已过期",1120040230)</f>
        <v>1120040230</v>
      </c>
      <c r="C12" s="3042">
        <v>44864</v>
      </c>
      <c r="D12" s="3050" t="str">
        <f t="shared" ca="1" si="0"/>
        <v>苏海（注册号：1120040230）</v>
      </c>
      <c r="E12" s="3052" t="s">
        <v>2656</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2673</v>
      </c>
      <c r="B14" s="1272">
        <f ca="1">IF(C14&lt;B2,"已过期",1119980106)</f>
        <v>1119980106</v>
      </c>
      <c r="C14" s="3042">
        <v>44969</v>
      </c>
      <c r="D14" s="3050" t="str">
        <f t="shared" ca="1" si="0"/>
        <v>刘俊财（注册号：1119980106）</v>
      </c>
      <c r="E14" s="3052" t="s">
        <v>2773</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2777</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8"/>
      <c r="E18" s="3372" t="s">
        <v>764</v>
      </c>
      <c r="F18" s="3371"/>
      <c r="G18" s="3371"/>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2774</v>
      </c>
      <c r="B20" s="3045" t="s">
        <v>2775</v>
      </c>
      <c r="C20" s="3040">
        <v>44820</v>
      </c>
      <c r="D20" s="3053"/>
      <c r="E20" s="3055" t="s">
        <v>768</v>
      </c>
      <c r="F20" s="3045" t="s">
        <v>769</v>
      </c>
      <c r="G20" s="3046">
        <v>44377</v>
      </c>
    </row>
    <row r="21" spans="1:8" s="3028" customFormat="1" ht="24" customHeight="1">
      <c r="A21" s="3045"/>
      <c r="B21" s="3045"/>
      <c r="C21" s="3047"/>
      <c r="D21" s="3054"/>
      <c r="E21" s="3055" t="s">
        <v>770</v>
      </c>
      <c r="F21" s="3048" t="s">
        <v>2672</v>
      </c>
      <c r="G21" s="3049">
        <v>44012</v>
      </c>
    </row>
    <row r="22" spans="1:8" ht="24" customHeight="1">
      <c r="C22" s="3031"/>
      <c r="D22" s="3031"/>
      <c r="E22" s="3056"/>
      <c r="F22" s="3057"/>
      <c r="G22" s="305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2974</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本次估价的“房地产价值”是指在正常市场情况下，在价值时点2022年3月4日，估价对象规划用途为，假定未设立法定优先受偿款下的房地产市场价值。</v>
      </c>
    </row>
    <row r="54" spans="1:4" ht="14.4">
      <c r="A54" s="3373"/>
      <c r="B54" s="9" t="s">
        <v>1462</v>
      </c>
      <c r="C54" s="9" t="s">
        <v>1463</v>
      </c>
    </row>
    <row r="55" spans="1:4" ht="14.4">
      <c r="A55" s="3373"/>
      <c r="B55" s="9" t="s">
        <v>1464</v>
      </c>
      <c r="C55" s="9" t="s">
        <v>1465</v>
      </c>
    </row>
    <row r="56" spans="1:4" ht="14.4">
      <c r="A56" s="3373"/>
      <c r="B56" s="9" t="s">
        <v>1466</v>
      </c>
      <c r="C56" s="9" t="s">
        <v>1467</v>
      </c>
    </row>
    <row r="57" spans="1:4" ht="14.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案例及租约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2022-03-18T02:23:09Z</dcterms:modified>
</cp:coreProperties>
</file>